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ЭтаКнига" defaultThemeVersion="166925"/>
  <mc:AlternateContent xmlns:mc="http://schemas.openxmlformats.org/markup-compatibility/2006">
    <mc:Choice Requires="x15">
      <x15ac:absPath xmlns:x15ac="http://schemas.microsoft.com/office/spreadsheetml/2010/11/ac" url="C:\Users\iprusov\Downloads\"/>
    </mc:Choice>
  </mc:AlternateContent>
  <xr:revisionPtr revIDLastSave="0" documentId="8_{1E82BCE1-0BD3-4168-80C1-D836FE0BB3BB}" xr6:coauthVersionLast="47" xr6:coauthVersionMax="47" xr10:uidLastSave="{00000000-0000-0000-0000-000000000000}"/>
  <bookViews>
    <workbookView xWindow="-120" yWindow="-120" windowWidth="29040" windowHeight="15840" tabRatio="956" activeTab="6" xr2:uid="{00000000-000D-0000-FFFF-FFFF00000000}"/>
  </bookViews>
  <sheets>
    <sheet name="Свод_ОФР" sheetId="12" r:id="rId1"/>
    <sheet name="Свод_БДДС" sheetId="14" r:id="rId2"/>
    <sheet name="ОК" sheetId="21" r:id="rId3"/>
    <sheet name="Баланс" sheetId="22" r:id="rId4"/>
    <sheet name="Инвестиции" sheetId="24" r:id="rId5"/>
    <sheet name="Оценка бизнеса" sheetId="13" r:id="rId6"/>
    <sheet name="Эффективность для инвесторов" sheetId="15" r:id="rId7"/>
    <sheet name="WACC" sheetId="19" r:id="rId8"/>
    <sheet name="Beta Damodaran" sheetId="16" state="hidden" r:id="rId9"/>
    <sheet name="Мясо" sheetId="1" r:id="rId10"/>
    <sheet name="Пицца" sheetId="5" state="hidden" r:id="rId11"/>
    <sheet name="Снеки" sheetId="6" state="hidden" r:id="rId12"/>
    <sheet name="Мясная гастрономия" sheetId="7" state="hidden" r:id="rId13"/>
    <sheet name="Сыр" sheetId="8" state="hidden" r:id="rId14"/>
    <sheet name="Кондитерские изделия" sheetId="11" state="hidden" r:id="rId15"/>
  </sheets>
  <definedNames>
    <definedName name="_______CAP10" localSheetId="8" hidden="1">{"LC",#N/A,FALSE,"FC-15 Cap Expend"}</definedName>
    <definedName name="_______CAP10" localSheetId="6" hidden="1">{"LC",#N/A,FALSE,"FC-15 Cap Expend"}</definedName>
    <definedName name="_______CAP10" hidden="1">{"LC",#N/A,FALSE,"FC-15 Cap Expend"}</definedName>
    <definedName name="_______FA16434" localSheetId="8"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FA16434" localSheetId="6"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_FA2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______FA2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_FA9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______FA9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______FA96434" hidden="1">{"TOTALFAB",#N/A,FALSE,"WAFER FAB 2 EXPENSE";"FABPRODUCTION",#N/A,FALSE,"WAFER FAB 2 EXPENSE";"FABENGINEERING",#N/A,FALSE,"WAFER FAB 2 EXPENSE";"FABEQUIPSUPPORT",#N/A,FALSE,"WAFER FAB 2 EXPENSE";"FABPRODUCTLINE",#N/A,FALSE,"WAFER FAB 2 EXPENSE";"FABMATERIALS",#N/A,FALSE,"WAFER FAB 2 EXPENSE"}</definedName>
    <definedName name="_______FAC6434" localSheetId="8" hidden="1">{"TOTAL",#N/A,FALSE,"FACILITIES EXPENSE";"TOTALDETAIL",#N/A,FALSE,"FACILITIES EXPENSE";"MATERIALS",#N/A,FALSE,"FACILITIES EXPENSE";"FACILITIES",#N/A,FALSE,"FACILITIES EXPENSE";"CHEM",#N/A,FALSE,"FACILITIES EXPENSE";"GENSVC",#N/A,FALSE,"FACILITIES EXPENSE";"SAFETY",#N/A,FALSE,"FACILITIES EXPENSE"}</definedName>
    <definedName name="_______FAC6434" localSheetId="6" hidden="1">{"TOTAL",#N/A,FALSE,"FACILITIES EXPENSE";"TOTALDETAIL",#N/A,FALSE,"FACILITIES EXPENSE";"MATERIALS",#N/A,FALSE,"FACILITIES EXPENSE";"FACILITIES",#N/A,FALSE,"FACILITIES EXPENSE";"CHEM",#N/A,FALSE,"FACILITIES EXPENSE";"GENSVC",#N/A,FALSE,"FACILITIES EXPENSE";"SAFETY",#N/A,FALSE,"FACILITIES EXPENSE"}</definedName>
    <definedName name="_______FAC6434" hidden="1">{"TOTAL",#N/A,FALSE,"FACILITIES EXPENSE";"TOTALDETAIL",#N/A,FALSE,"FACILITIES EXPENSE";"MATERIALS",#N/A,FALSE,"FACILITIES EXPENSE";"FACILITIES",#N/A,FALSE,"FACILITIES EXPENSE";"CHEM",#N/A,FALSE,"FACILITIES EXPENSE";"GENSVC",#N/A,FALSE,"FACILITIES EXPENSE";"SAFETY",#N/A,FALSE,"FACILITIES EXPENSE"}</definedName>
    <definedName name="_______new3" localSheetId="8" hidden="1">{"FY98Q1 nvs",#N/A,FALSE,"FY98 - Q1";"FY98Q2 nvs",#N/A,FALSE,"FY98 - Q2";"FY98Q3 nvs",#N/A,FALSE,"FY98 - Q3";"FY98Q4 nvs",#N/A,FALSE,"FY98 - Q4"}</definedName>
    <definedName name="_______new3" localSheetId="6" hidden="1">{"FY98Q1 nvs",#N/A,FALSE,"FY98 - Q1";"FY98Q2 nvs",#N/A,FALSE,"FY98 - Q2";"FY98Q3 nvs",#N/A,FALSE,"FY98 - Q3";"FY98Q4 nvs",#N/A,FALSE,"FY98 - Q4"}</definedName>
    <definedName name="_______new3" hidden="1">{"FY98Q1 nvs",#N/A,FALSE,"FY98 - Q1";"FY98Q2 nvs",#N/A,FALSE,"FY98 - Q2";"FY98Q3 nvs",#N/A,FALSE,"FY98 - Q3";"FY98Q4 nvs",#N/A,FALSE,"FY98 - Q4"}</definedName>
    <definedName name="_______new4" localSheetId="8" hidden="1">{"INPUT",#N/A,FALSE,"REVENUE AND GM ";"CONTROL",#N/A,FALSE,"REVENUE AND GM ";"SWITCH",#N/A,FALSE,"REVENUE AND GM ";"OUTPUT",#N/A,FALSE,"REVENUE AND GM ";"TOTAL",#N/A,FALSE,"REVENUE AND GM "}</definedName>
    <definedName name="_______new4" localSheetId="6" hidden="1">{"INPUT",#N/A,FALSE,"REVENUE AND GM ";"CONTROL",#N/A,FALSE,"REVENUE AND GM ";"SWITCH",#N/A,FALSE,"REVENUE AND GM ";"OUTPUT",#N/A,FALSE,"REVENUE AND GM ";"TOTAL",#N/A,FALSE,"REVENUE AND GM "}</definedName>
    <definedName name="_______new4" hidden="1">{"INPUT",#N/A,FALSE,"REVENUE AND GM ";"CONTROL",#N/A,FALSE,"REVENUE AND GM ";"SWITCH",#N/A,FALSE,"REVENUE AND GM ";"OUTPUT",#N/A,FALSE,"REVENUE AND GM ";"TOTAL",#N/A,FALSE,"REVENUE AND GM "}</definedName>
    <definedName name="_______new5" localSheetId="8" hidden="1">{"FY97Total",#N/A,FALSE,"FY97 - Total";"FY98Total",#N/A,FALSE,"FY98 - Total"}</definedName>
    <definedName name="_______new5" localSheetId="6" hidden="1">{"FY97Total",#N/A,FALSE,"FY97 - Total";"FY98Total",#N/A,FALSE,"FY98 - Total"}</definedName>
    <definedName name="_______new5" hidden="1">{"FY97Total",#N/A,FALSE,"FY97 - Total";"FY98Total",#N/A,FALSE,"FY98 - Total"}</definedName>
    <definedName name="_______new6" localSheetId="8" hidden="1">{"FY97Q1",#N/A,FALSE,"FY97 - Q1";"FY97Q2",#N/A,FALSE,"FY97 - Q2";"FY97Q3",#N/A,FALSE,"FY97 - Q3";"FY97Q4",#N/A,FALSE,"FY97 - Q4"}</definedName>
    <definedName name="_______new6" localSheetId="6" hidden="1">{"FY97Q1",#N/A,FALSE,"FY97 - Q1";"FY97Q2",#N/A,FALSE,"FY97 - Q2";"FY97Q3",#N/A,FALSE,"FY97 - Q3";"FY97Q4",#N/A,FALSE,"FY97 - Q4"}</definedName>
    <definedName name="_______new6" hidden="1">{"FY97Q1",#N/A,FALSE,"FY97 - Q1";"FY97Q2",#N/A,FALSE,"FY97 - Q2";"FY97Q3",#N/A,FALSE,"FY97 - Q3";"FY97Q4",#N/A,FALSE,"FY97 - Q4"}</definedName>
    <definedName name="______ASS6434" localSheetId="8"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____ASS6434" localSheetId="6"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____ASS6434"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____CAP10" localSheetId="8" hidden="1">{"LC",#N/A,FALSE,"FC-15 Cap Expend"}</definedName>
    <definedName name="______CAP10" localSheetId="6" hidden="1">{"LC",#N/A,FALSE,"FC-15 Cap Expend"}</definedName>
    <definedName name="______CAP10" hidden="1">{"LC",#N/A,FALSE,"FC-15 Cap Expend"}</definedName>
    <definedName name="______DP6434" localSheetId="8" hidden="1">{"TOTALDPAK",#N/A,FALSE,"DPAK PRODUCTION";"HADPAK",#N/A,FALSE,"DPAK PRODUCTION";"PSIDPAK",#N/A,FALSE,"DPAK PRODUCTION"}</definedName>
    <definedName name="______DP6434" localSheetId="6" hidden="1">{"TOTALDPAK",#N/A,FALSE,"DPAK PRODUCTION";"HADPAK",#N/A,FALSE,"DPAK PRODUCTION";"PSIDPAK",#N/A,FALSE,"DPAK PRODUCTION"}</definedName>
    <definedName name="______DP6434" hidden="1">{"TOTALDPAK",#N/A,FALSE,"DPAK PRODUCTION";"HADPAK",#N/A,FALSE,"DPAK PRODUCTION";"PSIDPAK",#N/A,FALSE,"DPAK PRODUCTION"}</definedName>
    <definedName name="______FA16434" localSheetId="8"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FA16434" localSheetId="6"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_FA2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_____FA2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_FA9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_____FA9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_____FA96434" hidden="1">{"TOTALFAB",#N/A,FALSE,"WAFER FAB 2 EXPENSE";"FABPRODUCTION",#N/A,FALSE,"WAFER FAB 2 EXPENSE";"FABENGINEERING",#N/A,FALSE,"WAFER FAB 2 EXPENSE";"FABEQUIPSUPPORT",#N/A,FALSE,"WAFER FAB 2 EXPENSE";"FABPRODUCTLINE",#N/A,FALSE,"WAFER FAB 2 EXPENSE";"FABMATERIALS",#N/A,FALSE,"WAFER FAB 2 EXPENSE"}</definedName>
    <definedName name="______FAC6434" localSheetId="8" hidden="1">{"TOTAL",#N/A,FALSE,"FACILITIES EXPENSE";"TOTALDETAIL",#N/A,FALSE,"FACILITIES EXPENSE";"MATERIALS",#N/A,FALSE,"FACILITIES EXPENSE";"FACILITIES",#N/A,FALSE,"FACILITIES EXPENSE";"CHEM",#N/A,FALSE,"FACILITIES EXPENSE";"GENSVC",#N/A,FALSE,"FACILITIES EXPENSE";"SAFETY",#N/A,FALSE,"FACILITIES EXPENSE"}</definedName>
    <definedName name="______FAC6434" localSheetId="6" hidden="1">{"TOTAL",#N/A,FALSE,"FACILITIES EXPENSE";"TOTALDETAIL",#N/A,FALSE,"FACILITIES EXPENSE";"MATERIALS",#N/A,FALSE,"FACILITIES EXPENSE";"FACILITIES",#N/A,FALSE,"FACILITIES EXPENSE";"CHEM",#N/A,FALSE,"FACILITIES EXPENSE";"GENSVC",#N/A,FALSE,"FACILITIES EXPENSE";"SAFETY",#N/A,FALSE,"FACILITIES EXPENSE"}</definedName>
    <definedName name="______FAC6434" hidden="1">{"TOTAL",#N/A,FALSE,"FACILITIES EXPENSE";"TOTALDETAIL",#N/A,FALSE,"FACILITIES EXPENSE";"MATERIALS",#N/A,FALSE,"FACILITIES EXPENSE";"FACILITIES",#N/A,FALSE,"FACILITIES EXPENSE";"CHEM",#N/A,FALSE,"FACILITIES EXPENSE";"GENSVC",#N/A,FALSE,"FACILITIES EXPENSE";"SAFETY",#N/A,FALSE,"FACILITIES EXPENSE"}</definedName>
    <definedName name="______new3" localSheetId="8" hidden="1">{"FY98Q1 nvs",#N/A,FALSE,"FY98 - Q1";"FY98Q2 nvs",#N/A,FALSE,"FY98 - Q2";"FY98Q3 nvs",#N/A,FALSE,"FY98 - Q3";"FY98Q4 nvs",#N/A,FALSE,"FY98 - Q4"}</definedName>
    <definedName name="______new3" localSheetId="6" hidden="1">{"FY98Q1 nvs",#N/A,FALSE,"FY98 - Q1";"FY98Q2 nvs",#N/A,FALSE,"FY98 - Q2";"FY98Q3 nvs",#N/A,FALSE,"FY98 - Q3";"FY98Q4 nvs",#N/A,FALSE,"FY98 - Q4"}</definedName>
    <definedName name="______new3" hidden="1">{"FY98Q1 nvs",#N/A,FALSE,"FY98 - Q1";"FY98Q2 nvs",#N/A,FALSE,"FY98 - Q2";"FY98Q3 nvs",#N/A,FALSE,"FY98 - Q3";"FY98Q4 nvs",#N/A,FALSE,"FY98 - Q4"}</definedName>
    <definedName name="______new4" localSheetId="8" hidden="1">{"INPUT",#N/A,FALSE,"REVENUE AND GM ";"CONTROL",#N/A,FALSE,"REVENUE AND GM ";"SWITCH",#N/A,FALSE,"REVENUE AND GM ";"OUTPUT",#N/A,FALSE,"REVENUE AND GM ";"TOTAL",#N/A,FALSE,"REVENUE AND GM "}</definedName>
    <definedName name="______new4" localSheetId="6" hidden="1">{"INPUT",#N/A,FALSE,"REVENUE AND GM ";"CONTROL",#N/A,FALSE,"REVENUE AND GM ";"SWITCH",#N/A,FALSE,"REVENUE AND GM ";"OUTPUT",#N/A,FALSE,"REVENUE AND GM ";"TOTAL",#N/A,FALSE,"REVENUE AND GM "}</definedName>
    <definedName name="______new4" hidden="1">{"INPUT",#N/A,FALSE,"REVENUE AND GM ";"CONTROL",#N/A,FALSE,"REVENUE AND GM ";"SWITCH",#N/A,FALSE,"REVENUE AND GM ";"OUTPUT",#N/A,FALSE,"REVENUE AND GM ";"TOTAL",#N/A,FALSE,"REVENUE AND GM "}</definedName>
    <definedName name="______new5" localSheetId="8" hidden="1">{"FY97Total",#N/A,FALSE,"FY97 - Total";"FY98Total",#N/A,FALSE,"FY98 - Total"}</definedName>
    <definedName name="______new5" localSheetId="6" hidden="1">{"FY97Total",#N/A,FALSE,"FY97 - Total";"FY98Total",#N/A,FALSE,"FY98 - Total"}</definedName>
    <definedName name="______new5" hidden="1">{"FY97Total",#N/A,FALSE,"FY97 - Total";"FY98Total",#N/A,FALSE,"FY98 - Total"}</definedName>
    <definedName name="______new6" localSheetId="8" hidden="1">{"FY97Q1",#N/A,FALSE,"FY97 - Q1";"FY97Q2",#N/A,FALSE,"FY97 - Q2";"FY97Q3",#N/A,FALSE,"FY97 - Q3";"FY97Q4",#N/A,FALSE,"FY97 - Q4"}</definedName>
    <definedName name="______new6" localSheetId="6" hidden="1">{"FY97Q1",#N/A,FALSE,"FY97 - Q1";"FY97Q2",#N/A,FALSE,"FY97 - Q2";"FY97Q3",#N/A,FALSE,"FY97 - Q3";"FY97Q4",#N/A,FALSE,"FY97 - Q4"}</definedName>
    <definedName name="______new6" hidden="1">{"FY97Q1",#N/A,FALSE,"FY97 - Q1";"FY97Q2",#N/A,FALSE,"FY97 - Q2";"FY97Q3",#N/A,FALSE,"FY97 - Q3";"FY97Q4",#N/A,FALSE,"FY97 - Q4"}</definedName>
    <definedName name="______QR6434" localSheetId="8"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____QR6434" localSheetId="6"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____QR6434"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____TEM6434" localSheetId="8" hidden="1">{"ALLOCATION1",#N/A,FALSE,"EXPENSE ALLOCATIONS";"ALLOCATION2",#N/A,FALSE,"EXPENSE ALLOCATIONS";"ALLOCATION3",#N/A,FALSE,"EXPENSE ALLOCATIONS";"ALLOCATION4",#N/A,FALSE,"EXPENSE ALLOCATIONS"}</definedName>
    <definedName name="______TEM6434" localSheetId="6" hidden="1">{"ALLOCATION1",#N/A,FALSE,"EXPENSE ALLOCATIONS";"ALLOCATION2",#N/A,FALSE,"EXPENSE ALLOCATIONS";"ALLOCATION3",#N/A,FALSE,"EXPENSE ALLOCATIONS";"ALLOCATION4",#N/A,FALSE,"EXPENSE ALLOCATIONS"}</definedName>
    <definedName name="______TEM6434" hidden="1">{"ALLOCATION1",#N/A,FALSE,"EXPENSE ALLOCATIONS";"ALLOCATION2",#N/A,FALSE,"EXPENSE ALLOCATIONS";"ALLOCATION3",#N/A,FALSE,"EXPENSE ALLOCATIONS";"ALLOCATION4",#N/A,FALSE,"EXPENSE ALLOCATIONS"}</definedName>
    <definedName name="______xlfn.BAHTTEXT" hidden="1">#NAME?</definedName>
    <definedName name="_____a2" localSheetId="8" hidden="1">{#N/A,#N/A,FALSE,"Sheet1"}</definedName>
    <definedName name="_____a2" localSheetId="6" hidden="1">{#N/A,#N/A,FALSE,"Sheet1"}</definedName>
    <definedName name="_____a2" hidden="1">{#N/A,#N/A,FALSE,"Sheet1"}</definedName>
    <definedName name="_____a3" localSheetId="8" hidden="1">{#N/A,#N/A,FALSE,"Sheet1"}</definedName>
    <definedName name="_____a3" localSheetId="6" hidden="1">{#N/A,#N/A,FALSE,"Sheet1"}</definedName>
    <definedName name="_____a3" hidden="1">{#N/A,#N/A,FALSE,"Sheet1"}</definedName>
    <definedName name="_____ALL6434" localSheetId="8" hidden="1">{"ALLOCATION1",#N/A,FALSE,"EXPENSE ALLOCATIONS";"ALLOCATION2",#N/A,FALSE,"EXPENSE ALLOCATIONS";"ALLOCATION3",#N/A,FALSE,"EXPENSE ALLOCATIONS";"ALLOCATION4",#N/A,FALSE,"EXPENSE ALLOCATIONS"}</definedName>
    <definedName name="_____ALL6434" localSheetId="6" hidden="1">{"ALLOCATION1",#N/A,FALSE,"EXPENSE ALLOCATIONS";"ALLOCATION2",#N/A,FALSE,"EXPENSE ALLOCATIONS";"ALLOCATION3",#N/A,FALSE,"EXPENSE ALLOCATIONS";"ALLOCATION4",#N/A,FALSE,"EXPENSE ALLOCATIONS"}</definedName>
    <definedName name="_____ALL6434" hidden="1">{"ALLOCATION1",#N/A,FALSE,"EXPENSE ALLOCATIONS";"ALLOCATION2",#N/A,FALSE,"EXPENSE ALLOCATIONS";"ALLOCATION3",#N/A,FALSE,"EXPENSE ALLOCATIONS";"ALLOCATION4",#N/A,FALSE,"EXPENSE ALLOCATIONS"}</definedName>
    <definedName name="_____ASS6434" localSheetId="8"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___ASS6434" localSheetId="6"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___ASS6434"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___CAP10" localSheetId="8" hidden="1">{"LC",#N/A,FALSE,"FC-15 Cap Expend"}</definedName>
    <definedName name="_____CAP10" localSheetId="6" hidden="1">{"LC",#N/A,FALSE,"FC-15 Cap Expend"}</definedName>
    <definedName name="_____CAP10" hidden="1">{"LC",#N/A,FALSE,"FC-15 Cap Expend"}</definedName>
    <definedName name="_____DP6434" localSheetId="8" hidden="1">{"TOTALDPAK",#N/A,FALSE,"DPAK PRODUCTION";"HADPAK",#N/A,FALSE,"DPAK PRODUCTION";"PSIDPAK",#N/A,FALSE,"DPAK PRODUCTION"}</definedName>
    <definedName name="_____DP6434" localSheetId="6" hidden="1">{"TOTALDPAK",#N/A,FALSE,"DPAK PRODUCTION";"HADPAK",#N/A,FALSE,"DPAK PRODUCTION";"PSIDPAK",#N/A,FALSE,"DPAK PRODUCTION"}</definedName>
    <definedName name="_____DP6434" hidden="1">{"TOTALDPAK",#N/A,FALSE,"DPAK PRODUCTION";"HADPAK",#N/A,FALSE,"DPAK PRODUCTION";"PSIDPAK",#N/A,FALSE,"DPAK PRODUCTION"}</definedName>
    <definedName name="_____FA16434" localSheetId="8"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FA16434" localSheetId="6"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_FA2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____FA2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_FA9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____FA9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____FA96434" hidden="1">{"TOTALFAB",#N/A,FALSE,"WAFER FAB 2 EXPENSE";"FABPRODUCTION",#N/A,FALSE,"WAFER FAB 2 EXPENSE";"FABENGINEERING",#N/A,FALSE,"WAFER FAB 2 EXPENSE";"FABEQUIPSUPPORT",#N/A,FALSE,"WAFER FAB 2 EXPENSE";"FABPRODUCTLINE",#N/A,FALSE,"WAFER FAB 2 EXPENSE";"FABMATERIALS",#N/A,FALSE,"WAFER FAB 2 EXPENSE"}</definedName>
    <definedName name="_____FAC6434" localSheetId="8" hidden="1">{"TOTAL",#N/A,FALSE,"FACILITIES EXPENSE";"TOTALDETAIL",#N/A,FALSE,"FACILITIES EXPENSE";"MATERIALS",#N/A,FALSE,"FACILITIES EXPENSE";"FACILITIES",#N/A,FALSE,"FACILITIES EXPENSE";"CHEM",#N/A,FALSE,"FACILITIES EXPENSE";"GENSVC",#N/A,FALSE,"FACILITIES EXPENSE";"SAFETY",#N/A,FALSE,"FACILITIES EXPENSE"}</definedName>
    <definedName name="_____FAC6434" localSheetId="6" hidden="1">{"TOTAL",#N/A,FALSE,"FACILITIES EXPENSE";"TOTALDETAIL",#N/A,FALSE,"FACILITIES EXPENSE";"MATERIALS",#N/A,FALSE,"FACILITIES EXPENSE";"FACILITIES",#N/A,FALSE,"FACILITIES EXPENSE";"CHEM",#N/A,FALSE,"FACILITIES EXPENSE";"GENSVC",#N/A,FALSE,"FACILITIES EXPENSE";"SAFETY",#N/A,FALSE,"FACILITIES EXPENSE"}</definedName>
    <definedName name="_____FAC6434" hidden="1">{"TOTAL",#N/A,FALSE,"FACILITIES EXPENSE";"TOTALDETAIL",#N/A,FALSE,"FACILITIES EXPENSE";"MATERIALS",#N/A,FALSE,"FACILITIES EXPENSE";"FACILITIES",#N/A,FALSE,"FACILITIES EXPENSE";"CHEM",#N/A,FALSE,"FACILITIES EXPENSE";"GENSVC",#N/A,FALSE,"FACILITIES EXPENSE";"SAFETY",#N/A,FALSE,"FACILITIES EXPENSE"}</definedName>
    <definedName name="_____new2" localSheetId="8" hidden="1">{"FY97Q1 nvs",#N/A,FALSE,"FY97 - Q1";"FY97Q2 nvs",#N/A,FALSE,"FY97 - Q2";"FY97Q3 nvs",#N/A,FALSE,"FY97 - Q3";"FY97Q4 nvs",#N/A,FALSE,"FY97 - Q4"}</definedName>
    <definedName name="_____new2" localSheetId="6" hidden="1">{"FY97Q1 nvs",#N/A,FALSE,"FY97 - Q1";"FY97Q2 nvs",#N/A,FALSE,"FY97 - Q2";"FY97Q3 nvs",#N/A,FALSE,"FY97 - Q3";"FY97Q4 nvs",#N/A,FALSE,"FY97 - Q4"}</definedName>
    <definedName name="_____new2" hidden="1">{"FY97Q1 nvs",#N/A,FALSE,"FY97 - Q1";"FY97Q2 nvs",#N/A,FALSE,"FY97 - Q2";"FY97Q3 nvs",#N/A,FALSE,"FY97 - Q3";"FY97Q4 nvs",#N/A,FALSE,"FY97 - Q4"}</definedName>
    <definedName name="_____new3" localSheetId="8" hidden="1">{"FY98Q1 nvs",#N/A,FALSE,"FY98 - Q1";"FY98Q2 nvs",#N/A,FALSE,"FY98 - Q2";"FY98Q3 nvs",#N/A,FALSE,"FY98 - Q3";"FY98Q4 nvs",#N/A,FALSE,"FY98 - Q4"}</definedName>
    <definedName name="_____new3" localSheetId="6" hidden="1">{"FY98Q1 nvs",#N/A,FALSE,"FY98 - Q1";"FY98Q2 nvs",#N/A,FALSE,"FY98 - Q2";"FY98Q3 nvs",#N/A,FALSE,"FY98 - Q3";"FY98Q4 nvs",#N/A,FALSE,"FY98 - Q4"}</definedName>
    <definedName name="_____new3" hidden="1">{"FY98Q1 nvs",#N/A,FALSE,"FY98 - Q1";"FY98Q2 nvs",#N/A,FALSE,"FY98 - Q2";"FY98Q3 nvs",#N/A,FALSE,"FY98 - Q3";"FY98Q4 nvs",#N/A,FALSE,"FY98 - Q4"}</definedName>
    <definedName name="_____new4" localSheetId="8" hidden="1">{"INPUT",#N/A,FALSE,"REVENUE AND GM ";"CONTROL",#N/A,FALSE,"REVENUE AND GM ";"SWITCH",#N/A,FALSE,"REVENUE AND GM ";"OUTPUT",#N/A,FALSE,"REVENUE AND GM ";"TOTAL",#N/A,FALSE,"REVENUE AND GM "}</definedName>
    <definedName name="_____new4" localSheetId="6" hidden="1">{"INPUT",#N/A,FALSE,"REVENUE AND GM ";"CONTROL",#N/A,FALSE,"REVENUE AND GM ";"SWITCH",#N/A,FALSE,"REVENUE AND GM ";"OUTPUT",#N/A,FALSE,"REVENUE AND GM ";"TOTAL",#N/A,FALSE,"REVENUE AND GM "}</definedName>
    <definedName name="_____new4" hidden="1">{"INPUT",#N/A,FALSE,"REVENUE AND GM ";"CONTROL",#N/A,FALSE,"REVENUE AND GM ";"SWITCH",#N/A,FALSE,"REVENUE AND GM ";"OUTPUT",#N/A,FALSE,"REVENUE AND GM ";"TOTAL",#N/A,FALSE,"REVENUE AND GM "}</definedName>
    <definedName name="_____new5" localSheetId="8" hidden="1">{"FY97Total",#N/A,FALSE,"FY97 - Total";"FY98Total",#N/A,FALSE,"FY98 - Total"}</definedName>
    <definedName name="_____new5" localSheetId="6" hidden="1">{"FY97Total",#N/A,FALSE,"FY97 - Total";"FY98Total",#N/A,FALSE,"FY98 - Total"}</definedName>
    <definedName name="_____new5" hidden="1">{"FY97Total",#N/A,FALSE,"FY97 - Total";"FY98Total",#N/A,FALSE,"FY98 - Total"}</definedName>
    <definedName name="_____new6" localSheetId="8" hidden="1">{"FY97Q1",#N/A,FALSE,"FY97 - Q1";"FY97Q2",#N/A,FALSE,"FY97 - Q2";"FY97Q3",#N/A,FALSE,"FY97 - Q3";"FY97Q4",#N/A,FALSE,"FY97 - Q4"}</definedName>
    <definedName name="_____new6" localSheetId="6" hidden="1">{"FY97Q1",#N/A,FALSE,"FY97 - Q1";"FY97Q2",#N/A,FALSE,"FY97 - Q2";"FY97Q3",#N/A,FALSE,"FY97 - Q3";"FY97Q4",#N/A,FALSE,"FY97 - Q4"}</definedName>
    <definedName name="_____new6" hidden="1">{"FY97Q1",#N/A,FALSE,"FY97 - Q1";"FY97Q2",#N/A,FALSE,"FY97 - Q2";"FY97Q3",#N/A,FALSE,"FY97 - Q3";"FY97Q4",#N/A,FALSE,"FY97 - Q4"}</definedName>
    <definedName name="_____QR6434" localSheetId="8"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___QR6434" localSheetId="6"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___QR6434"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___TEM6434" localSheetId="8" hidden="1">{"ALLOCATION1",#N/A,FALSE,"EXPENSE ALLOCATIONS";"ALLOCATION2",#N/A,FALSE,"EXPENSE ALLOCATIONS";"ALLOCATION3",#N/A,FALSE,"EXPENSE ALLOCATIONS";"ALLOCATION4",#N/A,FALSE,"EXPENSE ALLOCATIONS"}</definedName>
    <definedName name="_____TEM6434" localSheetId="6" hidden="1">{"ALLOCATION1",#N/A,FALSE,"EXPENSE ALLOCATIONS";"ALLOCATION2",#N/A,FALSE,"EXPENSE ALLOCATIONS";"ALLOCATION3",#N/A,FALSE,"EXPENSE ALLOCATIONS";"ALLOCATION4",#N/A,FALSE,"EXPENSE ALLOCATIONS"}</definedName>
    <definedName name="_____TEM6434" hidden="1">{"ALLOCATION1",#N/A,FALSE,"EXPENSE ALLOCATIONS";"ALLOCATION2",#N/A,FALSE,"EXPENSE ALLOCATIONS";"ALLOCATION3",#N/A,FALSE,"EXPENSE ALLOCATIONS";"ALLOCATION4",#N/A,FALSE,"EXPENSE ALLOCATIONS"}</definedName>
    <definedName name="_____xlfn.BAHTTEXT" hidden="1">#NAME?</definedName>
    <definedName name="____a2" localSheetId="8" hidden="1">{#N/A,#N/A,FALSE,"Sheet1"}</definedName>
    <definedName name="____a2" localSheetId="6" hidden="1">{#N/A,#N/A,FALSE,"Sheet1"}</definedName>
    <definedName name="____a2" hidden="1">{#N/A,#N/A,FALSE,"Sheet1"}</definedName>
    <definedName name="____a3" localSheetId="8" hidden="1">{#N/A,#N/A,FALSE,"Sheet1"}</definedName>
    <definedName name="____a3" localSheetId="6" hidden="1">{#N/A,#N/A,FALSE,"Sheet1"}</definedName>
    <definedName name="____a3" hidden="1">{#N/A,#N/A,FALSE,"Sheet1"}</definedName>
    <definedName name="____ALL6434" localSheetId="8" hidden="1">{"ALLOCATION1",#N/A,FALSE,"EXPENSE ALLOCATIONS";"ALLOCATION2",#N/A,FALSE,"EXPENSE ALLOCATIONS";"ALLOCATION3",#N/A,FALSE,"EXPENSE ALLOCATIONS";"ALLOCATION4",#N/A,FALSE,"EXPENSE ALLOCATIONS"}</definedName>
    <definedName name="____ALL6434" localSheetId="6" hidden="1">{"ALLOCATION1",#N/A,FALSE,"EXPENSE ALLOCATIONS";"ALLOCATION2",#N/A,FALSE,"EXPENSE ALLOCATIONS";"ALLOCATION3",#N/A,FALSE,"EXPENSE ALLOCATIONS";"ALLOCATION4",#N/A,FALSE,"EXPENSE ALLOCATIONS"}</definedName>
    <definedName name="____ALL6434" hidden="1">{"ALLOCATION1",#N/A,FALSE,"EXPENSE ALLOCATIONS";"ALLOCATION2",#N/A,FALSE,"EXPENSE ALLOCATIONS";"ALLOCATION3",#N/A,FALSE,"EXPENSE ALLOCATIONS";"ALLOCATION4",#N/A,FALSE,"EXPENSE ALLOCATIONS"}</definedName>
    <definedName name="____ASS6434" localSheetId="8"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__ASS6434" localSheetId="6"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__ASS6434"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__CAP10" localSheetId="8" hidden="1">{"LC",#N/A,FALSE,"FC-15 Cap Expend"}</definedName>
    <definedName name="____CAP10" localSheetId="6" hidden="1">{"LC",#N/A,FALSE,"FC-15 Cap Expend"}</definedName>
    <definedName name="____CAP10" hidden="1">{"LC",#N/A,FALSE,"FC-15 Cap Expend"}</definedName>
    <definedName name="____DP6434" localSheetId="8" hidden="1">{"TOTALDPAK",#N/A,FALSE,"DPAK PRODUCTION";"HADPAK",#N/A,FALSE,"DPAK PRODUCTION";"PSIDPAK",#N/A,FALSE,"DPAK PRODUCTION"}</definedName>
    <definedName name="____DP6434" localSheetId="6" hidden="1">{"TOTALDPAK",#N/A,FALSE,"DPAK PRODUCTION";"HADPAK",#N/A,FALSE,"DPAK PRODUCTION";"PSIDPAK",#N/A,FALSE,"DPAK PRODUCTION"}</definedName>
    <definedName name="____DP6434" hidden="1">{"TOTALDPAK",#N/A,FALSE,"DPAK PRODUCTION";"HADPAK",#N/A,FALSE,"DPAK PRODUCTION";"PSIDPAK",#N/A,FALSE,"DPAK PRODUCTION"}</definedName>
    <definedName name="____FA16434" localSheetId="8"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FA16434" localSheetId="6"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_FA2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___FA2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_FA9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___FA9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___FA96434" hidden="1">{"TOTALFAB",#N/A,FALSE,"WAFER FAB 2 EXPENSE";"FABPRODUCTION",#N/A,FALSE,"WAFER FAB 2 EXPENSE";"FABENGINEERING",#N/A,FALSE,"WAFER FAB 2 EXPENSE";"FABEQUIPSUPPORT",#N/A,FALSE,"WAFER FAB 2 EXPENSE";"FABPRODUCTLINE",#N/A,FALSE,"WAFER FAB 2 EXPENSE";"FABMATERIALS",#N/A,FALSE,"WAFER FAB 2 EXPENSE"}</definedName>
    <definedName name="____FAC6434" localSheetId="8" hidden="1">{"TOTAL",#N/A,FALSE,"FACILITIES EXPENSE";"TOTALDETAIL",#N/A,FALSE,"FACILITIES EXPENSE";"MATERIALS",#N/A,FALSE,"FACILITIES EXPENSE";"FACILITIES",#N/A,FALSE,"FACILITIES EXPENSE";"CHEM",#N/A,FALSE,"FACILITIES EXPENSE";"GENSVC",#N/A,FALSE,"FACILITIES EXPENSE";"SAFETY",#N/A,FALSE,"FACILITIES EXPENSE"}</definedName>
    <definedName name="____FAC6434" localSheetId="6" hidden="1">{"TOTAL",#N/A,FALSE,"FACILITIES EXPENSE";"TOTALDETAIL",#N/A,FALSE,"FACILITIES EXPENSE";"MATERIALS",#N/A,FALSE,"FACILITIES EXPENSE";"FACILITIES",#N/A,FALSE,"FACILITIES EXPENSE";"CHEM",#N/A,FALSE,"FACILITIES EXPENSE";"GENSVC",#N/A,FALSE,"FACILITIES EXPENSE";"SAFETY",#N/A,FALSE,"FACILITIES EXPENSE"}</definedName>
    <definedName name="____FAC6434" hidden="1">{"TOTAL",#N/A,FALSE,"FACILITIES EXPENSE";"TOTALDETAIL",#N/A,FALSE,"FACILITIES EXPENSE";"MATERIALS",#N/A,FALSE,"FACILITIES EXPENSE";"FACILITIES",#N/A,FALSE,"FACILITIES EXPENSE";"CHEM",#N/A,FALSE,"FACILITIES EXPENSE";"GENSVC",#N/A,FALSE,"FACILITIES EXPENSE";"SAFETY",#N/A,FALSE,"FACILITIES EXPENSE"}</definedName>
    <definedName name="____new2" localSheetId="8" hidden="1">{"FY97Q1 nvs",#N/A,FALSE,"FY97 - Q1";"FY97Q2 nvs",#N/A,FALSE,"FY97 - Q2";"FY97Q3 nvs",#N/A,FALSE,"FY97 - Q3";"FY97Q4 nvs",#N/A,FALSE,"FY97 - Q4"}</definedName>
    <definedName name="____new2" localSheetId="6" hidden="1">{"FY97Q1 nvs",#N/A,FALSE,"FY97 - Q1";"FY97Q2 nvs",#N/A,FALSE,"FY97 - Q2";"FY97Q3 nvs",#N/A,FALSE,"FY97 - Q3";"FY97Q4 nvs",#N/A,FALSE,"FY97 - Q4"}</definedName>
    <definedName name="____new2" hidden="1">{"FY97Q1 nvs",#N/A,FALSE,"FY97 - Q1";"FY97Q2 nvs",#N/A,FALSE,"FY97 - Q2";"FY97Q3 nvs",#N/A,FALSE,"FY97 - Q3";"FY97Q4 nvs",#N/A,FALSE,"FY97 - Q4"}</definedName>
    <definedName name="____new3" localSheetId="8" hidden="1">{"FY98Q1 nvs",#N/A,FALSE,"FY98 - Q1";"FY98Q2 nvs",#N/A,FALSE,"FY98 - Q2";"FY98Q3 nvs",#N/A,FALSE,"FY98 - Q3";"FY98Q4 nvs",#N/A,FALSE,"FY98 - Q4"}</definedName>
    <definedName name="____new3" localSheetId="6" hidden="1">{"FY98Q1 nvs",#N/A,FALSE,"FY98 - Q1";"FY98Q2 nvs",#N/A,FALSE,"FY98 - Q2";"FY98Q3 nvs",#N/A,FALSE,"FY98 - Q3";"FY98Q4 nvs",#N/A,FALSE,"FY98 - Q4"}</definedName>
    <definedName name="____new3" hidden="1">{"FY98Q1 nvs",#N/A,FALSE,"FY98 - Q1";"FY98Q2 nvs",#N/A,FALSE,"FY98 - Q2";"FY98Q3 nvs",#N/A,FALSE,"FY98 - Q3";"FY98Q4 nvs",#N/A,FALSE,"FY98 - Q4"}</definedName>
    <definedName name="____new4" localSheetId="8" hidden="1">{"INPUT",#N/A,FALSE,"REVENUE AND GM ";"CONTROL",#N/A,FALSE,"REVENUE AND GM ";"SWITCH",#N/A,FALSE,"REVENUE AND GM ";"OUTPUT",#N/A,FALSE,"REVENUE AND GM ";"TOTAL",#N/A,FALSE,"REVENUE AND GM "}</definedName>
    <definedName name="____new4" localSheetId="6" hidden="1">{"INPUT",#N/A,FALSE,"REVENUE AND GM ";"CONTROL",#N/A,FALSE,"REVENUE AND GM ";"SWITCH",#N/A,FALSE,"REVENUE AND GM ";"OUTPUT",#N/A,FALSE,"REVENUE AND GM ";"TOTAL",#N/A,FALSE,"REVENUE AND GM "}</definedName>
    <definedName name="____new4" hidden="1">{"INPUT",#N/A,FALSE,"REVENUE AND GM ";"CONTROL",#N/A,FALSE,"REVENUE AND GM ";"SWITCH",#N/A,FALSE,"REVENUE AND GM ";"OUTPUT",#N/A,FALSE,"REVENUE AND GM ";"TOTAL",#N/A,FALSE,"REVENUE AND GM "}</definedName>
    <definedName name="____new5" localSheetId="8" hidden="1">{"FY97Total",#N/A,FALSE,"FY97 - Total";"FY98Total",#N/A,FALSE,"FY98 - Total"}</definedName>
    <definedName name="____new5" localSheetId="6" hidden="1">{"FY97Total",#N/A,FALSE,"FY97 - Total";"FY98Total",#N/A,FALSE,"FY98 - Total"}</definedName>
    <definedName name="____new5" hidden="1">{"FY97Total",#N/A,FALSE,"FY97 - Total";"FY98Total",#N/A,FALSE,"FY98 - Total"}</definedName>
    <definedName name="____new6" localSheetId="8" hidden="1">{"FY97Q1",#N/A,FALSE,"FY97 - Q1";"FY97Q2",#N/A,FALSE,"FY97 - Q2";"FY97Q3",#N/A,FALSE,"FY97 - Q3";"FY97Q4",#N/A,FALSE,"FY97 - Q4"}</definedName>
    <definedName name="____new6" localSheetId="6" hidden="1">{"FY97Q1",#N/A,FALSE,"FY97 - Q1";"FY97Q2",#N/A,FALSE,"FY97 - Q2";"FY97Q3",#N/A,FALSE,"FY97 - Q3";"FY97Q4",#N/A,FALSE,"FY97 - Q4"}</definedName>
    <definedName name="____new6" hidden="1">{"FY97Q1",#N/A,FALSE,"FY97 - Q1";"FY97Q2",#N/A,FALSE,"FY97 - Q2";"FY97Q3",#N/A,FALSE,"FY97 - Q3";"FY97Q4",#N/A,FALSE,"FY97 - Q4"}</definedName>
    <definedName name="____QR6434" localSheetId="8"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__QR6434" localSheetId="6"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__QR6434"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__TEM6434" localSheetId="8" hidden="1">{"ALLOCATION1",#N/A,FALSE,"EXPENSE ALLOCATIONS";"ALLOCATION2",#N/A,FALSE,"EXPENSE ALLOCATIONS";"ALLOCATION3",#N/A,FALSE,"EXPENSE ALLOCATIONS";"ALLOCATION4",#N/A,FALSE,"EXPENSE ALLOCATIONS"}</definedName>
    <definedName name="____TEM6434" localSheetId="6" hidden="1">{"ALLOCATION1",#N/A,FALSE,"EXPENSE ALLOCATIONS";"ALLOCATION2",#N/A,FALSE,"EXPENSE ALLOCATIONS";"ALLOCATION3",#N/A,FALSE,"EXPENSE ALLOCATIONS";"ALLOCATION4",#N/A,FALSE,"EXPENSE ALLOCATIONS"}</definedName>
    <definedName name="____TEM6434" hidden="1">{"ALLOCATION1",#N/A,FALSE,"EXPENSE ALLOCATIONS";"ALLOCATION2",#N/A,FALSE,"EXPENSE ALLOCATIONS";"ALLOCATION3",#N/A,FALSE,"EXPENSE ALLOCATIONS";"ALLOCATION4",#N/A,FALSE,"EXPENSE ALLOCATIONS"}</definedName>
    <definedName name="____xlfn.BAHTTEXT" hidden="1">#NAME?</definedName>
    <definedName name="___a2" localSheetId="8" hidden="1">{#N/A,#N/A,FALSE,"Sheet1"}</definedName>
    <definedName name="___a2" localSheetId="6" hidden="1">{#N/A,#N/A,FALSE,"Sheet1"}</definedName>
    <definedName name="___a2" hidden="1">{#N/A,#N/A,FALSE,"Sheet1"}</definedName>
    <definedName name="___a3" localSheetId="8" hidden="1">{#N/A,#N/A,FALSE,"Sheet1"}</definedName>
    <definedName name="___a3" localSheetId="6" hidden="1">{#N/A,#N/A,FALSE,"Sheet1"}</definedName>
    <definedName name="___a3" hidden="1">{#N/A,#N/A,FALSE,"Sheet1"}</definedName>
    <definedName name="___ALL6434" localSheetId="8" hidden="1">{"ALLOCATION1",#N/A,FALSE,"EXPENSE ALLOCATIONS";"ALLOCATION2",#N/A,FALSE,"EXPENSE ALLOCATIONS";"ALLOCATION3",#N/A,FALSE,"EXPENSE ALLOCATIONS";"ALLOCATION4",#N/A,FALSE,"EXPENSE ALLOCATIONS"}</definedName>
    <definedName name="___ALL6434" localSheetId="6" hidden="1">{"ALLOCATION1",#N/A,FALSE,"EXPENSE ALLOCATIONS";"ALLOCATION2",#N/A,FALSE,"EXPENSE ALLOCATIONS";"ALLOCATION3",#N/A,FALSE,"EXPENSE ALLOCATIONS";"ALLOCATION4",#N/A,FALSE,"EXPENSE ALLOCATIONS"}</definedName>
    <definedName name="___ALL6434" hidden="1">{"ALLOCATION1",#N/A,FALSE,"EXPENSE ALLOCATIONS";"ALLOCATION2",#N/A,FALSE,"EXPENSE ALLOCATIONS";"ALLOCATION3",#N/A,FALSE,"EXPENSE ALLOCATIONS";"ALLOCATION4",#N/A,FALSE,"EXPENSE ALLOCATIONS"}</definedName>
    <definedName name="___ASS6434" localSheetId="8"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_ASS6434" localSheetId="6"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_ASS6434"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_CAP10" localSheetId="8" hidden="1">{"LC",#N/A,FALSE,"FC-15 Cap Expend"}</definedName>
    <definedName name="___CAP10" localSheetId="6" hidden="1">{"LC",#N/A,FALSE,"FC-15 Cap Expend"}</definedName>
    <definedName name="___CAP10" hidden="1">{"LC",#N/A,FALSE,"FC-15 Cap Expend"}</definedName>
    <definedName name="___DP6434" localSheetId="8" hidden="1">{"TOTALDPAK",#N/A,FALSE,"DPAK PRODUCTION";"HADPAK",#N/A,FALSE,"DPAK PRODUCTION";"PSIDPAK",#N/A,FALSE,"DPAK PRODUCTION"}</definedName>
    <definedName name="___DP6434" localSheetId="6" hidden="1">{"TOTALDPAK",#N/A,FALSE,"DPAK PRODUCTION";"HADPAK",#N/A,FALSE,"DPAK PRODUCTION";"PSIDPAK",#N/A,FALSE,"DPAK PRODUCTION"}</definedName>
    <definedName name="___DP6434" hidden="1">{"TOTALDPAK",#N/A,FALSE,"DPAK PRODUCTION";"HADPAK",#N/A,FALSE,"DPAK PRODUCTION";"PSIDPAK",#N/A,FALSE,"DPAK PRODUCTION"}</definedName>
    <definedName name="___FA16434" localSheetId="8"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FA16434" localSheetId="6"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_FA2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__FA2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__FA26434" hidden="1">{"TOTALFAB",#N/A,FALSE,"WAFER FAB 2 EXPENSE";"FABPRODUCTION",#N/A,FALSE,"WAFER FAB 2 EXPENSE";"FABENGINEERING",#N/A,FALSE,"WAFER FAB 2 EXPENSE";"FABEQUIPSUPPORT",#N/A,FALSE,"WAFER FAB 2 EXPENSE";"FABPRODUCTLINE",#N/A,FALSE,"WAFER FAB 2 EXPENSE";"FABMATERIALS",#N/A,FALSE,"WAFER FAB 2 EXPENSE"}</definedName>
    <definedName name="___FA9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__FA9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__FA96434" hidden="1">{"TOTALFAB",#N/A,FALSE,"WAFER FAB 2 EXPENSE";"FABPRODUCTION",#N/A,FALSE,"WAFER FAB 2 EXPENSE";"FABENGINEERING",#N/A,FALSE,"WAFER FAB 2 EXPENSE";"FABEQUIPSUPPORT",#N/A,FALSE,"WAFER FAB 2 EXPENSE";"FABPRODUCTLINE",#N/A,FALSE,"WAFER FAB 2 EXPENSE";"FABMATERIALS",#N/A,FALSE,"WAFER FAB 2 EXPENSE"}</definedName>
    <definedName name="___FAC6434" localSheetId="8" hidden="1">{"TOTAL",#N/A,FALSE,"FACILITIES EXPENSE";"TOTALDETAIL",#N/A,FALSE,"FACILITIES EXPENSE";"MATERIALS",#N/A,FALSE,"FACILITIES EXPENSE";"FACILITIES",#N/A,FALSE,"FACILITIES EXPENSE";"CHEM",#N/A,FALSE,"FACILITIES EXPENSE";"GENSVC",#N/A,FALSE,"FACILITIES EXPENSE";"SAFETY",#N/A,FALSE,"FACILITIES EXPENSE"}</definedName>
    <definedName name="___FAC6434" localSheetId="6" hidden="1">{"TOTAL",#N/A,FALSE,"FACILITIES EXPENSE";"TOTALDETAIL",#N/A,FALSE,"FACILITIES EXPENSE";"MATERIALS",#N/A,FALSE,"FACILITIES EXPENSE";"FACILITIES",#N/A,FALSE,"FACILITIES EXPENSE";"CHEM",#N/A,FALSE,"FACILITIES EXPENSE";"GENSVC",#N/A,FALSE,"FACILITIES EXPENSE";"SAFETY",#N/A,FALSE,"FACILITIES EXPENSE"}</definedName>
    <definedName name="___FAC6434" hidden="1">{"TOTAL",#N/A,FALSE,"FACILITIES EXPENSE";"TOTALDETAIL",#N/A,FALSE,"FACILITIES EXPENSE";"MATERIALS",#N/A,FALSE,"FACILITIES EXPENSE";"FACILITIES",#N/A,FALSE,"FACILITIES EXPENSE";"CHEM",#N/A,FALSE,"FACILITIES EXPENSE";"GENSVC",#N/A,FALSE,"FACILITIES EXPENSE";"SAFETY",#N/A,FALSE,"FACILITIES EXPENSE"}</definedName>
    <definedName name="___new2" localSheetId="8" hidden="1">{"FY97Q1 nvs",#N/A,FALSE,"FY97 - Q1";"FY97Q2 nvs",#N/A,FALSE,"FY97 - Q2";"FY97Q3 nvs",#N/A,FALSE,"FY97 - Q3";"FY97Q4 nvs",#N/A,FALSE,"FY97 - Q4"}</definedName>
    <definedName name="___new2" localSheetId="6" hidden="1">{"FY97Q1 nvs",#N/A,FALSE,"FY97 - Q1";"FY97Q2 nvs",#N/A,FALSE,"FY97 - Q2";"FY97Q3 nvs",#N/A,FALSE,"FY97 - Q3";"FY97Q4 nvs",#N/A,FALSE,"FY97 - Q4"}</definedName>
    <definedName name="___new2" hidden="1">{"FY97Q1 nvs",#N/A,FALSE,"FY97 - Q1";"FY97Q2 nvs",#N/A,FALSE,"FY97 - Q2";"FY97Q3 nvs",#N/A,FALSE,"FY97 - Q3";"FY97Q4 nvs",#N/A,FALSE,"FY97 - Q4"}</definedName>
    <definedName name="___new3" localSheetId="8" hidden="1">{"FY98Q1 nvs",#N/A,FALSE,"FY98 - Q1";"FY98Q2 nvs",#N/A,FALSE,"FY98 - Q2";"FY98Q3 nvs",#N/A,FALSE,"FY98 - Q3";"FY98Q4 nvs",#N/A,FALSE,"FY98 - Q4"}</definedName>
    <definedName name="___new3" localSheetId="6" hidden="1">{"FY98Q1 nvs",#N/A,FALSE,"FY98 - Q1";"FY98Q2 nvs",#N/A,FALSE,"FY98 - Q2";"FY98Q3 nvs",#N/A,FALSE,"FY98 - Q3";"FY98Q4 nvs",#N/A,FALSE,"FY98 - Q4"}</definedName>
    <definedName name="___new3" hidden="1">{"FY98Q1 nvs",#N/A,FALSE,"FY98 - Q1";"FY98Q2 nvs",#N/A,FALSE,"FY98 - Q2";"FY98Q3 nvs",#N/A,FALSE,"FY98 - Q3";"FY98Q4 nvs",#N/A,FALSE,"FY98 - Q4"}</definedName>
    <definedName name="___new4" localSheetId="8" hidden="1">{"INPUT",#N/A,FALSE,"REVENUE AND GM ";"CONTROL",#N/A,FALSE,"REVENUE AND GM ";"SWITCH",#N/A,FALSE,"REVENUE AND GM ";"OUTPUT",#N/A,FALSE,"REVENUE AND GM ";"TOTAL",#N/A,FALSE,"REVENUE AND GM "}</definedName>
    <definedName name="___new4" localSheetId="6" hidden="1">{"INPUT",#N/A,FALSE,"REVENUE AND GM ";"CONTROL",#N/A,FALSE,"REVENUE AND GM ";"SWITCH",#N/A,FALSE,"REVENUE AND GM ";"OUTPUT",#N/A,FALSE,"REVENUE AND GM ";"TOTAL",#N/A,FALSE,"REVENUE AND GM "}</definedName>
    <definedName name="___new4" hidden="1">{"INPUT",#N/A,FALSE,"REVENUE AND GM ";"CONTROL",#N/A,FALSE,"REVENUE AND GM ";"SWITCH",#N/A,FALSE,"REVENUE AND GM ";"OUTPUT",#N/A,FALSE,"REVENUE AND GM ";"TOTAL",#N/A,FALSE,"REVENUE AND GM "}</definedName>
    <definedName name="___new5" localSheetId="8" hidden="1">{"FY97Total",#N/A,FALSE,"FY97 - Total";"FY98Total",#N/A,FALSE,"FY98 - Total"}</definedName>
    <definedName name="___new5" localSheetId="6" hidden="1">{"FY97Total",#N/A,FALSE,"FY97 - Total";"FY98Total",#N/A,FALSE,"FY98 - Total"}</definedName>
    <definedName name="___new5" hidden="1">{"FY97Total",#N/A,FALSE,"FY97 - Total";"FY98Total",#N/A,FALSE,"FY98 - Total"}</definedName>
    <definedName name="___new6" localSheetId="8" hidden="1">{"FY97Q1",#N/A,FALSE,"FY97 - Q1";"FY97Q2",#N/A,FALSE,"FY97 - Q2";"FY97Q3",#N/A,FALSE,"FY97 - Q3";"FY97Q4",#N/A,FALSE,"FY97 - Q4"}</definedName>
    <definedName name="___new6" localSheetId="6" hidden="1">{"FY97Q1",#N/A,FALSE,"FY97 - Q1";"FY97Q2",#N/A,FALSE,"FY97 - Q2";"FY97Q3",#N/A,FALSE,"FY97 - Q3";"FY97Q4",#N/A,FALSE,"FY97 - Q4"}</definedName>
    <definedName name="___new6" hidden="1">{"FY97Q1",#N/A,FALSE,"FY97 - Q1";"FY97Q2",#N/A,FALSE,"FY97 - Q2";"FY97Q3",#N/A,FALSE,"FY97 - Q3";"FY97Q4",#N/A,FALSE,"FY97 - Q4"}</definedName>
    <definedName name="___QR6434" localSheetId="8"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_QR6434" localSheetId="6"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_QR6434"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_TEM6434" localSheetId="8" hidden="1">{"ALLOCATION1",#N/A,FALSE,"EXPENSE ALLOCATIONS";"ALLOCATION2",#N/A,FALSE,"EXPENSE ALLOCATIONS";"ALLOCATION3",#N/A,FALSE,"EXPENSE ALLOCATIONS";"ALLOCATION4",#N/A,FALSE,"EXPENSE ALLOCATIONS"}</definedName>
    <definedName name="___TEM6434" localSheetId="6" hidden="1">{"ALLOCATION1",#N/A,FALSE,"EXPENSE ALLOCATIONS";"ALLOCATION2",#N/A,FALSE,"EXPENSE ALLOCATIONS";"ALLOCATION3",#N/A,FALSE,"EXPENSE ALLOCATIONS";"ALLOCATION4",#N/A,FALSE,"EXPENSE ALLOCATIONS"}</definedName>
    <definedName name="___TEM6434" hidden="1">{"ALLOCATION1",#N/A,FALSE,"EXPENSE ALLOCATIONS";"ALLOCATION2",#N/A,FALSE,"EXPENSE ALLOCATIONS";"ALLOCATION3",#N/A,FALSE,"EXPENSE ALLOCATIONS";"ALLOCATION4",#N/A,FALSE,"EXPENSE ALLOCATIONS"}</definedName>
    <definedName name="___xlfn.BAHTTEXT" hidden="1">#NAME?</definedName>
    <definedName name="__123Graph_A" hidden="1">#REF!</definedName>
    <definedName name="__123Graph_APROCEEDS" hidden="1">#REF!</definedName>
    <definedName name="__123Graph_B" hidden="1">#REF!</definedName>
    <definedName name="__123Graph_BPROCEEDS" hidden="1">#REF!</definedName>
    <definedName name="__123Graph_C" hidden="1">#REF!</definedName>
    <definedName name="__123Graph_CPROCEEDS" hidden="1">#REF!</definedName>
    <definedName name="__123Graph_F" hidden="1">#REF!</definedName>
    <definedName name="__123Graph_X" hidden="1">#REF!</definedName>
    <definedName name="__123Graph_XPROCEEDS" hidden="1">#REF!</definedName>
    <definedName name="__a2" localSheetId="8" hidden="1">{#N/A,#N/A,FALSE,"Sheet1"}</definedName>
    <definedName name="__a2" localSheetId="6" hidden="1">{#N/A,#N/A,FALSE,"Sheet1"}</definedName>
    <definedName name="__a2" hidden="1">{#N/A,#N/A,FALSE,"Sheet1"}</definedName>
    <definedName name="__a3" localSheetId="8" hidden="1">{#N/A,#N/A,FALSE,"Sheet1"}</definedName>
    <definedName name="__a3" localSheetId="6" hidden="1">{#N/A,#N/A,FALSE,"Sheet1"}</definedName>
    <definedName name="__a3" hidden="1">{#N/A,#N/A,FALSE,"Sheet1"}</definedName>
    <definedName name="__ALL6434" localSheetId="8" hidden="1">{"ALLOCATION1",#N/A,FALSE,"EXPENSE ALLOCATIONS";"ALLOCATION2",#N/A,FALSE,"EXPENSE ALLOCATIONS";"ALLOCATION3",#N/A,FALSE,"EXPENSE ALLOCATIONS";"ALLOCATION4",#N/A,FALSE,"EXPENSE ALLOCATIONS"}</definedName>
    <definedName name="__ALL6434" localSheetId="6" hidden="1">{"ALLOCATION1",#N/A,FALSE,"EXPENSE ALLOCATIONS";"ALLOCATION2",#N/A,FALSE,"EXPENSE ALLOCATIONS";"ALLOCATION3",#N/A,FALSE,"EXPENSE ALLOCATIONS";"ALLOCATION4",#N/A,FALSE,"EXPENSE ALLOCATIONS"}</definedName>
    <definedName name="__ALL6434" hidden="1">{"ALLOCATION1",#N/A,FALSE,"EXPENSE ALLOCATIONS";"ALLOCATION2",#N/A,FALSE,"EXPENSE ALLOCATIONS";"ALLOCATION3",#N/A,FALSE,"EXPENSE ALLOCATIONS";"ALLOCATION4",#N/A,FALSE,"EXPENSE ALLOCATIONS"}</definedName>
    <definedName name="__APW_RESTORE_DATA0__" hidden="1">#REF!</definedName>
    <definedName name="__APW_RESTORE_DATA1__" hidden="1">#REF!</definedName>
    <definedName name="__APW_RESTORE_DATA10__" hidden="1">#REF!</definedName>
    <definedName name="__APW_RESTORE_DATA100__" localSheetId="8" hidden="1">#REF!,#REF!</definedName>
    <definedName name="__APW_RESTORE_DATA100__" localSheetId="6" hidden="1">#REF!,#REF!</definedName>
    <definedName name="__APW_RESTORE_DATA100__" hidden="1">#REF!,#REF!</definedName>
    <definedName name="__APW_RESTORE_DATA1000__" localSheetId="8" hidden="1">#REF!,#REF!,#REF!,#REF!,#REF!,#REF!,#REF!,#REF!,#REF!,#REF!,#REF!,#REF!,#REF!,#REF!,#REF!</definedName>
    <definedName name="__APW_RESTORE_DATA1000__" localSheetId="6" hidden="1">#REF!,#REF!,#REF!,#REF!,#REF!,#REF!,#REF!,#REF!,#REF!,#REF!,#REF!,#REF!,#REF!,#REF!,#REF!</definedName>
    <definedName name="__APW_RESTORE_DATA1000__" hidden="1">#REF!,#REF!,#REF!,#REF!,#REF!,#REF!,#REF!,#REF!,#REF!,#REF!,#REF!,#REF!,#REF!,#REF!,#REF!</definedName>
    <definedName name="__APW_RESTORE_DATA1001__" localSheetId="8" hidden="1">#REF!,#REF!,#REF!,#REF!,#REF!,#REF!,#REF!,#REF!,#REF!,#REF!,#REF!,#REF!,#REF!,#REF!,#REF!</definedName>
    <definedName name="__APW_RESTORE_DATA1001__" localSheetId="6" hidden="1">#REF!,#REF!,#REF!,#REF!,#REF!,#REF!,#REF!,#REF!,#REF!,#REF!,#REF!,#REF!,#REF!,#REF!,#REF!</definedName>
    <definedName name="__APW_RESTORE_DATA1001__" hidden="1">#REF!,#REF!,#REF!,#REF!,#REF!,#REF!,#REF!,#REF!,#REF!,#REF!,#REF!,#REF!,#REF!,#REF!,#REF!</definedName>
    <definedName name="__APW_RESTORE_DATA1002__" localSheetId="8" hidden="1">#REF!,#REF!,#REF!,#REF!,#REF!,#REF!,#REF!,#REF!,#REF!,#REF!,#REF!,#REF!,#REF!,#REF!,#REF!</definedName>
    <definedName name="__APW_RESTORE_DATA1002__" localSheetId="6" hidden="1">#REF!,#REF!,#REF!,#REF!,#REF!,#REF!,#REF!,#REF!,#REF!,#REF!,#REF!,#REF!,#REF!,#REF!,#REF!</definedName>
    <definedName name="__APW_RESTORE_DATA1002__" hidden="1">#REF!,#REF!,#REF!,#REF!,#REF!,#REF!,#REF!,#REF!,#REF!,#REF!,#REF!,#REF!,#REF!,#REF!,#REF!</definedName>
    <definedName name="__APW_RESTORE_DATA1003__" hidden="1">#REF!,#REF!,#REF!,#REF!,#REF!,#REF!,#REF!,#REF!,#REF!,#REF!,#REF!,#REF!,#REF!,#REF!,#REF!</definedName>
    <definedName name="__APW_RESTORE_DATA1004__" hidden="1">#REF!,#REF!,#REF!,#REF!,#REF!,#REF!</definedName>
    <definedName name="__APW_RESTORE_DATA1005__" hidden="1">#REF!</definedName>
    <definedName name="__APW_RESTORE_DATA1006__" hidden="1">#REF!</definedName>
    <definedName name="__APW_RESTORE_DATA1008__" hidden="1">#REF!</definedName>
    <definedName name="__APW_RESTORE_DATA1009__" hidden="1">#REF!,#REF!,#REF!,#REF!,#REF!,#REF!,#REF!,#REF!,#REF!,#REF!,#REF!,#REF!,#REF!,#REF!,#REF!,#REF!</definedName>
    <definedName name="__APW_RESTORE_DATA101__" hidden="1">#REF!,#REF!,#REF!,#REF!,#REF!,#REF!,#REF!,#REF!,#REF!,#REF!,#REF!,#REF!,#REF!,#REF!,#REF!</definedName>
    <definedName name="__APW_RESTORE_DATA1010__" hidden="1">#REF!,#REF!,#REF!,#REF!,#REF!,#REF!,#REF!,#REF!,#REF!,#REF!,#REF!,#REF!,#REF!,#REF!,#REF!,#REF!</definedName>
    <definedName name="__APW_RESTORE_DATA1011__" hidden="1">#REF!,#REF!,#REF!,#REF!,#REF!,#REF!,#REF!,#REF!,#REF!,#REF!,#REF!,#REF!,#REF!,#REF!,#REF!,#REF!</definedName>
    <definedName name="__APW_RESTORE_DATA1012__" hidden="1">#REF!,#REF!,#REF!,#REF!,#REF!,#REF!,#REF!,#REF!,#REF!,#REF!,#REF!,#REF!,#REF!,#REF!,#REF!,#REF!</definedName>
    <definedName name="__APW_RESTORE_DATA1013__" hidden="1">#REF!,#REF!,#REF!,#REF!,#REF!,#REF!,#REF!,#REF!,#REF!,#REF!,#REF!,#REF!,#REF!,#REF!,#REF!,#REF!</definedName>
    <definedName name="__APW_RESTORE_DATA1014__" hidden="1">#REF!,#REF!,#REF!,#REF!,#REF!,#REF!,#REF!,#REF!,#REF!,#REF!,#REF!,#REF!,#REF!,#REF!,#REF!,#REF!</definedName>
    <definedName name="__APW_RESTORE_DATA1015__" hidden="1">#REF!,#REF!,#REF!,#REF!,#REF!,#REF!,#REF!,#REF!,#REF!,#REF!,#REF!,#REF!,#REF!,#REF!,#REF!</definedName>
    <definedName name="__APW_RESTORE_DATA1016__" hidden="1">#REF!,#REF!,#REF!,#REF!,#REF!,#REF!,#REF!,#REF!,#REF!,#REF!,#REF!,#REF!,#REF!,#REF!,#REF!</definedName>
    <definedName name="__APW_RESTORE_DATA1017__" hidden="1">#REF!,#REF!,#REF!,#REF!,#REF!,#REF!,#REF!,#REF!,#REF!,#REF!,#REF!,#REF!,#REF!,#REF!,#REF!</definedName>
    <definedName name="__APW_RESTORE_DATA1018__" hidden="1">#REF!,#REF!,#REF!,#REF!,#REF!,#REF!,#REF!,#REF!,#REF!,#REF!,#REF!,#REF!,#REF!,#REF!,#REF!</definedName>
    <definedName name="__APW_RESTORE_DATA1019__" hidden="1">#REF!,#REF!,#REF!,#REF!,#REF!,#REF!,#REF!,#REF!,#REF!,#REF!,#REF!,#REF!,#REF!,#REF!,#REF!</definedName>
    <definedName name="__APW_RESTORE_DATA102__" hidden="1">#REF!,#REF!,#REF!,#REF!,#REF!,#REF!,#REF!,#REF!,#REF!,#REF!,#REF!,#REF!,#REF!,#REF!,#REF!</definedName>
    <definedName name="__APW_RESTORE_DATA1020__" hidden="1">#REF!,#REF!,#REF!,#REF!,#REF!,#REF!,#REF!,#REF!,#REF!,#REF!,#REF!,#REF!,#REF!,#REF!,#REF!</definedName>
    <definedName name="__APW_RESTORE_DATA1021__" hidden="1">#REF!,#REF!,#REF!,#REF!,#REF!,#REF!,#REF!,#REF!,#REF!,#REF!,#REF!,#REF!,#REF!,#REF!,#REF!</definedName>
    <definedName name="__APW_RESTORE_DATA1022__" hidden="1">#REF!,#REF!,#REF!,#REF!,#REF!,#REF!,#REF!,#REF!,#REF!,#REF!,#REF!,#REF!,#REF!,#REF!,#REF!</definedName>
    <definedName name="__APW_RESTORE_DATA1023__" hidden="1">#REF!,#REF!,#REF!,#REF!,#REF!,#REF!,#REF!,#REF!,#REF!,#REF!,#REF!,#REF!,#REF!,#REF!,#REF!</definedName>
    <definedName name="__APW_RESTORE_DATA1024__" hidden="1">#REF!,#REF!,#REF!,#REF!,#REF!,#REF!,#REF!,#REF!,#REF!,#REF!,#REF!,#REF!,#REF!,#REF!,#REF!</definedName>
    <definedName name="__APW_RESTORE_DATA1025__" hidden="1">#REF!,#REF!,#REF!,#REF!,#REF!,#REF!,#REF!,#REF!,#REF!,#REF!,#REF!,#REF!,#REF!,#REF!,#REF!</definedName>
    <definedName name="__APW_RESTORE_DATA1026__" hidden="1">#REF!,#REF!,#REF!,#REF!,#REF!,#REF!,#REF!,#REF!,#REF!,#REF!,#REF!,#REF!,#REF!,#REF!,#REF!</definedName>
    <definedName name="__APW_RESTORE_DATA1027__" hidden="1">#REF!,#REF!,#REF!,#REF!,#REF!,#REF!,#REF!,#REF!,#REF!,#REF!,#REF!,#REF!,#REF!,#REF!,#REF!</definedName>
    <definedName name="__APW_RESTORE_DATA1028__" hidden="1">#REF!,#REF!,#REF!,#REF!,#REF!,#REF!,#REF!,#REF!,#REF!,#REF!,#REF!,#REF!,#REF!,#REF!,#REF!</definedName>
    <definedName name="__APW_RESTORE_DATA1029__" hidden="1">#REF!,#REF!,#REF!,#REF!,#REF!,#REF!,#REF!,#REF!,#REF!,#REF!,#REF!,#REF!,#REF!,#REF!,#REF!</definedName>
    <definedName name="__APW_RESTORE_DATA103__" hidden="1">#REF!,#REF!,#REF!,#REF!,#REF!,#REF!,#REF!,#REF!,#REF!,#REF!,#REF!,#REF!,#REF!,#REF!,#REF!</definedName>
    <definedName name="__APW_RESTORE_DATA1030__" hidden="1">#REF!,#REF!,#REF!,#REF!,#REF!,#REF!,#REF!,#REF!,#REF!,#REF!,#REF!,#REF!,#REF!,#REF!,#REF!</definedName>
    <definedName name="__APW_RESTORE_DATA1031__" hidden="1">#REF!,#REF!,#REF!,#REF!,#REF!,#REF!,#REF!,#REF!,#REF!,#REF!,#REF!,#REF!,#REF!,#REF!,#REF!</definedName>
    <definedName name="__APW_RESTORE_DATA1032__" hidden="1">#REF!,#REF!,#REF!,#REF!,#REF!,#REF!,#REF!,#REF!,#REF!,#REF!,#REF!,#REF!,#REF!,#REF!,#REF!</definedName>
    <definedName name="__APW_RESTORE_DATA1033__" hidden="1">#REF!,#REF!,#REF!,#REF!,#REF!,#REF!,#REF!,#REF!,#REF!,#REF!,#REF!,#REF!,#REF!,#REF!,#REF!</definedName>
    <definedName name="__APW_RESTORE_DATA1034__" hidden="1">#REF!,#REF!,#REF!,#REF!,#REF!,#REF!,#REF!,#REF!,#REF!,#REF!,#REF!,#REF!,#REF!,#REF!,#REF!</definedName>
    <definedName name="__APW_RESTORE_DATA1035__" hidden="1">#REF!,#REF!,#REF!,#REF!,#REF!,#REF!,#REF!,#REF!,#REF!,#REF!,#REF!,#REF!,#REF!,#REF!,#REF!</definedName>
    <definedName name="__APW_RESTORE_DATA1036__" hidden="1">#REF!,#REF!,#REF!,#REF!,#REF!,#REF!,#REF!,#REF!,#REF!,#REF!,#REF!,#REF!,#REF!,#REF!,#REF!</definedName>
    <definedName name="__APW_RESTORE_DATA1037__" hidden="1">#REF!,#REF!,#REF!,#REF!,#REF!,#REF!,#REF!,#REF!,#REF!,#REF!,#REF!,#REF!,#REF!,#REF!,#REF!</definedName>
    <definedName name="__APW_RESTORE_DATA1038__" hidden="1">#REF!,#REF!,#REF!,#REF!,#REF!,#REF!,#REF!,#REF!,#REF!,#REF!,#REF!,#REF!,#REF!,#REF!,#REF!</definedName>
    <definedName name="__APW_RESTORE_DATA1039__" hidden="1">#REF!,#REF!,#REF!,#REF!,#REF!,#REF!,#REF!,#REF!,#REF!,#REF!,#REF!,#REF!,#REF!,#REF!,#REF!</definedName>
    <definedName name="__APW_RESTORE_DATA104__" hidden="1">#REF!,#REF!,#REF!,#REF!,#REF!,#REF!,#REF!,#REF!,#REF!,#REF!,#REF!,#REF!,#REF!,#REF!,#REF!</definedName>
    <definedName name="__APW_RESTORE_DATA1040__" hidden="1">#REF!,#REF!,#REF!,#REF!,#REF!,#REF!,#REF!,#REF!,#REF!,#REF!,#REF!,#REF!,#REF!,#REF!,#REF!</definedName>
    <definedName name="__APW_RESTORE_DATA1041__" hidden="1">#REF!,#REF!,#REF!,#REF!,#REF!,#REF!,#REF!,#REF!,#REF!,#REF!,#REF!,#REF!,#REF!,#REF!,#REF!</definedName>
    <definedName name="__APW_RESTORE_DATA1042__" hidden="1">#REF!,#REF!,#REF!,#REF!,#REF!,#REF!,#REF!,#REF!,#REF!,#REF!,#REF!,#REF!,#REF!,#REF!,#REF!</definedName>
    <definedName name="__APW_RESTORE_DATA1043__" hidden="1">#REF!,#REF!,#REF!,#REF!,#REF!,#REF!</definedName>
    <definedName name="__APW_RESTORE_DATA1044__" hidden="1">#REF!,#REF!,#REF!,#REF!,#REF!,#REF!,#REF!,#REF!,#REF!,#REF!,#REF!,#REF!,#REF!,#REF!,#REF!,#REF!</definedName>
    <definedName name="__APW_RESTORE_DATA1045__" hidden="1">#REF!,#REF!,#REF!,#REF!,#REF!,#REF!,#REF!,#REF!,#REF!,#REF!,#REF!,#REF!,#REF!,#REF!,#REF!,#REF!</definedName>
    <definedName name="__APW_RESTORE_DATA1046__" hidden="1">#REF!,#REF!,#REF!,#REF!,#REF!,#REF!,#REF!,#REF!,#REF!,#REF!,#REF!,#REF!,#REF!,#REF!,#REF!,#REF!</definedName>
    <definedName name="__APW_RESTORE_DATA1047__" hidden="1">#REF!,#REF!,#REF!,#REF!,#REF!,#REF!,#REF!,#REF!,#REF!,#REF!,#REF!,#REF!,#REF!,#REF!,#REF!,#REF!</definedName>
    <definedName name="__APW_RESTORE_DATA1048__" hidden="1">#REF!,#REF!,#REF!,#REF!,#REF!,#REF!,#REF!,#REF!,#REF!,#REF!,#REF!,#REF!,#REF!,#REF!,#REF!,#REF!</definedName>
    <definedName name="__APW_RESTORE_DATA1049__" hidden="1">#REF!,#REF!,#REF!,#REF!,#REF!,#REF!,#REF!,#REF!,#REF!,#REF!,#REF!,#REF!,#REF!,#REF!,#REF!,#REF!</definedName>
    <definedName name="__APW_RESTORE_DATA105__" hidden="1">#REF!,#REF!,#REF!,#REF!,#REF!,#REF!,#REF!,#REF!,#REF!,#REF!,#REF!,#REF!,#REF!,#REF!,#REF!</definedName>
    <definedName name="__APW_RESTORE_DATA1050__" hidden="1">#REF!,#REF!,#REF!,#REF!,#REF!,#REF!,#REF!,#REF!,#REF!,#REF!,#REF!,#REF!,#REF!,#REF!,#REF!</definedName>
    <definedName name="__APW_RESTORE_DATA1051__" hidden="1">#REF!,#REF!,#REF!,#REF!,#REF!,#REF!,#REF!,#REF!,#REF!,#REF!,#REF!,#REF!,#REF!,#REF!,#REF!</definedName>
    <definedName name="__APW_RESTORE_DATA1052__" hidden="1">#REF!,#REF!,#REF!,#REF!,#REF!,#REF!,#REF!,#REF!,#REF!,#REF!,#REF!,#REF!,#REF!,#REF!,#REF!</definedName>
    <definedName name="__APW_RESTORE_DATA1053__" hidden="1">#REF!,#REF!,#REF!,#REF!,#REF!,#REF!,#REF!,#REF!,#REF!,#REF!,#REF!,#REF!,#REF!,#REF!,#REF!</definedName>
    <definedName name="__APW_RESTORE_DATA1054__" hidden="1">#REF!,#REF!,#REF!,#REF!,#REF!,#REF!,#REF!,#REF!,#REF!,#REF!,#REF!,#REF!,#REF!,#REF!,#REF!</definedName>
    <definedName name="__APW_RESTORE_DATA1055__" hidden="1">#REF!,#REF!,#REF!,#REF!,#REF!,#REF!,#REF!,#REF!,#REF!,#REF!,#REF!,#REF!,#REF!,#REF!,#REF!</definedName>
    <definedName name="__APW_RESTORE_DATA1056__" hidden="1">#REF!,#REF!,#REF!,#REF!,#REF!,#REF!,#REF!,#REF!,#REF!,#REF!,#REF!,#REF!,#REF!,#REF!,#REF!</definedName>
    <definedName name="__APW_RESTORE_DATA1057__" hidden="1">#REF!,#REF!,#REF!,#REF!,#REF!,#REF!,#REF!,#REF!,#REF!,#REF!,#REF!,#REF!,#REF!,#REF!,#REF!</definedName>
    <definedName name="__APW_RESTORE_DATA1058__" hidden="1">#REF!,#REF!,#REF!,#REF!,#REF!,#REF!,#REF!,#REF!,#REF!,#REF!,#REF!,#REF!,#REF!,#REF!,#REF!</definedName>
    <definedName name="__APW_RESTORE_DATA1059__" hidden="1">#REF!,#REF!,#REF!,#REF!,#REF!,#REF!,#REF!,#REF!,#REF!,#REF!,#REF!,#REF!,#REF!,#REF!,#REF!</definedName>
    <definedName name="__APW_RESTORE_DATA106__" hidden="1">#REF!,#REF!,#REF!,#REF!,#REF!,#REF!,#REF!,#REF!,#REF!,#REF!,#REF!,#REF!,#REF!,#REF!,#REF!</definedName>
    <definedName name="__APW_RESTORE_DATA1060__" hidden="1">#REF!,#REF!,#REF!,#REF!,#REF!,#REF!,#REF!,#REF!,#REF!,#REF!,#REF!,#REF!,#REF!,#REF!,#REF!</definedName>
    <definedName name="__APW_RESTORE_DATA1061__" hidden="1">#REF!,#REF!,#REF!,#REF!,#REF!,#REF!,#REF!,#REF!,#REF!,#REF!,#REF!,#REF!,#REF!,#REF!,#REF!</definedName>
    <definedName name="__APW_RESTORE_DATA1062__" hidden="1">#REF!,#REF!,#REF!,#REF!,#REF!,#REF!,#REF!,#REF!,#REF!,#REF!,#REF!,#REF!,#REF!,#REF!,#REF!</definedName>
    <definedName name="__APW_RESTORE_DATA1063__" hidden="1">#REF!,#REF!,#REF!,#REF!,#REF!,#REF!,#REF!,#REF!,#REF!,#REF!,#REF!,#REF!,#REF!,#REF!,#REF!</definedName>
    <definedName name="__APW_RESTORE_DATA1064__" hidden="1">#REF!,#REF!,#REF!,#REF!,#REF!,#REF!,#REF!,#REF!,#REF!,#REF!,#REF!,#REF!,#REF!,#REF!,#REF!</definedName>
    <definedName name="__APW_RESTORE_DATA1065__" hidden="1">#REF!,#REF!,#REF!,#REF!,#REF!,#REF!,#REF!,#REF!,#REF!,#REF!,#REF!,#REF!,#REF!,#REF!,#REF!</definedName>
    <definedName name="__APW_RESTORE_DATA1066__" hidden="1">#REF!,#REF!,#REF!,#REF!,#REF!,#REF!,#REF!,#REF!,#REF!,#REF!,#REF!,#REF!,#REF!,#REF!,#REF!</definedName>
    <definedName name="__APW_RESTORE_DATA1067__" hidden="1">#REF!,#REF!,#REF!,#REF!,#REF!,#REF!,#REF!,#REF!,#REF!,#REF!,#REF!,#REF!,#REF!,#REF!,#REF!</definedName>
    <definedName name="__APW_RESTORE_DATA1068__" hidden="1">#REF!,#REF!,#REF!,#REF!,#REF!,#REF!,#REF!,#REF!,#REF!,#REF!,#REF!,#REF!,#REF!,#REF!,#REF!</definedName>
    <definedName name="__APW_RESTORE_DATA1069__" hidden="1">#REF!,#REF!,#REF!,#REF!,#REF!,#REF!,#REF!,#REF!,#REF!,#REF!,#REF!,#REF!,#REF!,#REF!,#REF!</definedName>
    <definedName name="__APW_RESTORE_DATA107__" hidden="1">#REF!,#REF!,#REF!,#REF!,#REF!,#REF!,#REF!,#REF!,#REF!,#REF!,#REF!,#REF!,#REF!,#REF!,#REF!</definedName>
    <definedName name="__APW_RESTORE_DATA1070__" hidden="1">#REF!,#REF!,#REF!,#REF!,#REF!,#REF!,#REF!,#REF!,#REF!,#REF!,#REF!,#REF!,#REF!,#REF!,#REF!</definedName>
    <definedName name="__APW_RESTORE_DATA1071__" hidden="1">#REF!,#REF!,#REF!,#REF!,#REF!,#REF!,#REF!,#REF!,#REF!,#REF!,#REF!,#REF!,#REF!,#REF!,#REF!</definedName>
    <definedName name="__APW_RESTORE_DATA1072__" hidden="1">#REF!,#REF!,#REF!,#REF!,#REF!,#REF!,#REF!,#REF!,#REF!,#REF!,#REF!,#REF!,#REF!,#REF!,#REF!</definedName>
    <definedName name="__APW_RESTORE_DATA1073__" hidden="1">#REF!,#REF!,#REF!,#REF!,#REF!,#REF!,#REF!,#REF!,#REF!,#REF!,#REF!,#REF!,#REF!,#REF!,#REF!</definedName>
    <definedName name="__APW_RESTORE_DATA1074__" hidden="1">#REF!,#REF!,#REF!,#REF!,#REF!,#REF!,#REF!,#REF!,#REF!,#REF!,#REF!,#REF!,#REF!,#REF!,#REF!</definedName>
    <definedName name="__APW_RESTORE_DATA1075__" hidden="1">#REF!,#REF!,#REF!,#REF!,#REF!,#REF!,#REF!,#REF!,#REF!,#REF!,#REF!,#REF!,#REF!,#REF!,#REF!</definedName>
    <definedName name="__APW_RESTORE_DATA1076__" hidden="1">#REF!,#REF!,#REF!,#REF!,#REF!,#REF!,#REF!,#REF!,#REF!,#REF!,#REF!,#REF!,#REF!,#REF!,#REF!</definedName>
    <definedName name="__APW_RESTORE_DATA1077__" hidden="1">#REF!,#REF!,#REF!,#REF!,#REF!,#REF!,#REF!,#REF!,#REF!,#REF!,#REF!,#REF!,#REF!,#REF!,#REF!</definedName>
    <definedName name="__APW_RESTORE_DATA1078__" hidden="1">#REF!,#REF!,#REF!,#REF!,#REF!,#REF!</definedName>
    <definedName name="__APW_RESTORE_DATA1079__" hidden="1">#REF!,#REF!,#REF!,#REF!,#REF!,#REF!,#REF!,#REF!,#REF!,#REF!,#REF!,#REF!,#REF!,#REF!,#REF!,#REF!</definedName>
    <definedName name="__APW_RESTORE_DATA108__" hidden="1">#REF!,#REF!,#REF!,#REF!,#REF!,#REF!,#REF!,#REF!,#REF!,#REF!,#REF!,#REF!,#REF!,#REF!,#REF!</definedName>
    <definedName name="__APW_RESTORE_DATA1080__" hidden="1">#REF!,#REF!,#REF!,#REF!,#REF!,#REF!,#REF!,#REF!,#REF!,#REF!,#REF!,#REF!,#REF!,#REF!,#REF!,#REF!</definedName>
    <definedName name="__APW_RESTORE_DATA1081__" hidden="1">#REF!,#REF!,#REF!,#REF!,#REF!,#REF!,#REF!,#REF!,#REF!,#REF!,#REF!,#REF!,#REF!,#REF!,#REF!,#REF!</definedName>
    <definedName name="__APW_RESTORE_DATA1082__" hidden="1">#REF!,#REF!,#REF!,#REF!,#REF!,#REF!,#REF!,#REF!,#REF!,#REF!,#REF!,#REF!,#REF!,#REF!,#REF!,#REF!</definedName>
    <definedName name="__APW_RESTORE_DATA1083__" hidden="1">#REF!,#REF!,#REF!,#REF!,#REF!,#REF!,#REF!,#REF!,#REF!,#REF!,#REF!,#REF!,#REF!,#REF!,#REF!,#REF!</definedName>
    <definedName name="__APW_RESTORE_DATA1084__" hidden="1">#REF!,#REF!,#REF!,#REF!,#REF!,#REF!,#REF!,#REF!,#REF!,#REF!,#REF!,#REF!,#REF!,#REF!,#REF!,#REF!</definedName>
    <definedName name="__APW_RESTORE_DATA1085__" hidden="1">#REF!,#REF!,#REF!,#REF!,#REF!,#REF!,#REF!,#REF!,#REF!,#REF!,#REF!,#REF!,#REF!,#REF!,#REF!</definedName>
    <definedName name="__APW_RESTORE_DATA1086__" hidden="1">#REF!,#REF!,#REF!,#REF!,#REF!,#REF!,#REF!,#REF!,#REF!,#REF!,#REF!,#REF!,#REF!,#REF!,#REF!</definedName>
    <definedName name="__APW_RESTORE_DATA1087__" hidden="1">#REF!,#REF!,#REF!,#REF!,#REF!,#REF!,#REF!,#REF!,#REF!,#REF!,#REF!,#REF!,#REF!,#REF!,#REF!</definedName>
    <definedName name="__APW_RESTORE_DATA1088__" hidden="1">#REF!,#REF!,#REF!,#REF!,#REF!,#REF!,#REF!,#REF!,#REF!,#REF!,#REF!,#REF!,#REF!,#REF!,#REF!</definedName>
    <definedName name="__APW_RESTORE_DATA1089__" hidden="1">#REF!,#REF!,#REF!,#REF!,#REF!,#REF!,#REF!,#REF!,#REF!,#REF!,#REF!,#REF!,#REF!,#REF!,#REF!</definedName>
    <definedName name="__APW_RESTORE_DATA109__" hidden="1">#REF!,#REF!,#REF!,#REF!,#REF!,#REF!,#REF!</definedName>
    <definedName name="__APW_RESTORE_DATA1090__" hidden="1">#REF!,#REF!,#REF!,#REF!,#REF!,#REF!,#REF!,#REF!,#REF!,#REF!,#REF!,#REF!,#REF!,#REF!,#REF!</definedName>
    <definedName name="__APW_RESTORE_DATA1091__" hidden="1">#REF!,#REF!,#REF!,#REF!,#REF!,#REF!,#REF!,#REF!,#REF!,#REF!,#REF!,#REF!,#REF!,#REF!,#REF!</definedName>
    <definedName name="__APW_RESTORE_DATA1092__" hidden="1">#REF!,#REF!,#REF!,#REF!,#REF!,#REF!,#REF!,#REF!,#REF!,#REF!,#REF!,#REF!,#REF!,#REF!,#REF!</definedName>
    <definedName name="__APW_RESTORE_DATA1093__" hidden="1">#REF!,#REF!,#REF!,#REF!,#REF!,#REF!,#REF!,#REF!,#REF!,#REF!,#REF!,#REF!,#REF!,#REF!,#REF!</definedName>
    <definedName name="__APW_RESTORE_DATA1094__" hidden="1">#REF!,#REF!,#REF!,#REF!,#REF!,#REF!,#REF!,#REF!,#REF!,#REF!,#REF!,#REF!,#REF!,#REF!,#REF!</definedName>
    <definedName name="__APW_RESTORE_DATA1095__" hidden="1">#REF!,#REF!,#REF!,#REF!,#REF!,#REF!,#REF!,#REF!,#REF!,#REF!,#REF!,#REF!,#REF!,#REF!,#REF!</definedName>
    <definedName name="__APW_RESTORE_DATA1096__" hidden="1">#REF!,#REF!,#REF!,#REF!,#REF!,#REF!,#REF!,#REF!,#REF!,#REF!,#REF!,#REF!,#REF!,#REF!,#REF!</definedName>
    <definedName name="__APW_RESTORE_DATA1097__" hidden="1">#REF!,#REF!,#REF!,#REF!,#REF!,#REF!,#REF!,#REF!,#REF!,#REF!,#REF!,#REF!,#REF!,#REF!,#REF!</definedName>
    <definedName name="__APW_RESTORE_DATA1098__" hidden="1">#REF!,#REF!,#REF!,#REF!,#REF!,#REF!,#REF!,#REF!,#REF!,#REF!,#REF!,#REF!,#REF!,#REF!,#REF!</definedName>
    <definedName name="__APW_RESTORE_DATA1099__" hidden="1">#REF!,#REF!,#REF!,#REF!,#REF!,#REF!,#REF!,#REF!,#REF!,#REF!,#REF!,#REF!,#REF!,#REF!,#REF!</definedName>
    <definedName name="__APW_RESTORE_DATA11__" hidden="1">#REF!</definedName>
    <definedName name="__APW_RESTORE_DATA110__" hidden="1">#REF!,#REF!,#REF!,#REF!,#REF!,#REF!,#REF!,#REF!,#REF!,#REF!,#REF!,#REF!,#REF!,#REF!,#REF!,#REF!</definedName>
    <definedName name="__APW_RESTORE_DATA1100__" hidden="1">#REF!,#REF!,#REF!,#REF!,#REF!,#REF!,#REF!,#REF!,#REF!,#REF!,#REF!,#REF!,#REF!,#REF!,#REF!</definedName>
    <definedName name="__APW_RESTORE_DATA1101__" hidden="1">#REF!,#REF!,#REF!,#REF!,#REF!,#REF!,#REF!,#REF!,#REF!,#REF!,#REF!,#REF!,#REF!,#REF!,#REF!</definedName>
    <definedName name="__APW_RESTORE_DATA1102__" hidden="1">#REF!,#REF!,#REF!,#REF!,#REF!,#REF!,#REF!,#REF!,#REF!,#REF!,#REF!,#REF!,#REF!,#REF!,#REF!</definedName>
    <definedName name="__APW_RESTORE_DATA1103__" hidden="1">#REF!,#REF!,#REF!,#REF!,#REF!,#REF!,#REF!,#REF!,#REF!,#REF!,#REF!,#REF!,#REF!,#REF!,#REF!</definedName>
    <definedName name="__APW_RESTORE_DATA1104__" hidden="1">#REF!,#REF!,#REF!,#REF!,#REF!,#REF!,#REF!,#REF!,#REF!,#REF!,#REF!,#REF!,#REF!,#REF!,#REF!</definedName>
    <definedName name="__APW_RESTORE_DATA1105__" hidden="1">#REF!,#REF!,#REF!,#REF!,#REF!,#REF!,#REF!,#REF!,#REF!,#REF!,#REF!,#REF!,#REF!,#REF!,#REF!</definedName>
    <definedName name="__APW_RESTORE_DATA1106__" hidden="1">#REF!,#REF!,#REF!,#REF!,#REF!,#REF!,#REF!,#REF!,#REF!,#REF!,#REF!,#REF!,#REF!,#REF!,#REF!</definedName>
    <definedName name="__APW_RESTORE_DATA1107__" hidden="1">#REF!,#REF!,#REF!,#REF!,#REF!,#REF!,#REF!,#REF!,#REF!,#REF!,#REF!,#REF!,#REF!,#REF!,#REF!</definedName>
    <definedName name="__APW_RESTORE_DATA1108__" hidden="1">#REF!,#REF!,#REF!,#REF!,#REF!,#REF!,#REF!,#REF!,#REF!,#REF!,#REF!,#REF!,#REF!,#REF!,#REF!</definedName>
    <definedName name="__APW_RESTORE_DATA1109__" hidden="1">#REF!,#REF!,#REF!,#REF!,#REF!,#REF!,#REF!,#REF!,#REF!,#REF!,#REF!,#REF!,#REF!,#REF!,#REF!</definedName>
    <definedName name="__APW_RESTORE_DATA111__" hidden="1">#REF!,#REF!,#REF!,#REF!,#REF!,#REF!,#REF!,#REF!,#REF!,#REF!,#REF!,#REF!,#REF!,#REF!,#REF!,#REF!</definedName>
    <definedName name="__APW_RESTORE_DATA1110__" hidden="1">#REF!,#REF!,#REF!,#REF!,#REF!,#REF!,#REF!,#REF!,#REF!,#REF!,#REF!,#REF!,#REF!,#REF!,#REF!</definedName>
    <definedName name="__APW_RESTORE_DATA1111__" hidden="1">#REF!,#REF!,#REF!,#REF!,#REF!,#REF!,#REF!,#REF!,#REF!,#REF!,#REF!,#REF!,#REF!,#REF!,#REF!</definedName>
    <definedName name="__APW_RESTORE_DATA1112__" hidden="1">#REF!,#REF!,#REF!,#REF!,#REF!,#REF!,#REF!,#REF!,#REF!,#REF!,#REF!,#REF!,#REF!,#REF!,#REF!</definedName>
    <definedName name="__APW_RESTORE_DATA1113__" hidden="1">#REF!,#REF!,#REF!,#REF!,#REF!,#REF!</definedName>
    <definedName name="__APW_RESTORE_DATA1114__" hidden="1">#REF!,#REF!,#REF!,#REF!,#REF!,#REF!,#REF!,#REF!,#REF!,#REF!,#REF!,#REF!,#REF!,#REF!,#REF!,#REF!</definedName>
    <definedName name="__APW_RESTORE_DATA1115__" hidden="1">#REF!,#REF!,#REF!,#REF!,#REF!,#REF!,#REF!,#REF!,#REF!,#REF!,#REF!,#REF!,#REF!,#REF!,#REF!,#REF!</definedName>
    <definedName name="__APW_RESTORE_DATA1116__" hidden="1">#REF!,#REF!,#REF!,#REF!,#REF!,#REF!,#REF!,#REF!,#REF!,#REF!,#REF!,#REF!,#REF!,#REF!,#REF!,#REF!</definedName>
    <definedName name="__APW_RESTORE_DATA1117__" hidden="1">#REF!,#REF!,#REF!,#REF!,#REF!,#REF!,#REF!,#REF!,#REF!,#REF!,#REF!,#REF!,#REF!,#REF!,#REF!,#REF!</definedName>
    <definedName name="__APW_RESTORE_DATA1118__" hidden="1">#REF!,#REF!,#REF!,#REF!,#REF!,#REF!,#REF!,#REF!,#REF!,#REF!,#REF!,#REF!,#REF!,#REF!,#REF!,#REF!</definedName>
    <definedName name="__APW_RESTORE_DATA1119__" hidden="1">#REF!,#REF!,#REF!,#REF!,#REF!,#REF!,#REF!,#REF!,#REF!,#REF!,#REF!,#REF!,#REF!,#REF!,#REF!,#REF!</definedName>
    <definedName name="__APW_RESTORE_DATA112__" hidden="1">#REF!,#REF!,#REF!,#REF!,#REF!,#REF!,#REF!,#REF!,#REF!,#REF!,#REF!,#REF!,#REF!,#REF!,#REF!,#REF!</definedName>
    <definedName name="__APW_RESTORE_DATA1120__" hidden="1">#REF!,#REF!,#REF!,#REF!,#REF!,#REF!,#REF!,#REF!,#REF!,#REF!,#REF!,#REF!,#REF!,#REF!,#REF!</definedName>
    <definedName name="__APW_RESTORE_DATA1121__" hidden="1">#REF!,#REF!,#REF!,#REF!,#REF!,#REF!,#REF!,#REF!,#REF!,#REF!,#REF!,#REF!,#REF!,#REF!,#REF!</definedName>
    <definedName name="__APW_RESTORE_DATA1122__" hidden="1">#REF!,#REF!,#REF!,#REF!,#REF!,#REF!,#REF!,#REF!,#REF!,#REF!,#REF!,#REF!,#REF!,#REF!,#REF!</definedName>
    <definedName name="__APW_RESTORE_DATA1123__" hidden="1">#REF!,#REF!,#REF!,#REF!,#REF!,#REF!,#REF!,#REF!,#REF!,#REF!,#REF!,#REF!,#REF!,#REF!,#REF!</definedName>
    <definedName name="__APW_RESTORE_DATA1124__" hidden="1">#REF!,#REF!,#REF!,#REF!,#REF!,#REF!,#REF!,#REF!,#REF!,#REF!,#REF!,#REF!,#REF!,#REF!,#REF!</definedName>
    <definedName name="__APW_RESTORE_DATA1125__" hidden="1">#REF!,#REF!,#REF!,#REF!,#REF!,#REF!,#REF!,#REF!,#REF!,#REF!,#REF!,#REF!,#REF!,#REF!,#REF!</definedName>
    <definedName name="__APW_RESTORE_DATA1126__" hidden="1">#REF!,#REF!,#REF!,#REF!,#REF!,#REF!,#REF!,#REF!,#REF!,#REF!,#REF!,#REF!,#REF!,#REF!,#REF!</definedName>
    <definedName name="__APW_RESTORE_DATA1127__" hidden="1">#REF!,#REF!,#REF!,#REF!,#REF!,#REF!,#REF!,#REF!,#REF!,#REF!,#REF!,#REF!,#REF!,#REF!,#REF!</definedName>
    <definedName name="__APW_RESTORE_DATA1128__" hidden="1">#REF!,#REF!,#REF!,#REF!,#REF!,#REF!,#REF!,#REF!,#REF!,#REF!,#REF!,#REF!,#REF!,#REF!,#REF!</definedName>
    <definedName name="__APW_RESTORE_DATA1129__" hidden="1">#REF!,#REF!,#REF!,#REF!,#REF!,#REF!,#REF!,#REF!,#REF!,#REF!,#REF!,#REF!,#REF!,#REF!,#REF!</definedName>
    <definedName name="__APW_RESTORE_DATA113__" hidden="1">#REF!,#REF!,#REF!,#REF!,#REF!,#REF!,#REF!,#REF!,#REF!,#REF!,#REF!,#REF!,#REF!,#REF!,#REF!,#REF!</definedName>
    <definedName name="__APW_RESTORE_DATA1130__" hidden="1">#REF!,#REF!,#REF!,#REF!,#REF!,#REF!,#REF!,#REF!,#REF!,#REF!,#REF!,#REF!,#REF!,#REF!,#REF!</definedName>
    <definedName name="__APW_RESTORE_DATA1131__" hidden="1">#REF!,#REF!,#REF!,#REF!,#REF!,#REF!,#REF!,#REF!,#REF!,#REF!,#REF!,#REF!,#REF!,#REF!,#REF!</definedName>
    <definedName name="__APW_RESTORE_DATA1132__" hidden="1">#REF!,#REF!,#REF!,#REF!,#REF!,#REF!,#REF!,#REF!,#REF!,#REF!,#REF!,#REF!,#REF!,#REF!,#REF!</definedName>
    <definedName name="__APW_RESTORE_DATA1133__" hidden="1">#REF!,#REF!,#REF!,#REF!,#REF!,#REF!,#REF!,#REF!,#REF!,#REF!,#REF!,#REF!,#REF!,#REF!,#REF!</definedName>
    <definedName name="__APW_RESTORE_DATA1134__" hidden="1">#REF!,#REF!,#REF!,#REF!,#REF!,#REF!,#REF!,#REF!,#REF!,#REF!,#REF!,#REF!,#REF!,#REF!,#REF!</definedName>
    <definedName name="__APW_RESTORE_DATA1135__" hidden="1">#REF!,#REF!,#REF!,#REF!,#REF!,#REF!,#REF!,#REF!,#REF!,#REF!,#REF!,#REF!,#REF!,#REF!,#REF!</definedName>
    <definedName name="__APW_RESTORE_DATA1136__" hidden="1">#REF!,#REF!,#REF!,#REF!,#REF!,#REF!,#REF!,#REF!,#REF!,#REF!,#REF!,#REF!,#REF!,#REF!,#REF!</definedName>
    <definedName name="__APW_RESTORE_DATA1137__" hidden="1">#REF!,#REF!,#REF!,#REF!,#REF!,#REF!,#REF!,#REF!,#REF!,#REF!,#REF!,#REF!,#REF!,#REF!,#REF!</definedName>
    <definedName name="__APW_RESTORE_DATA1138__" hidden="1">#REF!,#REF!,#REF!,#REF!,#REF!,#REF!,#REF!,#REF!,#REF!,#REF!,#REF!,#REF!,#REF!,#REF!,#REF!</definedName>
    <definedName name="__APW_RESTORE_DATA1139__" hidden="1">#REF!,#REF!,#REF!,#REF!,#REF!,#REF!,#REF!,#REF!,#REF!,#REF!,#REF!,#REF!,#REF!,#REF!,#REF!</definedName>
    <definedName name="__APW_RESTORE_DATA114__" hidden="1">#REF!,#REF!,#REF!,#REF!,#REF!,#REF!,#REF!,#REF!,#REF!,#REF!,#REF!,#REF!,#REF!,#REF!,#REF!,#REF!</definedName>
    <definedName name="__APW_RESTORE_DATA1140__" hidden="1">#REF!,#REF!,#REF!,#REF!,#REF!,#REF!,#REF!,#REF!,#REF!,#REF!,#REF!,#REF!,#REF!,#REF!,#REF!</definedName>
    <definedName name="__APW_RESTORE_DATA1141__" hidden="1">#REF!,#REF!,#REF!,#REF!,#REF!,#REF!,#REF!,#REF!,#REF!,#REF!,#REF!,#REF!,#REF!,#REF!,#REF!</definedName>
    <definedName name="__APW_RESTORE_DATA1142__" hidden="1">#REF!,#REF!,#REF!,#REF!,#REF!,#REF!,#REF!,#REF!,#REF!,#REF!,#REF!,#REF!,#REF!,#REF!,#REF!</definedName>
    <definedName name="__APW_RESTORE_DATA1143__" hidden="1">#REF!,#REF!,#REF!,#REF!,#REF!,#REF!,#REF!,#REF!,#REF!,#REF!,#REF!,#REF!,#REF!,#REF!,#REF!</definedName>
    <definedName name="__APW_RESTORE_DATA1144__" hidden="1">#REF!,#REF!,#REF!,#REF!,#REF!,#REF!,#REF!,#REF!,#REF!,#REF!,#REF!,#REF!,#REF!,#REF!,#REF!</definedName>
    <definedName name="__APW_RESTORE_DATA1145__" hidden="1">#REF!,#REF!,#REF!,#REF!,#REF!,#REF!,#REF!,#REF!,#REF!,#REF!,#REF!,#REF!,#REF!,#REF!,#REF!</definedName>
    <definedName name="__APW_RESTORE_DATA1146__" hidden="1">#REF!,#REF!,#REF!,#REF!,#REF!,#REF!,#REF!,#REF!,#REF!,#REF!,#REF!,#REF!,#REF!,#REF!,#REF!</definedName>
    <definedName name="__APW_RESTORE_DATA1147__" hidden="1">#REF!,#REF!,#REF!,#REF!,#REF!,#REF!,#REF!,#REF!,#REF!,#REF!,#REF!,#REF!,#REF!,#REF!,#REF!</definedName>
    <definedName name="__APW_RESTORE_DATA1148__" hidden="1">#REF!,#REF!,#REF!,#REF!,#REF!,#REF!</definedName>
    <definedName name="__APW_RESTORE_DATA1149__" hidden="1">#REF!</definedName>
    <definedName name="__APW_RESTORE_DATA115__" hidden="1">#REF!,#REF!</definedName>
    <definedName name="__APW_RESTORE_DATA1151__" hidden="1">#REF!</definedName>
    <definedName name="__APW_RESTORE_DATA1152__" hidden="1">#REF!,#REF!,#REF!,#REF!,#REF!,#REF!,#REF!,#REF!,#REF!,#REF!,#REF!,#REF!,#REF!,#REF!,#REF!,#REF!</definedName>
    <definedName name="__APW_RESTORE_DATA1153__" hidden="1">#REF!,#REF!,#REF!,#REF!,#REF!,#REF!,#REF!,#REF!,#REF!,#REF!,#REF!,#REF!,#REF!,#REF!,#REF!,#REF!</definedName>
    <definedName name="__APW_RESTORE_DATA1154__" hidden="1">#REF!,#REF!,#REF!,#REF!,#REF!,#REF!,#REF!,#REF!,#REF!,#REF!,#REF!,#REF!,#REF!,#REF!,#REF!,#REF!</definedName>
    <definedName name="__APW_RESTORE_DATA1155__" hidden="1">#REF!,#REF!,#REF!,#REF!,#REF!,#REF!,#REF!,#REF!,#REF!,#REF!,#REF!,#REF!,#REF!,#REF!,#REF!,#REF!</definedName>
    <definedName name="__APW_RESTORE_DATA1156__" hidden="1">#REF!,#REF!,#REF!,#REF!,#REF!,#REF!,#REF!,#REF!,#REF!,#REF!,#REF!,#REF!,#REF!,#REF!,#REF!,#REF!</definedName>
    <definedName name="__APW_RESTORE_DATA1157__" hidden="1">#REF!,#REF!,#REF!,#REF!,#REF!,#REF!,#REF!,#REF!,#REF!,#REF!,#REF!,#REF!,#REF!,#REF!,#REF!,#REF!</definedName>
    <definedName name="__APW_RESTORE_DATA1158__" hidden="1">#REF!,#REF!,#REF!,#REF!,#REF!,#REF!,#REF!,#REF!,#REF!,#REF!,#REF!,#REF!,#REF!,#REF!,#REF!</definedName>
    <definedName name="__APW_RESTORE_DATA1159__" hidden="1">#REF!,#REF!,#REF!,#REF!,#REF!,#REF!,#REF!,#REF!,#REF!,#REF!,#REF!,#REF!,#REF!,#REF!,#REF!</definedName>
    <definedName name="__APW_RESTORE_DATA116__" hidden="1">#REF!,#REF!</definedName>
    <definedName name="__APW_RESTORE_DATA1160__" hidden="1">#REF!,#REF!,#REF!,#REF!,#REF!,#REF!,#REF!,#REF!,#REF!,#REF!,#REF!,#REF!,#REF!,#REF!,#REF!</definedName>
    <definedName name="__APW_RESTORE_DATA1161__" hidden="1">#REF!,#REF!,#REF!,#REF!,#REF!,#REF!,#REF!,#REF!,#REF!,#REF!,#REF!,#REF!,#REF!,#REF!,#REF!</definedName>
    <definedName name="__APW_RESTORE_DATA1162__" hidden="1">#REF!,#REF!,#REF!,#REF!,#REF!,#REF!,#REF!,#REF!,#REF!,#REF!,#REF!,#REF!,#REF!,#REF!,#REF!</definedName>
    <definedName name="__APW_RESTORE_DATA1163__" hidden="1">#REF!,#REF!,#REF!,#REF!,#REF!,#REF!,#REF!,#REF!,#REF!,#REF!,#REF!,#REF!,#REF!,#REF!,#REF!</definedName>
    <definedName name="__APW_RESTORE_DATA1164__" hidden="1">#REF!,#REF!,#REF!,#REF!,#REF!,#REF!,#REF!,#REF!,#REF!,#REF!,#REF!,#REF!,#REF!,#REF!,#REF!</definedName>
    <definedName name="__APW_RESTORE_DATA1165__" hidden="1">#REF!,#REF!,#REF!,#REF!,#REF!,#REF!,#REF!,#REF!,#REF!,#REF!,#REF!,#REF!,#REF!,#REF!,#REF!</definedName>
    <definedName name="__APW_RESTORE_DATA1166__" hidden="1">#REF!,#REF!,#REF!,#REF!,#REF!,#REF!,#REF!,#REF!,#REF!,#REF!,#REF!,#REF!,#REF!,#REF!,#REF!</definedName>
    <definedName name="__APW_RESTORE_DATA1167__" hidden="1">#REF!,#REF!,#REF!,#REF!,#REF!,#REF!,#REF!,#REF!,#REF!,#REF!,#REF!,#REF!,#REF!,#REF!,#REF!</definedName>
    <definedName name="__APW_RESTORE_DATA1168__" hidden="1">#REF!,#REF!,#REF!,#REF!,#REF!,#REF!,#REF!,#REF!,#REF!,#REF!,#REF!,#REF!,#REF!,#REF!,#REF!</definedName>
    <definedName name="__APW_RESTORE_DATA1169__" hidden="1">#REF!,#REF!,#REF!,#REF!,#REF!,#REF!,#REF!,#REF!,#REF!,#REF!,#REF!,#REF!,#REF!,#REF!,#REF!</definedName>
    <definedName name="__APW_RESTORE_DATA117__" hidden="1">#REF!,#REF!,#REF!,#REF!,#REF!,#REF!,#REF!,#REF!,#REF!,#REF!,#REF!,#REF!,#REF!,#REF!,#REF!</definedName>
    <definedName name="__APW_RESTORE_DATA1170__" hidden="1">#REF!,#REF!,#REF!,#REF!,#REF!,#REF!,#REF!,#REF!,#REF!,#REF!,#REF!,#REF!,#REF!,#REF!,#REF!</definedName>
    <definedName name="__APW_RESTORE_DATA1171__" hidden="1">#REF!,#REF!,#REF!,#REF!,#REF!,#REF!,#REF!,#REF!,#REF!,#REF!,#REF!,#REF!,#REF!,#REF!,#REF!</definedName>
    <definedName name="__APW_RESTORE_DATA1172__" hidden="1">#REF!,#REF!,#REF!,#REF!,#REF!,#REF!,#REF!,#REF!,#REF!,#REF!,#REF!,#REF!,#REF!,#REF!,#REF!</definedName>
    <definedName name="__APW_RESTORE_DATA1173__" hidden="1">#REF!,#REF!,#REF!,#REF!,#REF!,#REF!,#REF!,#REF!,#REF!,#REF!,#REF!,#REF!,#REF!,#REF!,#REF!</definedName>
    <definedName name="__APW_RESTORE_DATA1174__" hidden="1">#REF!,#REF!,#REF!,#REF!,#REF!,#REF!,#REF!,#REF!,#REF!,#REF!,#REF!,#REF!,#REF!,#REF!,#REF!</definedName>
    <definedName name="__APW_RESTORE_DATA1175__" hidden="1">#REF!,#REF!,#REF!,#REF!,#REF!,#REF!,#REF!,#REF!,#REF!,#REF!,#REF!,#REF!,#REF!,#REF!,#REF!</definedName>
    <definedName name="__APW_RESTORE_DATA1176__" hidden="1">#REF!,#REF!,#REF!,#REF!,#REF!,#REF!,#REF!,#REF!,#REF!,#REF!,#REF!,#REF!,#REF!,#REF!,#REF!</definedName>
    <definedName name="__APW_RESTORE_DATA1177__" hidden="1">#REF!,#REF!,#REF!,#REF!,#REF!,#REF!,#REF!,#REF!,#REF!,#REF!,#REF!,#REF!,#REF!,#REF!,#REF!</definedName>
    <definedName name="__APW_RESTORE_DATA1178__" hidden="1">#REF!,#REF!,#REF!,#REF!,#REF!,#REF!,#REF!,#REF!,#REF!,#REF!,#REF!,#REF!,#REF!,#REF!,#REF!</definedName>
    <definedName name="__APW_RESTORE_DATA1179__" hidden="1">#REF!,#REF!,#REF!,#REF!,#REF!,#REF!,#REF!,#REF!,#REF!,#REF!,#REF!,#REF!,#REF!,#REF!,#REF!</definedName>
    <definedName name="__APW_RESTORE_DATA118__" hidden="1">#REF!,#REF!,#REF!,#REF!,#REF!,#REF!,#REF!,#REF!,#REF!,#REF!,#REF!,#REF!,#REF!,#REF!,#REF!</definedName>
    <definedName name="__APW_RESTORE_DATA1180__" hidden="1">#REF!,#REF!,#REF!,#REF!,#REF!,#REF!,#REF!,#REF!,#REF!,#REF!,#REF!,#REF!,#REF!,#REF!,#REF!</definedName>
    <definedName name="__APW_RESTORE_DATA1181__" hidden="1">#REF!,#REF!,#REF!,#REF!,#REF!,#REF!,#REF!,#REF!,#REF!,#REF!,#REF!,#REF!,#REF!,#REF!,#REF!</definedName>
    <definedName name="__APW_RESTORE_DATA1182__" hidden="1">#REF!,#REF!,#REF!,#REF!,#REF!,#REF!,#REF!,#REF!,#REF!,#REF!,#REF!,#REF!,#REF!,#REF!,#REF!</definedName>
    <definedName name="__APW_RESTORE_DATA1183__" hidden="1">#REF!,#REF!,#REF!,#REF!,#REF!,#REF!,#REF!,#REF!,#REF!,#REF!,#REF!,#REF!,#REF!,#REF!,#REF!</definedName>
    <definedName name="__APW_RESTORE_DATA1184__" hidden="1">#REF!,#REF!,#REF!,#REF!,#REF!,#REF!,#REF!,#REF!,#REF!,#REF!,#REF!,#REF!,#REF!,#REF!,#REF!</definedName>
    <definedName name="__APW_RESTORE_DATA1185__" hidden="1">#REF!,#REF!,#REF!,#REF!,#REF!,#REF!,#REF!,#REF!,#REF!,#REF!,#REF!,#REF!,#REF!,#REF!,#REF!</definedName>
    <definedName name="__APW_RESTORE_DATA1186__" hidden="1">#REF!,#REF!,#REF!,#REF!,#REF!,#REF!</definedName>
    <definedName name="__APW_RESTORE_DATA1187__" hidden="1">#REF!,#REF!,#REF!,#REF!,#REF!,#REF!,#REF!,#REF!,#REF!,#REF!,#REF!,#REF!,#REF!,#REF!,#REF!,#REF!</definedName>
    <definedName name="__APW_RESTORE_DATA1188__" hidden="1">#REF!,#REF!,#REF!,#REF!,#REF!,#REF!,#REF!,#REF!,#REF!,#REF!,#REF!,#REF!,#REF!,#REF!,#REF!,#REF!</definedName>
    <definedName name="__APW_RESTORE_DATA1189__" hidden="1">#REF!,#REF!,#REF!,#REF!,#REF!,#REF!,#REF!,#REF!,#REF!,#REF!,#REF!,#REF!,#REF!,#REF!,#REF!,#REF!</definedName>
    <definedName name="__APW_RESTORE_DATA119__" hidden="1">#REF!,#REF!,#REF!,#REF!,#REF!,#REF!,#REF!,#REF!,#REF!,#REF!,#REF!,#REF!,#REF!,#REF!,#REF!</definedName>
    <definedName name="__APW_RESTORE_DATA1190__" hidden="1">#REF!,#REF!,#REF!,#REF!,#REF!,#REF!,#REF!,#REF!,#REF!,#REF!,#REF!,#REF!,#REF!,#REF!,#REF!,#REF!</definedName>
    <definedName name="__APW_RESTORE_DATA1191__" hidden="1">#REF!,#REF!,#REF!,#REF!,#REF!,#REF!,#REF!,#REF!,#REF!,#REF!,#REF!,#REF!,#REF!,#REF!,#REF!,#REF!</definedName>
    <definedName name="__APW_RESTORE_DATA1192__" hidden="1">#REF!,#REF!,#REF!,#REF!,#REF!,#REF!,#REF!,#REF!,#REF!,#REF!,#REF!,#REF!,#REF!,#REF!,#REF!,#REF!</definedName>
    <definedName name="__APW_RESTORE_DATA1193__" hidden="1">#REF!,#REF!,#REF!,#REF!,#REF!,#REF!,#REF!,#REF!,#REF!,#REF!,#REF!,#REF!,#REF!,#REF!,#REF!</definedName>
    <definedName name="__APW_RESTORE_DATA1194__" hidden="1">#REF!,#REF!,#REF!,#REF!,#REF!,#REF!,#REF!,#REF!,#REF!,#REF!,#REF!,#REF!,#REF!,#REF!,#REF!</definedName>
    <definedName name="__APW_RESTORE_DATA1195__" hidden="1">#REF!,#REF!,#REF!,#REF!,#REF!,#REF!,#REF!,#REF!,#REF!,#REF!,#REF!,#REF!,#REF!,#REF!,#REF!</definedName>
    <definedName name="__APW_RESTORE_DATA1196__" hidden="1">#REF!,#REF!,#REF!,#REF!,#REF!,#REF!,#REF!,#REF!,#REF!,#REF!,#REF!,#REF!,#REF!,#REF!,#REF!</definedName>
    <definedName name="__APW_RESTORE_DATA1197__" hidden="1">#REF!,#REF!,#REF!,#REF!,#REF!,#REF!,#REF!,#REF!,#REF!,#REF!,#REF!,#REF!,#REF!,#REF!,#REF!</definedName>
    <definedName name="__APW_RESTORE_DATA1198__" hidden="1">#REF!,#REF!,#REF!,#REF!,#REF!,#REF!,#REF!,#REF!,#REF!,#REF!,#REF!,#REF!,#REF!,#REF!,#REF!</definedName>
    <definedName name="__APW_RESTORE_DATA1199__" hidden="1">#REF!,#REF!,#REF!,#REF!,#REF!,#REF!,#REF!,#REF!,#REF!,#REF!,#REF!,#REF!,#REF!,#REF!,#REF!</definedName>
    <definedName name="__APW_RESTORE_DATA12__" hidden="1">#REF!,#REF!,#REF!,#REF!,#REF!,#REF!,#REF!,#REF!,#REF!,#REF!,#REF!,#REF!,#REF!,#REF!,#REF!,#REF!</definedName>
    <definedName name="__APW_RESTORE_DATA120__" hidden="1">#REF!,#REF!,#REF!,#REF!,#REF!,#REF!,#REF!,#REF!,#REF!,#REF!,#REF!,#REF!,#REF!,#REF!,#REF!</definedName>
    <definedName name="__APW_RESTORE_DATA1200__" hidden="1">#REF!,#REF!,#REF!,#REF!,#REF!,#REF!,#REF!,#REF!,#REF!,#REF!,#REF!,#REF!,#REF!,#REF!,#REF!</definedName>
    <definedName name="__APW_RESTORE_DATA1201__" hidden="1">#REF!,#REF!,#REF!,#REF!,#REF!,#REF!,#REF!,#REF!,#REF!,#REF!,#REF!,#REF!,#REF!,#REF!,#REF!</definedName>
    <definedName name="__APW_RESTORE_DATA1202__" hidden="1">#REF!,#REF!,#REF!,#REF!,#REF!,#REF!,#REF!,#REF!,#REF!,#REF!,#REF!,#REF!,#REF!,#REF!,#REF!</definedName>
    <definedName name="__APW_RESTORE_DATA1203__" hidden="1">#REF!,#REF!,#REF!,#REF!,#REF!,#REF!,#REF!,#REF!,#REF!,#REF!,#REF!,#REF!,#REF!,#REF!,#REF!</definedName>
    <definedName name="__APW_RESTORE_DATA1204__" hidden="1">#REF!,#REF!,#REF!,#REF!,#REF!,#REF!,#REF!,#REF!,#REF!,#REF!,#REF!,#REF!,#REF!,#REF!,#REF!</definedName>
    <definedName name="__APW_RESTORE_DATA1205__" hidden="1">#REF!,#REF!,#REF!,#REF!,#REF!,#REF!,#REF!,#REF!,#REF!,#REF!,#REF!,#REF!,#REF!,#REF!,#REF!</definedName>
    <definedName name="__APW_RESTORE_DATA1206__" hidden="1">#REF!,#REF!,#REF!,#REF!,#REF!,#REF!,#REF!,#REF!,#REF!,#REF!,#REF!,#REF!,#REF!,#REF!,#REF!</definedName>
    <definedName name="__APW_RESTORE_DATA1207__" hidden="1">#REF!,#REF!,#REF!,#REF!,#REF!,#REF!,#REF!,#REF!,#REF!,#REF!,#REF!,#REF!,#REF!,#REF!,#REF!</definedName>
    <definedName name="__APW_RESTORE_DATA1208__" hidden="1">#REF!,#REF!,#REF!,#REF!,#REF!,#REF!,#REF!,#REF!,#REF!,#REF!,#REF!,#REF!,#REF!,#REF!,#REF!</definedName>
    <definedName name="__APW_RESTORE_DATA1209__" hidden="1">#REF!,#REF!,#REF!,#REF!,#REF!,#REF!,#REF!,#REF!,#REF!,#REF!,#REF!,#REF!,#REF!,#REF!,#REF!</definedName>
    <definedName name="__APW_RESTORE_DATA121__" hidden="1">#REF!,#REF!,#REF!,#REF!,#REF!,#REF!,#REF!,#REF!,#REF!,#REF!,#REF!,#REF!,#REF!,#REF!,#REF!</definedName>
    <definedName name="__APW_RESTORE_DATA1210__" hidden="1">#REF!,#REF!,#REF!,#REF!,#REF!,#REF!,#REF!,#REF!,#REF!,#REF!,#REF!,#REF!,#REF!,#REF!,#REF!</definedName>
    <definedName name="__APW_RESTORE_DATA1211__" hidden="1">#REF!,#REF!,#REF!,#REF!,#REF!,#REF!,#REF!,#REF!,#REF!,#REF!,#REF!,#REF!,#REF!,#REF!,#REF!</definedName>
    <definedName name="__APW_RESTORE_DATA1212__" hidden="1">#REF!,#REF!,#REF!,#REF!,#REF!,#REF!,#REF!,#REF!,#REF!,#REF!,#REF!,#REF!,#REF!,#REF!,#REF!</definedName>
    <definedName name="__APW_RESTORE_DATA1213__" hidden="1">#REF!,#REF!,#REF!,#REF!,#REF!,#REF!,#REF!,#REF!,#REF!,#REF!,#REF!,#REF!,#REF!,#REF!,#REF!</definedName>
    <definedName name="__APW_RESTORE_DATA1214__" hidden="1">#REF!,#REF!,#REF!,#REF!,#REF!,#REF!,#REF!,#REF!,#REF!,#REF!,#REF!,#REF!,#REF!,#REF!,#REF!</definedName>
    <definedName name="__APW_RESTORE_DATA1215__" hidden="1">#REF!,#REF!,#REF!,#REF!,#REF!,#REF!,#REF!,#REF!,#REF!,#REF!,#REF!,#REF!,#REF!,#REF!,#REF!</definedName>
    <definedName name="__APW_RESTORE_DATA1216__" hidden="1">#REF!,#REF!,#REF!,#REF!,#REF!,#REF!,#REF!,#REF!,#REF!,#REF!,#REF!,#REF!,#REF!,#REF!,#REF!</definedName>
    <definedName name="__APW_RESTORE_DATA1217__" hidden="1">#REF!,#REF!,#REF!,#REF!,#REF!,#REF!,#REF!,#REF!,#REF!,#REF!,#REF!,#REF!,#REF!,#REF!,#REF!</definedName>
    <definedName name="__APW_RESTORE_DATA1218__" hidden="1">#REF!,#REF!,#REF!,#REF!,#REF!,#REF!,#REF!,#REF!,#REF!,#REF!,#REF!,#REF!,#REF!,#REF!,#REF!</definedName>
    <definedName name="__APW_RESTORE_DATA1219__" hidden="1">#REF!,#REF!,#REF!,#REF!,#REF!,#REF!,#REF!,#REF!,#REF!,#REF!,#REF!,#REF!,#REF!,#REF!,#REF!</definedName>
    <definedName name="__APW_RESTORE_DATA122__" hidden="1">#REF!,#REF!,#REF!,#REF!,#REF!,#REF!,#REF!,#REF!,#REF!,#REF!,#REF!,#REF!,#REF!,#REF!,#REF!</definedName>
    <definedName name="__APW_RESTORE_DATA1220__" hidden="1">#REF!,#REF!,#REF!,#REF!,#REF!,#REF!,#REF!,#REF!,#REF!,#REF!,#REF!,#REF!,#REF!,#REF!,#REF!</definedName>
    <definedName name="__APW_RESTORE_DATA1221__" hidden="1">#REF!,#REF!,#REF!,#REF!,#REF!,#REF!</definedName>
    <definedName name="__APW_RESTORE_DATA1222__" hidden="1">#REF!,#REF!,#REF!,#REF!,#REF!,#REF!,#REF!,#REF!,#REF!,#REF!,#REF!,#REF!,#REF!,#REF!,#REF!,#REF!</definedName>
    <definedName name="__APW_RESTORE_DATA1223__" hidden="1">#REF!,#REF!,#REF!,#REF!,#REF!,#REF!,#REF!,#REF!,#REF!,#REF!,#REF!,#REF!,#REF!,#REF!,#REF!,#REF!</definedName>
    <definedName name="__APW_RESTORE_DATA1224__" hidden="1">#REF!,#REF!,#REF!,#REF!,#REF!,#REF!,#REF!,#REF!,#REF!,#REF!,#REF!,#REF!,#REF!,#REF!,#REF!,#REF!</definedName>
    <definedName name="__APW_RESTORE_DATA1225__" hidden="1">#REF!,#REF!,#REF!,#REF!,#REF!,#REF!,#REF!,#REF!,#REF!,#REF!,#REF!,#REF!,#REF!,#REF!,#REF!,#REF!</definedName>
    <definedName name="__APW_RESTORE_DATA1226__" hidden="1">#REF!,#REF!,#REF!,#REF!,#REF!,#REF!,#REF!,#REF!,#REF!,#REF!,#REF!,#REF!,#REF!,#REF!,#REF!,#REF!</definedName>
    <definedName name="__APW_RESTORE_DATA1227__" hidden="1">#REF!,#REF!,#REF!,#REF!,#REF!,#REF!,#REF!,#REF!,#REF!,#REF!,#REF!,#REF!,#REF!,#REF!,#REF!,#REF!</definedName>
    <definedName name="__APW_RESTORE_DATA1228__" hidden="1">#REF!,#REF!,#REF!,#REF!,#REF!,#REF!,#REF!,#REF!,#REF!,#REF!,#REF!,#REF!,#REF!,#REF!,#REF!</definedName>
    <definedName name="__APW_RESTORE_DATA1229__" hidden="1">#REF!,#REF!,#REF!,#REF!,#REF!,#REF!,#REF!,#REF!,#REF!,#REF!,#REF!,#REF!,#REF!,#REF!,#REF!</definedName>
    <definedName name="__APW_RESTORE_DATA123__" hidden="1">#REF!,#REF!,#REF!,#REF!,#REF!,#REF!,#REF!,#REF!,#REF!,#REF!,#REF!,#REF!,#REF!,#REF!,#REF!</definedName>
    <definedName name="__APW_RESTORE_DATA1230__" hidden="1">#REF!,#REF!,#REF!,#REF!,#REF!,#REF!,#REF!,#REF!,#REF!,#REF!,#REF!,#REF!,#REF!,#REF!,#REF!</definedName>
    <definedName name="__APW_RESTORE_DATA1231__" hidden="1">#REF!,#REF!,#REF!,#REF!,#REF!,#REF!,#REF!,#REF!,#REF!,#REF!,#REF!,#REF!,#REF!,#REF!,#REF!</definedName>
    <definedName name="__APW_RESTORE_DATA1232__" hidden="1">#REF!,#REF!,#REF!,#REF!,#REF!,#REF!,#REF!,#REF!,#REF!,#REF!,#REF!,#REF!,#REF!,#REF!,#REF!</definedName>
    <definedName name="__APW_RESTORE_DATA1233__" hidden="1">#REF!,#REF!,#REF!,#REF!,#REF!,#REF!,#REF!,#REF!,#REF!,#REF!,#REF!,#REF!,#REF!,#REF!,#REF!</definedName>
    <definedName name="__APW_RESTORE_DATA1234__" hidden="1">#REF!,#REF!,#REF!,#REF!,#REF!,#REF!,#REF!,#REF!,#REF!,#REF!,#REF!,#REF!,#REF!,#REF!,#REF!</definedName>
    <definedName name="__APW_RESTORE_DATA1235__" hidden="1">#REF!,#REF!,#REF!,#REF!,#REF!,#REF!,#REF!,#REF!,#REF!,#REF!,#REF!,#REF!,#REF!,#REF!,#REF!</definedName>
    <definedName name="__APW_RESTORE_DATA1236__" hidden="1">#REF!,#REF!,#REF!,#REF!,#REF!,#REF!,#REF!,#REF!,#REF!,#REF!,#REF!,#REF!,#REF!,#REF!,#REF!</definedName>
    <definedName name="__APW_RESTORE_DATA1237__" hidden="1">#REF!,#REF!,#REF!,#REF!,#REF!,#REF!,#REF!,#REF!,#REF!,#REF!,#REF!,#REF!,#REF!,#REF!,#REF!</definedName>
    <definedName name="__APW_RESTORE_DATA1238__" hidden="1">#REF!,#REF!,#REF!,#REF!,#REF!,#REF!,#REF!,#REF!,#REF!,#REF!,#REF!,#REF!,#REF!,#REF!,#REF!</definedName>
    <definedName name="__APW_RESTORE_DATA1239__" hidden="1">#REF!,#REF!,#REF!,#REF!,#REF!,#REF!,#REF!,#REF!,#REF!,#REF!,#REF!,#REF!,#REF!,#REF!,#REF!</definedName>
    <definedName name="__APW_RESTORE_DATA124__" hidden="1">#REF!,#REF!,#REF!,#REF!,#REF!,#REF!,#REF!,#REF!,#REF!,#REF!,#REF!,#REF!,#REF!,#REF!,#REF!</definedName>
    <definedName name="__APW_RESTORE_DATA1240__" hidden="1">#REF!,#REF!,#REF!,#REF!,#REF!,#REF!,#REF!,#REF!,#REF!,#REF!,#REF!,#REF!,#REF!,#REF!,#REF!</definedName>
    <definedName name="__APW_RESTORE_DATA1241__" hidden="1">#REF!,#REF!,#REF!,#REF!,#REF!,#REF!,#REF!,#REF!,#REF!,#REF!,#REF!,#REF!,#REF!,#REF!,#REF!</definedName>
    <definedName name="__APW_RESTORE_DATA1242__" hidden="1">#REF!,#REF!,#REF!,#REF!,#REF!,#REF!,#REF!,#REF!,#REF!,#REF!,#REF!,#REF!,#REF!,#REF!,#REF!</definedName>
    <definedName name="__APW_RESTORE_DATA1243__" hidden="1">#REF!,#REF!,#REF!,#REF!,#REF!,#REF!,#REF!,#REF!,#REF!,#REF!,#REF!,#REF!,#REF!,#REF!,#REF!</definedName>
    <definedName name="__APW_RESTORE_DATA1244__" hidden="1">#REF!,#REF!,#REF!,#REF!,#REF!,#REF!,#REF!,#REF!,#REF!,#REF!,#REF!,#REF!,#REF!,#REF!,#REF!</definedName>
    <definedName name="__APW_RESTORE_DATA1245__" hidden="1">#REF!,#REF!,#REF!,#REF!,#REF!,#REF!,#REF!,#REF!,#REF!,#REF!,#REF!,#REF!,#REF!,#REF!,#REF!</definedName>
    <definedName name="__APW_RESTORE_DATA1246__" hidden="1">#REF!,#REF!,#REF!,#REF!,#REF!,#REF!,#REF!,#REF!,#REF!,#REF!,#REF!,#REF!,#REF!,#REF!,#REF!</definedName>
    <definedName name="__APW_RESTORE_DATA1247__" hidden="1">#REF!,#REF!,#REF!,#REF!,#REF!,#REF!,#REF!,#REF!,#REF!,#REF!,#REF!,#REF!,#REF!,#REF!,#REF!</definedName>
    <definedName name="__APW_RESTORE_DATA1248__" hidden="1">#REF!,#REF!,#REF!,#REF!,#REF!,#REF!,#REF!,#REF!,#REF!,#REF!,#REF!,#REF!,#REF!,#REF!,#REF!</definedName>
    <definedName name="__APW_RESTORE_DATA1249__" hidden="1">#REF!,#REF!,#REF!,#REF!,#REF!,#REF!,#REF!,#REF!,#REF!,#REF!,#REF!,#REF!,#REF!,#REF!,#REF!</definedName>
    <definedName name="__APW_RESTORE_DATA125__" hidden="1">#REF!,#REF!,#REF!,#REF!,#REF!,#REF!,#REF!,#REF!,#REF!,#REF!,#REF!,#REF!,#REF!,#REF!,#REF!</definedName>
    <definedName name="__APW_RESTORE_DATA1250__" hidden="1">#REF!,#REF!,#REF!,#REF!,#REF!,#REF!,#REF!,#REF!,#REF!,#REF!,#REF!,#REF!,#REF!,#REF!,#REF!</definedName>
    <definedName name="__APW_RESTORE_DATA1251__" hidden="1">#REF!,#REF!,#REF!,#REF!,#REF!,#REF!,#REF!,#REF!,#REF!,#REF!,#REF!,#REF!,#REF!,#REF!,#REF!</definedName>
    <definedName name="__APW_RESTORE_DATA1252__" hidden="1">#REF!,#REF!,#REF!,#REF!,#REF!,#REF!,#REF!,#REF!,#REF!,#REF!,#REF!,#REF!,#REF!,#REF!,#REF!</definedName>
    <definedName name="__APW_RESTORE_DATA1253__" hidden="1">#REF!,#REF!,#REF!,#REF!,#REF!,#REF!,#REF!,#REF!,#REF!,#REF!,#REF!,#REF!,#REF!,#REF!,#REF!</definedName>
    <definedName name="__APW_RESTORE_DATA1254__" hidden="1">#REF!,#REF!,#REF!,#REF!,#REF!,#REF!,#REF!,#REF!,#REF!,#REF!,#REF!,#REF!,#REF!,#REF!,#REF!</definedName>
    <definedName name="__APW_RESTORE_DATA1255__" hidden="1">#REF!,#REF!,#REF!,#REF!,#REF!,#REF!,#REF!,#REF!,#REF!,#REF!,#REF!,#REF!,#REF!,#REF!,#REF!</definedName>
    <definedName name="__APW_RESTORE_DATA1256__" hidden="1">#REF!,#REF!,#REF!,#REF!,#REF!,#REF!</definedName>
    <definedName name="__APW_RESTORE_DATA1257__" hidden="1">#REF!,#REF!,#REF!,#REF!,#REF!,#REF!,#REF!,#REF!,#REF!,#REF!,#REF!,#REF!,#REF!,#REF!,#REF!,#REF!</definedName>
    <definedName name="__APW_RESTORE_DATA1258__" hidden="1">#REF!,#REF!,#REF!,#REF!,#REF!,#REF!,#REF!,#REF!,#REF!,#REF!,#REF!,#REF!,#REF!,#REF!,#REF!,#REF!</definedName>
    <definedName name="__APW_RESTORE_DATA1259__" hidden="1">#REF!,#REF!,#REF!,#REF!,#REF!,#REF!,#REF!,#REF!,#REF!,#REF!,#REF!,#REF!,#REF!,#REF!,#REF!,#REF!</definedName>
    <definedName name="__APW_RESTORE_DATA126__" hidden="1">#REF!,#REF!,#REF!,#REF!,#REF!,#REF!,#REF!,#REF!,#REF!,#REF!,#REF!,#REF!,#REF!,#REF!,#REF!</definedName>
    <definedName name="__APW_RESTORE_DATA1260__" hidden="1">#REF!,#REF!,#REF!,#REF!,#REF!,#REF!,#REF!,#REF!,#REF!,#REF!,#REF!,#REF!,#REF!,#REF!,#REF!,#REF!</definedName>
    <definedName name="__APW_RESTORE_DATA1261__" hidden="1">#REF!,#REF!,#REF!,#REF!,#REF!,#REF!,#REF!,#REF!,#REF!,#REF!,#REF!,#REF!,#REF!,#REF!,#REF!,#REF!</definedName>
    <definedName name="__APW_RESTORE_DATA1262__" hidden="1">#REF!,#REF!,#REF!,#REF!,#REF!,#REF!,#REF!,#REF!,#REF!,#REF!,#REF!,#REF!,#REF!,#REF!,#REF!,#REF!</definedName>
    <definedName name="__APW_RESTORE_DATA1263__" hidden="1">#REF!,#REF!,#REF!,#REF!,#REF!,#REF!,#REF!,#REF!,#REF!,#REF!,#REF!,#REF!,#REF!,#REF!,#REF!</definedName>
    <definedName name="__APW_RESTORE_DATA1264__" hidden="1">#REF!,#REF!,#REF!,#REF!,#REF!,#REF!,#REF!,#REF!,#REF!,#REF!,#REF!,#REF!,#REF!,#REF!,#REF!</definedName>
    <definedName name="__APW_RESTORE_DATA1265__" hidden="1">#REF!,#REF!,#REF!,#REF!,#REF!,#REF!,#REF!,#REF!,#REF!,#REF!,#REF!,#REF!,#REF!,#REF!,#REF!</definedName>
    <definedName name="__APW_RESTORE_DATA1266__" hidden="1">#REF!,#REF!,#REF!,#REF!,#REF!,#REF!,#REF!,#REF!,#REF!,#REF!,#REF!,#REF!,#REF!,#REF!,#REF!</definedName>
    <definedName name="__APW_RESTORE_DATA1267__" hidden="1">#REF!,#REF!,#REF!,#REF!,#REF!,#REF!,#REF!,#REF!,#REF!,#REF!,#REF!,#REF!,#REF!,#REF!,#REF!</definedName>
    <definedName name="__APW_RESTORE_DATA1268__" hidden="1">#REF!,#REF!,#REF!,#REF!,#REF!,#REF!,#REF!,#REF!,#REF!,#REF!,#REF!,#REF!,#REF!,#REF!,#REF!</definedName>
    <definedName name="__APW_RESTORE_DATA1269__" hidden="1">#REF!,#REF!,#REF!,#REF!,#REF!,#REF!,#REF!,#REF!,#REF!,#REF!,#REF!,#REF!,#REF!,#REF!,#REF!</definedName>
    <definedName name="__APW_RESTORE_DATA127__" hidden="1">#REF!,#REF!,#REF!,#REF!,#REF!,#REF!,#REF!,#REF!,#REF!,#REF!,#REF!,#REF!,#REF!,#REF!,#REF!</definedName>
    <definedName name="__APW_RESTORE_DATA1270__" hidden="1">#REF!,#REF!,#REF!,#REF!,#REF!,#REF!,#REF!,#REF!,#REF!,#REF!,#REF!,#REF!,#REF!,#REF!,#REF!</definedName>
    <definedName name="__APW_RESTORE_DATA1271__" hidden="1">#REF!,#REF!,#REF!,#REF!,#REF!,#REF!,#REF!,#REF!,#REF!,#REF!,#REF!,#REF!,#REF!,#REF!,#REF!</definedName>
    <definedName name="__APW_RESTORE_DATA1272__" hidden="1">#REF!,#REF!,#REF!,#REF!,#REF!,#REF!,#REF!,#REF!,#REF!,#REF!,#REF!,#REF!,#REF!,#REF!,#REF!</definedName>
    <definedName name="__APW_RESTORE_DATA1273__" hidden="1">#REF!,#REF!,#REF!,#REF!,#REF!,#REF!,#REF!,#REF!,#REF!,#REF!,#REF!,#REF!,#REF!,#REF!,#REF!</definedName>
    <definedName name="__APW_RESTORE_DATA1274__" hidden="1">#REF!,#REF!,#REF!,#REF!,#REF!,#REF!,#REF!,#REF!,#REF!,#REF!,#REF!,#REF!,#REF!,#REF!,#REF!</definedName>
    <definedName name="__APW_RESTORE_DATA1275__" hidden="1">#REF!,#REF!,#REF!,#REF!,#REF!,#REF!,#REF!,#REF!,#REF!,#REF!,#REF!,#REF!,#REF!,#REF!,#REF!</definedName>
    <definedName name="__APW_RESTORE_DATA1276__" hidden="1">#REF!,#REF!,#REF!,#REF!,#REF!,#REF!,#REF!,#REF!,#REF!,#REF!,#REF!,#REF!,#REF!,#REF!,#REF!</definedName>
    <definedName name="__APW_RESTORE_DATA1277__" hidden="1">#REF!,#REF!,#REF!,#REF!,#REF!,#REF!,#REF!,#REF!,#REF!,#REF!,#REF!,#REF!,#REF!,#REF!,#REF!</definedName>
    <definedName name="__APW_RESTORE_DATA1278__" hidden="1">#REF!,#REF!,#REF!,#REF!,#REF!,#REF!,#REF!,#REF!,#REF!,#REF!,#REF!,#REF!,#REF!,#REF!,#REF!</definedName>
    <definedName name="__APW_RESTORE_DATA1279__" hidden="1">#REF!,#REF!,#REF!,#REF!,#REF!,#REF!,#REF!,#REF!,#REF!,#REF!,#REF!,#REF!,#REF!,#REF!,#REF!</definedName>
    <definedName name="__APW_RESTORE_DATA128__" hidden="1">#REF!,#REF!,#REF!,#REF!,#REF!,#REF!,#REF!,#REF!,#REF!,#REF!,#REF!,#REF!,#REF!,#REF!,#REF!</definedName>
    <definedName name="__APW_RESTORE_DATA1280__" hidden="1">#REF!,#REF!,#REF!,#REF!,#REF!,#REF!,#REF!,#REF!,#REF!,#REF!,#REF!,#REF!,#REF!,#REF!,#REF!</definedName>
    <definedName name="__APW_RESTORE_DATA1281__" hidden="1">#REF!,#REF!,#REF!,#REF!,#REF!,#REF!,#REF!,#REF!,#REF!,#REF!,#REF!,#REF!,#REF!,#REF!,#REF!</definedName>
    <definedName name="__APW_RESTORE_DATA1282__" hidden="1">#REF!,#REF!,#REF!,#REF!,#REF!,#REF!,#REF!,#REF!,#REF!,#REF!,#REF!,#REF!,#REF!,#REF!,#REF!</definedName>
    <definedName name="__APW_RESTORE_DATA1283__" hidden="1">#REF!,#REF!,#REF!,#REF!,#REF!,#REF!,#REF!,#REF!,#REF!,#REF!,#REF!,#REF!,#REF!,#REF!,#REF!</definedName>
    <definedName name="__APW_RESTORE_DATA1284__" hidden="1">#REF!,#REF!,#REF!,#REF!,#REF!,#REF!,#REF!,#REF!,#REF!,#REF!,#REF!,#REF!,#REF!,#REF!,#REF!</definedName>
    <definedName name="__APW_RESTORE_DATA1285__" hidden="1">#REF!,#REF!,#REF!,#REF!,#REF!,#REF!,#REF!,#REF!,#REF!,#REF!,#REF!,#REF!,#REF!,#REF!,#REF!</definedName>
    <definedName name="__APW_RESTORE_DATA1286__" hidden="1">#REF!,#REF!,#REF!,#REF!,#REF!,#REF!,#REF!,#REF!,#REF!,#REF!,#REF!,#REF!,#REF!,#REF!,#REF!</definedName>
    <definedName name="__APW_RESTORE_DATA1287__" hidden="1">#REF!,#REF!,#REF!,#REF!,#REF!,#REF!,#REF!,#REF!,#REF!,#REF!,#REF!,#REF!,#REF!,#REF!,#REF!</definedName>
    <definedName name="__APW_RESTORE_DATA1288__" hidden="1">#REF!,#REF!,#REF!,#REF!,#REF!,#REF!,#REF!,#REF!,#REF!,#REF!,#REF!,#REF!,#REF!,#REF!,#REF!</definedName>
    <definedName name="__APW_RESTORE_DATA1289__" hidden="1">#REF!,#REF!,#REF!,#REF!,#REF!,#REF!,#REF!,#REF!,#REF!,#REF!,#REF!,#REF!,#REF!,#REF!,#REF!</definedName>
    <definedName name="__APW_RESTORE_DATA129__" hidden="1">#REF!,#REF!</definedName>
    <definedName name="__APW_RESTORE_DATA1290__" hidden="1">#REF!,#REF!,#REF!,#REF!,#REF!,#REF!,#REF!,#REF!,#REF!,#REF!,#REF!,#REF!,#REF!,#REF!,#REF!</definedName>
    <definedName name="__APW_RESTORE_DATA1291__" hidden="1">#REF!,#REF!,#REF!,#REF!,#REF!,#REF!</definedName>
    <definedName name="__APW_RESTORE_DATA1292__" hidden="1">#REF!</definedName>
    <definedName name="__APW_RESTORE_DATA1293__" hidden="1">#REF!</definedName>
    <definedName name="__APW_RESTORE_DATA1294__" hidden="1">#REF!</definedName>
    <definedName name="__APW_RESTORE_DATA1296__" hidden="1">#REF!</definedName>
    <definedName name="__APW_RESTORE_DATA1297__" hidden="1">#REF!,#REF!,#REF!,#REF!,#REF!,#REF!,#REF!,#REF!,#REF!,#REF!,#REF!,#REF!,#REF!,#REF!,#REF!,#REF!</definedName>
    <definedName name="__APW_RESTORE_DATA1298__" hidden="1">#REF!,#REF!,#REF!,#REF!,#REF!,#REF!,#REF!,#REF!,#REF!,#REF!,#REF!,#REF!,#REF!,#REF!,#REF!,#REF!</definedName>
    <definedName name="__APW_RESTORE_DATA1299__" hidden="1">#REF!,#REF!,#REF!,#REF!,#REF!,#REF!,#REF!,#REF!,#REF!,#REF!,#REF!,#REF!,#REF!,#REF!,#REF!,#REF!</definedName>
    <definedName name="__APW_RESTORE_DATA13__" hidden="1">#REF!,#REF!,#REF!,#REF!,#REF!,#REF!,#REF!,#REF!,#REF!,#REF!,#REF!,#REF!,#REF!,#REF!,#REF!</definedName>
    <definedName name="__APW_RESTORE_DATA130__" hidden="1">#REF!,#REF!,#REF!,#REF!,#REF!,#REF!,#REF!,#REF!,#REF!,#REF!,#REF!,#REF!,#REF!,#REF!,#REF!</definedName>
    <definedName name="__APW_RESTORE_DATA1300__" hidden="1">#REF!,#REF!,#REF!,#REF!,#REF!,#REF!,#REF!,#REF!,#REF!,#REF!,#REF!,#REF!,#REF!,#REF!,#REF!,#REF!</definedName>
    <definedName name="__APW_RESTORE_DATA1301__" hidden="1">#REF!,#REF!,#REF!,#REF!,#REF!,#REF!,#REF!,#REF!,#REF!,#REF!,#REF!,#REF!,#REF!,#REF!,#REF!,#REF!</definedName>
    <definedName name="__APW_RESTORE_DATA1302__" hidden="1">#REF!,#REF!,#REF!,#REF!,#REF!,#REF!,#REF!,#REF!,#REF!,#REF!,#REF!,#REF!,#REF!,#REF!,#REF!,#REF!</definedName>
    <definedName name="__APW_RESTORE_DATA1303__" hidden="1">#REF!,#REF!,#REF!,#REF!,#REF!,#REF!,#REF!,#REF!,#REF!,#REF!,#REF!,#REF!,#REF!,#REF!,#REF!</definedName>
    <definedName name="__APW_RESTORE_DATA1304__" hidden="1">#REF!,#REF!,#REF!,#REF!,#REF!,#REF!,#REF!,#REF!,#REF!,#REF!,#REF!,#REF!,#REF!,#REF!,#REF!</definedName>
    <definedName name="__APW_RESTORE_DATA1305__" hidden="1">#REF!,#REF!,#REF!,#REF!,#REF!,#REF!,#REF!,#REF!,#REF!,#REF!,#REF!,#REF!,#REF!,#REF!,#REF!</definedName>
    <definedName name="__APW_RESTORE_DATA1306__" hidden="1">#REF!,#REF!,#REF!,#REF!,#REF!,#REF!,#REF!,#REF!,#REF!,#REF!,#REF!,#REF!,#REF!,#REF!,#REF!</definedName>
    <definedName name="__APW_RESTORE_DATA1307__" hidden="1">#REF!,#REF!,#REF!,#REF!,#REF!,#REF!,#REF!,#REF!,#REF!,#REF!,#REF!,#REF!,#REF!,#REF!,#REF!</definedName>
    <definedName name="__APW_RESTORE_DATA1308__" hidden="1">#REF!,#REF!,#REF!,#REF!,#REF!,#REF!,#REF!,#REF!,#REF!,#REF!,#REF!,#REF!,#REF!,#REF!,#REF!</definedName>
    <definedName name="__APW_RESTORE_DATA1309__" hidden="1">#REF!,#REF!,#REF!,#REF!,#REF!,#REF!,#REF!,#REF!,#REF!,#REF!,#REF!,#REF!,#REF!,#REF!,#REF!</definedName>
    <definedName name="__APW_RESTORE_DATA131__" hidden="1">#REF!,#REF!,#REF!,#REF!,#REF!,#REF!,#REF!,#REF!,#REF!,#REF!,#REF!,#REF!,#REF!,#REF!,#REF!</definedName>
    <definedName name="__APW_RESTORE_DATA1310__" hidden="1">#REF!,#REF!,#REF!,#REF!,#REF!,#REF!,#REF!,#REF!,#REF!,#REF!,#REF!,#REF!,#REF!,#REF!,#REF!</definedName>
    <definedName name="__APW_RESTORE_DATA1311__" hidden="1">#REF!,#REF!,#REF!,#REF!,#REF!,#REF!,#REF!,#REF!,#REF!,#REF!,#REF!,#REF!,#REF!,#REF!,#REF!</definedName>
    <definedName name="__APW_RESTORE_DATA1312__" hidden="1">#REF!,#REF!,#REF!,#REF!,#REF!,#REF!,#REF!,#REF!,#REF!,#REF!,#REF!,#REF!,#REF!,#REF!,#REF!</definedName>
    <definedName name="__APW_RESTORE_DATA1313__" hidden="1">#REF!,#REF!,#REF!,#REF!,#REF!,#REF!,#REF!,#REF!,#REF!,#REF!,#REF!,#REF!,#REF!,#REF!,#REF!</definedName>
    <definedName name="__APW_RESTORE_DATA1314__" hidden="1">#REF!,#REF!,#REF!,#REF!,#REF!,#REF!,#REF!,#REF!,#REF!,#REF!,#REF!,#REF!,#REF!,#REF!,#REF!</definedName>
    <definedName name="__APW_RESTORE_DATA1315__" hidden="1">#REF!,#REF!,#REF!,#REF!,#REF!,#REF!,#REF!,#REF!,#REF!,#REF!,#REF!,#REF!,#REF!,#REF!,#REF!</definedName>
    <definedName name="__APW_RESTORE_DATA1316__" hidden="1">#REF!,#REF!,#REF!,#REF!,#REF!,#REF!,#REF!,#REF!,#REF!,#REF!,#REF!,#REF!,#REF!,#REF!,#REF!</definedName>
    <definedName name="__APW_RESTORE_DATA1317__" hidden="1">#REF!,#REF!,#REF!,#REF!,#REF!,#REF!,#REF!,#REF!,#REF!,#REF!,#REF!,#REF!,#REF!,#REF!,#REF!</definedName>
    <definedName name="__APW_RESTORE_DATA1318__" hidden="1">#REF!,#REF!,#REF!,#REF!,#REF!,#REF!,#REF!,#REF!,#REF!,#REF!,#REF!,#REF!,#REF!,#REF!,#REF!</definedName>
    <definedName name="__APW_RESTORE_DATA1319__" hidden="1">#REF!,#REF!,#REF!,#REF!,#REF!,#REF!,#REF!,#REF!,#REF!,#REF!,#REF!,#REF!,#REF!,#REF!,#REF!</definedName>
    <definedName name="__APW_RESTORE_DATA132__" hidden="1">#REF!,#REF!,#REF!,#REF!,#REF!,#REF!,#REF!,#REF!,#REF!,#REF!,#REF!,#REF!,#REF!,#REF!,#REF!</definedName>
    <definedName name="__APW_RESTORE_DATA1320__" hidden="1">#REF!,#REF!,#REF!,#REF!,#REF!,#REF!,#REF!,#REF!,#REF!,#REF!,#REF!,#REF!,#REF!,#REF!,#REF!</definedName>
    <definedName name="__APW_RESTORE_DATA1321__" hidden="1">#REF!,#REF!,#REF!,#REF!,#REF!,#REF!,#REF!,#REF!,#REF!,#REF!,#REF!,#REF!,#REF!,#REF!,#REF!</definedName>
    <definedName name="__APW_RESTORE_DATA1322__" hidden="1">#REF!,#REF!,#REF!,#REF!,#REF!,#REF!,#REF!,#REF!,#REF!,#REF!,#REF!,#REF!,#REF!,#REF!,#REF!</definedName>
    <definedName name="__APW_RESTORE_DATA1323__" hidden="1">#REF!,#REF!,#REF!,#REF!,#REF!,#REF!,#REF!,#REF!,#REF!,#REF!,#REF!,#REF!,#REF!,#REF!,#REF!</definedName>
    <definedName name="__APW_RESTORE_DATA1324__" hidden="1">#REF!,#REF!,#REF!,#REF!,#REF!,#REF!,#REF!,#REF!,#REF!,#REF!,#REF!,#REF!,#REF!,#REF!,#REF!</definedName>
    <definedName name="__APW_RESTORE_DATA1325__" hidden="1">#REF!,#REF!,#REF!,#REF!,#REF!,#REF!,#REF!,#REF!,#REF!,#REF!,#REF!,#REF!,#REF!,#REF!,#REF!</definedName>
    <definedName name="__APW_RESTORE_DATA1326__" hidden="1">#REF!,#REF!,#REF!,#REF!,#REF!,#REF!,#REF!,#REF!,#REF!,#REF!,#REF!,#REF!,#REF!,#REF!,#REF!</definedName>
    <definedName name="__APW_RESTORE_DATA1327__" hidden="1">#REF!,#REF!,#REF!,#REF!,#REF!,#REF!,#REF!,#REF!,#REF!,#REF!,#REF!,#REF!,#REF!,#REF!,#REF!</definedName>
    <definedName name="__APW_RESTORE_DATA1328__" hidden="1">#REF!,#REF!,#REF!,#REF!,#REF!,#REF!,#REF!,#REF!,#REF!,#REF!,#REF!,#REF!,#REF!,#REF!,#REF!</definedName>
    <definedName name="__APW_RESTORE_DATA1329__" hidden="1">#REF!,#REF!,#REF!,#REF!,#REF!,#REF!,#REF!,#REF!,#REF!,#REF!,#REF!,#REF!,#REF!,#REF!,#REF!</definedName>
    <definedName name="__APW_RESTORE_DATA133__" hidden="1">#REF!,#REF!,#REF!,#REF!,#REF!,#REF!,#REF!,#REF!,#REF!,#REF!,#REF!,#REF!,#REF!,#REF!,#REF!</definedName>
    <definedName name="__APW_RESTORE_DATA1330__" hidden="1">#REF!,#REF!,#REF!,#REF!,#REF!,#REF!,#REF!,#REF!,#REF!,#REF!,#REF!,#REF!,#REF!,#REF!,#REF!</definedName>
    <definedName name="__APW_RESTORE_DATA1331__" hidden="1">#REF!,#REF!,#REF!,#REF!,#REF!,#REF!</definedName>
    <definedName name="__APW_RESTORE_DATA1332__" hidden="1">#REF!,#REF!,#REF!,#REF!,#REF!,#REF!,#REF!,#REF!,#REF!,#REF!,#REF!,#REF!,#REF!,#REF!,#REF!,#REF!</definedName>
    <definedName name="__APW_RESTORE_DATA1333__" hidden="1">#REF!,#REF!,#REF!,#REF!,#REF!,#REF!,#REF!,#REF!,#REF!,#REF!,#REF!,#REF!,#REF!,#REF!,#REF!,#REF!</definedName>
    <definedName name="__APW_RESTORE_DATA1334__" hidden="1">#REF!,#REF!,#REF!,#REF!,#REF!,#REF!,#REF!,#REF!,#REF!,#REF!,#REF!,#REF!,#REF!,#REF!,#REF!,#REF!</definedName>
    <definedName name="__APW_RESTORE_DATA1335__" hidden="1">#REF!,#REF!,#REF!,#REF!,#REF!,#REF!,#REF!,#REF!,#REF!,#REF!,#REF!,#REF!,#REF!,#REF!,#REF!,#REF!</definedName>
    <definedName name="__APW_RESTORE_DATA1336__" hidden="1">#REF!,#REF!,#REF!,#REF!,#REF!,#REF!,#REF!,#REF!,#REF!,#REF!,#REF!,#REF!,#REF!,#REF!,#REF!,#REF!</definedName>
    <definedName name="__APW_RESTORE_DATA1337__" hidden="1">#REF!,#REF!,#REF!,#REF!,#REF!,#REF!,#REF!,#REF!,#REF!,#REF!,#REF!,#REF!,#REF!,#REF!,#REF!,#REF!</definedName>
    <definedName name="__APW_RESTORE_DATA1338__" hidden="1">#REF!,#REF!,#REF!,#REF!,#REF!,#REF!,#REF!,#REF!,#REF!,#REF!,#REF!,#REF!,#REF!,#REF!,#REF!</definedName>
    <definedName name="__APW_RESTORE_DATA1339__" hidden="1">#REF!,#REF!,#REF!,#REF!,#REF!,#REF!,#REF!,#REF!,#REF!,#REF!,#REF!,#REF!,#REF!,#REF!,#REF!</definedName>
    <definedName name="__APW_RESTORE_DATA134__" hidden="1">#REF!,#REF!</definedName>
    <definedName name="__APW_RESTORE_DATA1340__" hidden="1">#REF!,#REF!,#REF!,#REF!,#REF!,#REF!,#REF!,#REF!,#REF!,#REF!,#REF!,#REF!,#REF!,#REF!,#REF!</definedName>
    <definedName name="__APW_RESTORE_DATA1341__" hidden="1">#REF!,#REF!,#REF!,#REF!,#REF!,#REF!,#REF!,#REF!,#REF!,#REF!,#REF!,#REF!,#REF!,#REF!,#REF!</definedName>
    <definedName name="__APW_RESTORE_DATA1342__" hidden="1">#REF!,#REF!,#REF!,#REF!,#REF!,#REF!,#REF!,#REF!,#REF!,#REF!,#REF!,#REF!,#REF!,#REF!,#REF!</definedName>
    <definedName name="__APW_RESTORE_DATA1343__" hidden="1">#REF!,#REF!,#REF!,#REF!,#REF!,#REF!,#REF!,#REF!,#REF!,#REF!,#REF!,#REF!,#REF!,#REF!,#REF!</definedName>
    <definedName name="__APW_RESTORE_DATA1344__" hidden="1">#REF!,#REF!,#REF!,#REF!,#REF!,#REF!,#REF!,#REF!,#REF!,#REF!,#REF!,#REF!,#REF!,#REF!,#REF!</definedName>
    <definedName name="__APW_RESTORE_DATA1345__" hidden="1">#REF!,#REF!,#REF!,#REF!,#REF!,#REF!,#REF!,#REF!,#REF!,#REF!,#REF!,#REF!,#REF!,#REF!,#REF!</definedName>
    <definedName name="__APW_RESTORE_DATA1346__" hidden="1">#REF!,#REF!,#REF!,#REF!,#REF!,#REF!,#REF!,#REF!,#REF!,#REF!,#REF!,#REF!,#REF!,#REF!,#REF!</definedName>
    <definedName name="__APW_RESTORE_DATA1347__" hidden="1">#REF!,#REF!,#REF!,#REF!,#REF!,#REF!,#REF!,#REF!,#REF!,#REF!,#REF!,#REF!,#REF!,#REF!,#REF!</definedName>
    <definedName name="__APW_RESTORE_DATA1348__" hidden="1">#REF!,#REF!,#REF!,#REF!,#REF!,#REF!,#REF!,#REF!,#REF!,#REF!,#REF!,#REF!,#REF!,#REF!,#REF!</definedName>
    <definedName name="__APW_RESTORE_DATA1349__" hidden="1">#REF!,#REF!,#REF!,#REF!,#REF!,#REF!,#REF!,#REF!,#REF!,#REF!,#REF!,#REF!,#REF!,#REF!,#REF!</definedName>
    <definedName name="__APW_RESTORE_DATA135__" hidden="1">#REF!,#REF!,#REF!,#REF!,#REF!,#REF!,#REF!,#REF!,#REF!,#REF!,#REF!,#REF!,#REF!,#REF!,#REF!</definedName>
    <definedName name="__APW_RESTORE_DATA1350__" hidden="1">#REF!,#REF!,#REF!,#REF!,#REF!,#REF!,#REF!,#REF!,#REF!,#REF!,#REF!,#REF!,#REF!,#REF!,#REF!</definedName>
    <definedName name="__APW_RESTORE_DATA1351__" hidden="1">#REF!,#REF!,#REF!,#REF!,#REF!,#REF!,#REF!,#REF!,#REF!,#REF!,#REF!,#REF!,#REF!,#REF!,#REF!</definedName>
    <definedName name="__APW_RESTORE_DATA1352__" hidden="1">#REF!,#REF!,#REF!,#REF!,#REF!,#REF!,#REF!,#REF!,#REF!,#REF!,#REF!,#REF!,#REF!,#REF!,#REF!</definedName>
    <definedName name="__APW_RESTORE_DATA1353__" hidden="1">#REF!,#REF!,#REF!,#REF!,#REF!,#REF!,#REF!,#REF!,#REF!,#REF!,#REF!,#REF!,#REF!,#REF!,#REF!</definedName>
    <definedName name="__APW_RESTORE_DATA1354__" hidden="1">#REF!,#REF!,#REF!,#REF!,#REF!,#REF!,#REF!,#REF!,#REF!,#REF!,#REF!,#REF!,#REF!,#REF!,#REF!</definedName>
    <definedName name="__APW_RESTORE_DATA1355__" hidden="1">#REF!,#REF!,#REF!,#REF!,#REF!,#REF!,#REF!,#REF!,#REF!,#REF!,#REF!,#REF!,#REF!,#REF!,#REF!</definedName>
    <definedName name="__APW_RESTORE_DATA1356__" hidden="1">#REF!,#REF!,#REF!,#REF!,#REF!,#REF!,#REF!,#REF!,#REF!,#REF!,#REF!,#REF!,#REF!,#REF!,#REF!</definedName>
    <definedName name="__APW_RESTORE_DATA1357__" hidden="1">#REF!,#REF!,#REF!,#REF!,#REF!,#REF!,#REF!,#REF!,#REF!,#REF!,#REF!,#REF!,#REF!,#REF!,#REF!</definedName>
    <definedName name="__APW_RESTORE_DATA1358__" hidden="1">#REF!,#REF!,#REF!,#REF!,#REF!,#REF!,#REF!,#REF!,#REF!,#REF!,#REF!,#REF!,#REF!,#REF!,#REF!</definedName>
    <definedName name="__APW_RESTORE_DATA1359__" hidden="1">#REF!,#REF!,#REF!,#REF!,#REF!,#REF!,#REF!,#REF!,#REF!,#REF!,#REF!,#REF!,#REF!,#REF!,#REF!</definedName>
    <definedName name="__APW_RESTORE_DATA136__" hidden="1">#REF!,#REF!,#REF!,#REF!,#REF!,#REF!,#REF!,#REF!,#REF!,#REF!,#REF!,#REF!,#REF!,#REF!,#REF!</definedName>
    <definedName name="__APW_RESTORE_DATA1360__" hidden="1">#REF!,#REF!,#REF!,#REF!,#REF!,#REF!,#REF!,#REF!,#REF!,#REF!,#REF!,#REF!,#REF!,#REF!,#REF!</definedName>
    <definedName name="__APW_RESTORE_DATA1361__" hidden="1">#REF!,#REF!,#REF!,#REF!,#REF!,#REF!,#REF!,#REF!,#REF!,#REF!,#REF!,#REF!,#REF!,#REF!,#REF!</definedName>
    <definedName name="__APW_RESTORE_DATA1362__" hidden="1">#REF!,#REF!,#REF!,#REF!,#REF!,#REF!,#REF!,#REF!,#REF!,#REF!,#REF!,#REF!,#REF!,#REF!,#REF!</definedName>
    <definedName name="__APW_RESTORE_DATA1363__" hidden="1">#REF!,#REF!,#REF!,#REF!,#REF!,#REF!,#REF!,#REF!,#REF!,#REF!,#REF!,#REF!,#REF!,#REF!,#REF!</definedName>
    <definedName name="__APW_RESTORE_DATA1364__" hidden="1">#REF!,#REF!,#REF!,#REF!,#REF!,#REF!,#REF!,#REF!,#REF!,#REF!,#REF!,#REF!,#REF!,#REF!,#REF!</definedName>
    <definedName name="__APW_RESTORE_DATA1365__" hidden="1">#REF!,#REF!,#REF!,#REF!,#REF!,#REF!,#REF!,#REF!,#REF!,#REF!,#REF!,#REF!,#REF!,#REF!,#REF!</definedName>
    <definedName name="__APW_RESTORE_DATA1366__" hidden="1">#REF!,#REF!,#REF!,#REF!,#REF!,#REF!</definedName>
    <definedName name="__APW_RESTORE_DATA1367__" hidden="1">#REF!,#REF!,#REF!,#REF!,#REF!,#REF!,#REF!,#REF!,#REF!,#REF!,#REF!,#REF!,#REF!,#REF!,#REF!,#REF!</definedName>
    <definedName name="__APW_RESTORE_DATA1368__" hidden="1">#REF!,#REF!,#REF!,#REF!,#REF!,#REF!,#REF!,#REF!,#REF!,#REF!,#REF!,#REF!,#REF!,#REF!,#REF!,#REF!</definedName>
    <definedName name="__APW_RESTORE_DATA1369__" hidden="1">#REF!,#REF!,#REF!,#REF!,#REF!,#REF!,#REF!,#REF!,#REF!,#REF!,#REF!,#REF!,#REF!,#REF!,#REF!,#REF!</definedName>
    <definedName name="__APW_RESTORE_DATA137__" hidden="1">#REF!,#REF!,#REF!,#REF!,#REF!,#REF!,#REF!,#REF!,#REF!,#REF!,#REF!,#REF!,#REF!,#REF!,#REF!</definedName>
    <definedName name="__APW_RESTORE_DATA1370__" hidden="1">#REF!,#REF!,#REF!,#REF!,#REF!,#REF!,#REF!,#REF!,#REF!,#REF!,#REF!,#REF!,#REF!,#REF!,#REF!,#REF!</definedName>
    <definedName name="__APW_RESTORE_DATA1371__" hidden="1">#REF!,#REF!,#REF!,#REF!,#REF!,#REF!,#REF!,#REF!,#REF!,#REF!,#REF!,#REF!,#REF!,#REF!,#REF!,#REF!</definedName>
    <definedName name="__APW_RESTORE_DATA1372__" hidden="1">#REF!,#REF!,#REF!,#REF!,#REF!,#REF!,#REF!,#REF!,#REF!,#REF!,#REF!,#REF!,#REF!,#REF!,#REF!,#REF!</definedName>
    <definedName name="__APW_RESTORE_DATA1373__" hidden="1">#REF!,#REF!,#REF!,#REF!,#REF!,#REF!,#REF!,#REF!,#REF!,#REF!,#REF!,#REF!,#REF!,#REF!,#REF!</definedName>
    <definedName name="__APW_RESTORE_DATA1374__" hidden="1">#REF!,#REF!,#REF!,#REF!,#REF!,#REF!,#REF!,#REF!,#REF!,#REF!,#REF!,#REF!,#REF!,#REF!,#REF!</definedName>
    <definedName name="__APW_RESTORE_DATA1375__" hidden="1">#REF!,#REF!,#REF!,#REF!,#REF!,#REF!,#REF!,#REF!,#REF!,#REF!,#REF!,#REF!,#REF!,#REF!,#REF!</definedName>
    <definedName name="__APW_RESTORE_DATA1376__" hidden="1">#REF!,#REF!,#REF!,#REF!,#REF!,#REF!,#REF!,#REF!,#REF!,#REF!,#REF!,#REF!,#REF!,#REF!,#REF!</definedName>
    <definedName name="__APW_RESTORE_DATA1377__" hidden="1">#REF!,#REF!,#REF!,#REF!,#REF!,#REF!,#REF!,#REF!,#REF!,#REF!,#REF!,#REF!,#REF!,#REF!,#REF!</definedName>
    <definedName name="__APW_RESTORE_DATA1378__" hidden="1">#REF!,#REF!,#REF!,#REF!,#REF!,#REF!,#REF!,#REF!,#REF!,#REF!,#REF!,#REF!,#REF!,#REF!,#REF!</definedName>
    <definedName name="__APW_RESTORE_DATA1379__" hidden="1">#REF!,#REF!,#REF!,#REF!,#REF!,#REF!,#REF!,#REF!,#REF!,#REF!,#REF!,#REF!,#REF!,#REF!,#REF!</definedName>
    <definedName name="__APW_RESTORE_DATA138__" hidden="1">#REF!,#REF!,#REF!,#REF!,#REF!,#REF!,#REF!,#REF!,#REF!,#REF!,#REF!,#REF!,#REF!,#REF!,#REF!</definedName>
    <definedName name="__APW_RESTORE_DATA1380__" hidden="1">#REF!,#REF!,#REF!,#REF!,#REF!,#REF!,#REF!,#REF!,#REF!,#REF!,#REF!,#REF!,#REF!,#REF!,#REF!</definedName>
    <definedName name="__APW_RESTORE_DATA1381__" hidden="1">#REF!,#REF!,#REF!,#REF!,#REF!,#REF!,#REF!,#REF!,#REF!,#REF!,#REF!,#REF!,#REF!,#REF!,#REF!</definedName>
    <definedName name="__APW_RESTORE_DATA1382__" hidden="1">#REF!,#REF!,#REF!,#REF!,#REF!,#REF!,#REF!,#REF!,#REF!,#REF!,#REF!,#REF!,#REF!,#REF!,#REF!</definedName>
    <definedName name="__APW_RESTORE_DATA1383__" hidden="1">#REF!,#REF!,#REF!,#REF!,#REF!,#REF!,#REF!,#REF!,#REF!,#REF!,#REF!,#REF!,#REF!,#REF!,#REF!</definedName>
    <definedName name="__APW_RESTORE_DATA1384__" hidden="1">#REF!,#REF!,#REF!,#REF!,#REF!,#REF!,#REF!,#REF!,#REF!,#REF!,#REF!,#REF!,#REF!,#REF!,#REF!</definedName>
    <definedName name="__APW_RESTORE_DATA1385__" hidden="1">#REF!,#REF!,#REF!,#REF!,#REF!,#REF!,#REF!,#REF!,#REF!,#REF!,#REF!,#REF!,#REF!,#REF!,#REF!</definedName>
    <definedName name="__APW_RESTORE_DATA1386__" hidden="1">#REF!,#REF!,#REF!,#REF!,#REF!,#REF!,#REF!,#REF!,#REF!,#REF!,#REF!,#REF!,#REF!,#REF!,#REF!</definedName>
    <definedName name="__APW_RESTORE_DATA1387__" hidden="1">#REF!,#REF!,#REF!,#REF!,#REF!,#REF!,#REF!,#REF!,#REF!,#REF!,#REF!,#REF!,#REF!,#REF!,#REF!</definedName>
    <definedName name="__APW_RESTORE_DATA1388__" hidden="1">#REF!,#REF!,#REF!,#REF!,#REF!,#REF!,#REF!,#REF!,#REF!,#REF!,#REF!,#REF!,#REF!,#REF!,#REF!</definedName>
    <definedName name="__APW_RESTORE_DATA1389__" hidden="1">#REF!,#REF!,#REF!,#REF!,#REF!,#REF!,#REF!,#REF!,#REF!,#REF!,#REF!,#REF!,#REF!,#REF!,#REF!</definedName>
    <definedName name="__APW_RESTORE_DATA139__" hidden="1">#REF!,#REF!</definedName>
    <definedName name="__APW_RESTORE_DATA1390__" hidden="1">#REF!,#REF!,#REF!,#REF!,#REF!,#REF!,#REF!,#REF!,#REF!,#REF!,#REF!,#REF!,#REF!,#REF!,#REF!</definedName>
    <definedName name="__APW_RESTORE_DATA1391__" hidden="1">#REF!,#REF!,#REF!,#REF!,#REF!,#REF!,#REF!,#REF!,#REF!,#REF!,#REF!,#REF!,#REF!,#REF!,#REF!</definedName>
    <definedName name="__APW_RESTORE_DATA1392__" hidden="1">#REF!,#REF!,#REF!,#REF!,#REF!,#REF!,#REF!,#REF!,#REF!,#REF!,#REF!,#REF!,#REF!,#REF!,#REF!</definedName>
    <definedName name="__APW_RESTORE_DATA1393__" hidden="1">#REF!,#REF!,#REF!,#REF!,#REF!,#REF!,#REF!,#REF!,#REF!,#REF!,#REF!,#REF!,#REF!,#REF!,#REF!</definedName>
    <definedName name="__APW_RESTORE_DATA1394__" hidden="1">#REF!,#REF!,#REF!,#REF!,#REF!,#REF!,#REF!,#REF!,#REF!,#REF!,#REF!,#REF!,#REF!,#REF!,#REF!</definedName>
    <definedName name="__APW_RESTORE_DATA1395__" hidden="1">#REF!,#REF!,#REF!,#REF!,#REF!,#REF!,#REF!,#REF!,#REF!,#REF!,#REF!,#REF!,#REF!,#REF!,#REF!</definedName>
    <definedName name="__APW_RESTORE_DATA1396__" hidden="1">#REF!,#REF!,#REF!,#REF!,#REF!,#REF!,#REF!,#REF!,#REF!,#REF!,#REF!,#REF!,#REF!,#REF!,#REF!</definedName>
    <definedName name="__APW_RESTORE_DATA1397__" hidden="1">#REF!,#REF!,#REF!,#REF!,#REF!,#REF!,#REF!,#REF!,#REF!,#REF!,#REF!,#REF!,#REF!,#REF!,#REF!</definedName>
    <definedName name="__APW_RESTORE_DATA1398__" hidden="1">#REF!,#REF!,#REF!,#REF!,#REF!,#REF!,#REF!,#REF!,#REF!,#REF!,#REF!,#REF!,#REF!,#REF!,#REF!</definedName>
    <definedName name="__APW_RESTORE_DATA1399__" hidden="1">#REF!,#REF!,#REF!,#REF!,#REF!,#REF!,#REF!,#REF!,#REF!,#REF!,#REF!,#REF!,#REF!,#REF!,#REF!</definedName>
    <definedName name="__APW_RESTORE_DATA14__" hidden="1">#REF!</definedName>
    <definedName name="__APW_RESTORE_DATA140__" hidden="1">#REF!,#REF!,#REF!,#REF!,#REF!,#REF!,#REF!,#REF!,#REF!,#REF!,#REF!,#REF!,#REF!,#REF!,#REF!</definedName>
    <definedName name="__APW_RESTORE_DATA1400__" hidden="1">#REF!,#REF!,#REF!,#REF!,#REF!,#REF!,#REF!,#REF!,#REF!,#REF!,#REF!,#REF!,#REF!,#REF!,#REF!</definedName>
    <definedName name="__APW_RESTORE_DATA1401__" hidden="1">#REF!,#REF!,#REF!,#REF!,#REF!,#REF!</definedName>
    <definedName name="__APW_RESTORE_DATA1402__" hidden="1">#REF!,#REF!,#REF!,#REF!,#REF!,#REF!,#REF!,#REF!,#REF!,#REF!,#REF!,#REF!,#REF!,#REF!,#REF!,#REF!</definedName>
    <definedName name="__APW_RESTORE_DATA1403__" hidden="1">#REF!,#REF!,#REF!,#REF!,#REF!,#REF!,#REF!,#REF!,#REF!,#REF!,#REF!,#REF!,#REF!,#REF!,#REF!,#REF!</definedName>
    <definedName name="__APW_RESTORE_DATA1404__" hidden="1">#REF!,#REF!,#REF!,#REF!,#REF!,#REF!,#REF!,#REF!,#REF!,#REF!,#REF!,#REF!,#REF!,#REF!,#REF!,#REF!</definedName>
    <definedName name="__APW_RESTORE_DATA1405__" hidden="1">#REF!,#REF!,#REF!,#REF!,#REF!,#REF!,#REF!,#REF!,#REF!,#REF!,#REF!,#REF!,#REF!,#REF!,#REF!,#REF!</definedName>
    <definedName name="__APW_RESTORE_DATA1406__" hidden="1">#REF!,#REF!,#REF!,#REF!,#REF!,#REF!,#REF!,#REF!,#REF!,#REF!,#REF!,#REF!,#REF!,#REF!,#REF!,#REF!</definedName>
    <definedName name="__APW_RESTORE_DATA1407__" hidden="1">#REF!,#REF!,#REF!,#REF!,#REF!,#REF!,#REF!,#REF!,#REF!,#REF!,#REF!,#REF!,#REF!,#REF!,#REF!,#REF!</definedName>
    <definedName name="__APW_RESTORE_DATA1408__" hidden="1">#REF!,#REF!,#REF!,#REF!,#REF!,#REF!,#REF!,#REF!,#REF!,#REF!,#REF!,#REF!,#REF!,#REF!,#REF!</definedName>
    <definedName name="__APW_RESTORE_DATA1409__" hidden="1">#REF!,#REF!,#REF!,#REF!,#REF!,#REF!,#REF!,#REF!,#REF!,#REF!,#REF!,#REF!,#REF!,#REF!,#REF!</definedName>
    <definedName name="__APW_RESTORE_DATA141__" hidden="1">#REF!,#REF!,#REF!,#REF!,#REF!,#REF!,#REF!,#REF!,#REF!,#REF!,#REF!,#REF!,#REF!,#REF!,#REF!</definedName>
    <definedName name="__APW_RESTORE_DATA1410__" hidden="1">#REF!,#REF!,#REF!,#REF!,#REF!,#REF!,#REF!,#REF!,#REF!,#REF!,#REF!,#REF!,#REF!,#REF!,#REF!</definedName>
    <definedName name="__APW_RESTORE_DATA1411__" hidden="1">#REF!,#REF!,#REF!,#REF!,#REF!,#REF!,#REF!,#REF!,#REF!,#REF!,#REF!,#REF!,#REF!,#REF!,#REF!</definedName>
    <definedName name="__APW_RESTORE_DATA1412__" hidden="1">#REF!,#REF!,#REF!,#REF!,#REF!,#REF!,#REF!,#REF!,#REF!,#REF!,#REF!,#REF!,#REF!,#REF!,#REF!</definedName>
    <definedName name="__APW_RESTORE_DATA1413__" hidden="1">#REF!,#REF!,#REF!,#REF!,#REF!,#REF!,#REF!,#REF!,#REF!,#REF!,#REF!,#REF!,#REF!,#REF!,#REF!</definedName>
    <definedName name="__APW_RESTORE_DATA1414__" hidden="1">#REF!,#REF!,#REF!,#REF!,#REF!,#REF!,#REF!,#REF!,#REF!,#REF!,#REF!,#REF!,#REF!,#REF!,#REF!</definedName>
    <definedName name="__APW_RESTORE_DATA1415__" hidden="1">#REF!,#REF!,#REF!,#REF!,#REF!,#REF!,#REF!,#REF!,#REF!,#REF!,#REF!,#REF!,#REF!,#REF!,#REF!</definedName>
    <definedName name="__APW_RESTORE_DATA1416__" hidden="1">#REF!,#REF!,#REF!,#REF!,#REF!,#REF!,#REF!,#REF!,#REF!,#REF!,#REF!,#REF!,#REF!,#REF!,#REF!</definedName>
    <definedName name="__APW_RESTORE_DATA1417__" hidden="1">#REF!,#REF!,#REF!,#REF!,#REF!,#REF!,#REF!,#REF!,#REF!,#REF!,#REF!,#REF!,#REF!,#REF!,#REF!</definedName>
    <definedName name="__APW_RESTORE_DATA1418__" hidden="1">#REF!,#REF!,#REF!,#REF!,#REF!,#REF!,#REF!,#REF!,#REF!,#REF!,#REF!,#REF!,#REF!,#REF!,#REF!</definedName>
    <definedName name="__APW_RESTORE_DATA1419__" hidden="1">#REF!,#REF!,#REF!,#REF!,#REF!,#REF!,#REF!,#REF!,#REF!,#REF!,#REF!,#REF!,#REF!,#REF!,#REF!</definedName>
    <definedName name="__APW_RESTORE_DATA142__" hidden="1">#REF!,#REF!,#REF!,#REF!,#REF!,#REF!,#REF!,#REF!,#REF!,#REF!,#REF!,#REF!,#REF!,#REF!,#REF!</definedName>
    <definedName name="__APW_RESTORE_DATA1420__" hidden="1">#REF!,#REF!,#REF!,#REF!,#REF!,#REF!,#REF!,#REF!,#REF!,#REF!,#REF!,#REF!,#REF!,#REF!,#REF!</definedName>
    <definedName name="__APW_RESTORE_DATA1421__" hidden="1">#REF!,#REF!,#REF!,#REF!,#REF!,#REF!,#REF!,#REF!,#REF!,#REF!,#REF!,#REF!,#REF!,#REF!,#REF!</definedName>
    <definedName name="__APW_RESTORE_DATA1422__" hidden="1">#REF!,#REF!,#REF!,#REF!,#REF!,#REF!,#REF!,#REF!,#REF!,#REF!,#REF!,#REF!,#REF!,#REF!,#REF!</definedName>
    <definedName name="__APW_RESTORE_DATA1423__" hidden="1">#REF!,#REF!,#REF!,#REF!,#REF!,#REF!,#REF!,#REF!,#REF!,#REF!,#REF!,#REF!,#REF!,#REF!,#REF!</definedName>
    <definedName name="__APW_RESTORE_DATA1424__" hidden="1">#REF!,#REF!,#REF!,#REF!,#REF!,#REF!,#REF!,#REF!,#REF!,#REF!,#REF!,#REF!,#REF!,#REF!,#REF!</definedName>
    <definedName name="__APW_RESTORE_DATA1425__" hidden="1">#REF!,#REF!,#REF!,#REF!,#REF!,#REF!,#REF!,#REF!,#REF!,#REF!,#REF!,#REF!,#REF!,#REF!,#REF!</definedName>
    <definedName name="__APW_RESTORE_DATA1426__" hidden="1">#REF!,#REF!,#REF!,#REF!,#REF!,#REF!,#REF!,#REF!,#REF!,#REF!,#REF!,#REF!,#REF!,#REF!,#REF!</definedName>
    <definedName name="__APW_RESTORE_DATA1427__" hidden="1">#REF!,#REF!,#REF!,#REF!,#REF!,#REF!,#REF!,#REF!,#REF!,#REF!,#REF!,#REF!,#REF!,#REF!,#REF!</definedName>
    <definedName name="__APW_RESTORE_DATA1428__" hidden="1">#REF!,#REF!,#REF!,#REF!,#REF!,#REF!,#REF!,#REF!,#REF!,#REF!,#REF!,#REF!,#REF!,#REF!,#REF!</definedName>
    <definedName name="__APW_RESTORE_DATA1429__" hidden="1">#REF!,#REF!,#REF!,#REF!,#REF!,#REF!,#REF!,#REF!,#REF!,#REF!,#REF!,#REF!,#REF!,#REF!,#REF!</definedName>
    <definedName name="__APW_RESTORE_DATA143__" hidden="1">#REF!,#REF!,#REF!,#REF!,#REF!,#REF!,#REF!,#REF!,#REF!,#REF!,#REF!,#REF!,#REF!,#REF!,#REF!</definedName>
    <definedName name="__APW_RESTORE_DATA1430__" hidden="1">#REF!,#REF!,#REF!,#REF!,#REF!,#REF!,#REF!,#REF!,#REF!,#REF!,#REF!,#REF!,#REF!,#REF!,#REF!</definedName>
    <definedName name="__APW_RESTORE_DATA1431__" hidden="1">#REF!,#REF!,#REF!,#REF!,#REF!,#REF!,#REF!,#REF!,#REF!,#REF!,#REF!,#REF!,#REF!,#REF!,#REF!</definedName>
    <definedName name="__APW_RESTORE_DATA1432__" hidden="1">#REF!,#REF!,#REF!,#REF!,#REF!,#REF!,#REF!,#REF!,#REF!,#REF!,#REF!,#REF!,#REF!,#REF!,#REF!</definedName>
    <definedName name="__APW_RESTORE_DATA1433__" hidden="1">#REF!,#REF!,#REF!,#REF!,#REF!,#REF!,#REF!,#REF!,#REF!,#REF!,#REF!,#REF!,#REF!,#REF!,#REF!</definedName>
    <definedName name="__APW_RESTORE_DATA1434__" hidden="1">#REF!,#REF!,#REF!,#REF!,#REF!,#REF!,#REF!,#REF!,#REF!,#REF!,#REF!,#REF!,#REF!,#REF!,#REF!</definedName>
    <definedName name="__APW_RESTORE_DATA1435__" hidden="1">#REF!,#REF!,#REF!,#REF!,#REF!,#REF!,#REF!,#REF!,#REF!,#REF!,#REF!,#REF!,#REF!,#REF!,#REF!</definedName>
    <definedName name="__APW_RESTORE_DATA1436__" hidden="1">#REF!,#REF!,#REF!,#REF!,#REF!,#REF!</definedName>
    <definedName name="__APW_RESTORE_DATA1437__" hidden="1">#REF!</definedName>
    <definedName name="__APW_RESTORE_DATA1438__" hidden="1">#REF!</definedName>
    <definedName name="__APW_RESTORE_DATA1439__" hidden="1">#REF!</definedName>
    <definedName name="__APW_RESTORE_DATA144__" hidden="1">#REF!,#REF!,#REF!,#REF!,#REF!,#REF!,#REF!</definedName>
    <definedName name="__APW_RESTORE_DATA1441__" hidden="1">#REF!</definedName>
    <definedName name="__APW_RESTORE_DATA1442__" hidden="1">#REF!,#REF!,#REF!,#REF!,#REF!,#REF!,#REF!,#REF!,#REF!,#REF!,#REF!,#REF!,#REF!,#REF!,#REF!,#REF!</definedName>
    <definedName name="__APW_RESTORE_DATA1443__" hidden="1">#REF!,#REF!,#REF!,#REF!,#REF!,#REF!,#REF!,#REF!,#REF!,#REF!,#REF!,#REF!,#REF!,#REF!,#REF!,#REF!</definedName>
    <definedName name="__APW_RESTORE_DATA1444__" hidden="1">#REF!,#REF!,#REF!,#REF!,#REF!,#REF!,#REF!,#REF!,#REF!,#REF!,#REF!,#REF!,#REF!,#REF!,#REF!,#REF!</definedName>
    <definedName name="__APW_RESTORE_DATA1445__" hidden="1">#REF!,#REF!,#REF!,#REF!,#REF!,#REF!,#REF!,#REF!,#REF!,#REF!,#REF!,#REF!,#REF!,#REF!,#REF!,#REF!</definedName>
    <definedName name="__APW_RESTORE_DATA1446__" hidden="1">#REF!,#REF!,#REF!,#REF!,#REF!,#REF!,#REF!,#REF!,#REF!,#REF!,#REF!,#REF!,#REF!,#REF!,#REF!,#REF!</definedName>
    <definedName name="__APW_RESTORE_DATA1447__" hidden="1">#REF!,#REF!,#REF!,#REF!,#REF!,#REF!,#REF!,#REF!,#REF!,#REF!,#REF!,#REF!,#REF!,#REF!,#REF!,#REF!</definedName>
    <definedName name="__APW_RESTORE_DATA1448__" hidden="1">#REF!,#REF!,#REF!,#REF!,#REF!,#REF!,#REF!,#REF!,#REF!,#REF!,#REF!,#REF!,#REF!,#REF!,#REF!</definedName>
    <definedName name="__APW_RESTORE_DATA1449__" hidden="1">#REF!,#REF!,#REF!,#REF!,#REF!,#REF!,#REF!,#REF!,#REF!,#REF!,#REF!,#REF!,#REF!,#REF!,#REF!</definedName>
    <definedName name="__APW_RESTORE_DATA145__" hidden="1">#REF!</definedName>
    <definedName name="__APW_RESTORE_DATA1450__" hidden="1">#REF!,#REF!,#REF!,#REF!,#REF!,#REF!,#REF!,#REF!,#REF!,#REF!,#REF!,#REF!,#REF!,#REF!,#REF!</definedName>
    <definedName name="__APW_RESTORE_DATA1451__" hidden="1">#REF!,#REF!,#REF!,#REF!,#REF!,#REF!,#REF!,#REF!,#REF!,#REF!,#REF!,#REF!,#REF!,#REF!,#REF!</definedName>
    <definedName name="__APW_RESTORE_DATA1452__" hidden="1">#REF!,#REF!,#REF!,#REF!,#REF!,#REF!,#REF!,#REF!,#REF!,#REF!,#REF!,#REF!,#REF!,#REF!,#REF!</definedName>
    <definedName name="__APW_RESTORE_DATA1453__" hidden="1">#REF!,#REF!,#REF!,#REF!,#REF!,#REF!,#REF!,#REF!,#REF!,#REF!,#REF!,#REF!,#REF!,#REF!,#REF!</definedName>
    <definedName name="__APW_RESTORE_DATA1454__" hidden="1">#REF!,#REF!,#REF!,#REF!,#REF!,#REF!,#REF!,#REF!,#REF!,#REF!,#REF!,#REF!,#REF!,#REF!,#REF!</definedName>
    <definedName name="__APW_RESTORE_DATA1455__" hidden="1">#REF!,#REF!,#REF!,#REF!,#REF!,#REF!,#REF!,#REF!,#REF!,#REF!,#REF!,#REF!,#REF!,#REF!,#REF!</definedName>
    <definedName name="__APW_RESTORE_DATA1456__" hidden="1">#REF!,#REF!,#REF!,#REF!,#REF!,#REF!,#REF!,#REF!,#REF!,#REF!,#REF!,#REF!,#REF!,#REF!,#REF!</definedName>
    <definedName name="__APW_RESTORE_DATA1457__" hidden="1">#REF!,#REF!,#REF!,#REF!,#REF!,#REF!,#REF!,#REF!,#REF!,#REF!,#REF!,#REF!,#REF!,#REF!,#REF!</definedName>
    <definedName name="__APW_RESTORE_DATA1458__" hidden="1">#REF!,#REF!,#REF!,#REF!,#REF!,#REF!,#REF!,#REF!,#REF!,#REF!,#REF!,#REF!,#REF!,#REF!,#REF!</definedName>
    <definedName name="__APW_RESTORE_DATA1459__" hidden="1">#REF!,#REF!,#REF!,#REF!,#REF!,#REF!,#REF!,#REF!,#REF!,#REF!,#REF!,#REF!,#REF!,#REF!,#REF!</definedName>
    <definedName name="__APW_RESTORE_DATA146__" hidden="1">#REF!</definedName>
    <definedName name="__APW_RESTORE_DATA1460__" hidden="1">#REF!,#REF!,#REF!,#REF!,#REF!,#REF!,#REF!,#REF!,#REF!,#REF!,#REF!,#REF!,#REF!,#REF!,#REF!</definedName>
    <definedName name="__APW_RESTORE_DATA1461__" hidden="1">#REF!,#REF!,#REF!,#REF!,#REF!,#REF!,#REF!,#REF!,#REF!,#REF!,#REF!,#REF!,#REF!,#REF!,#REF!</definedName>
    <definedName name="__APW_RESTORE_DATA1462__" hidden="1">#REF!,#REF!,#REF!,#REF!,#REF!,#REF!,#REF!,#REF!,#REF!,#REF!,#REF!,#REF!,#REF!,#REF!,#REF!</definedName>
    <definedName name="__APW_RESTORE_DATA1463__" hidden="1">#REF!,#REF!,#REF!,#REF!,#REF!,#REF!,#REF!,#REF!,#REF!,#REF!,#REF!,#REF!,#REF!,#REF!,#REF!</definedName>
    <definedName name="__APW_RESTORE_DATA1464__" hidden="1">#REF!,#REF!,#REF!,#REF!,#REF!,#REF!,#REF!,#REF!,#REF!,#REF!,#REF!,#REF!,#REF!,#REF!,#REF!</definedName>
    <definedName name="__APW_RESTORE_DATA1465__" hidden="1">#REF!,#REF!,#REF!,#REF!,#REF!,#REF!,#REF!,#REF!,#REF!,#REF!,#REF!,#REF!,#REF!,#REF!,#REF!</definedName>
    <definedName name="__APW_RESTORE_DATA1466__" hidden="1">#REF!,#REF!,#REF!,#REF!,#REF!,#REF!,#REF!,#REF!,#REF!,#REF!,#REF!,#REF!,#REF!,#REF!,#REF!</definedName>
    <definedName name="__APW_RESTORE_DATA1467__" hidden="1">#REF!,#REF!,#REF!,#REF!,#REF!,#REF!,#REF!,#REF!,#REF!,#REF!,#REF!,#REF!,#REF!,#REF!,#REF!</definedName>
    <definedName name="__APW_RESTORE_DATA1468__" hidden="1">#REF!,#REF!,#REF!,#REF!,#REF!,#REF!,#REF!,#REF!,#REF!,#REF!,#REF!,#REF!,#REF!,#REF!,#REF!</definedName>
    <definedName name="__APW_RESTORE_DATA1469__" hidden="1">#REF!,#REF!,#REF!,#REF!,#REF!,#REF!,#REF!,#REF!,#REF!,#REF!,#REF!,#REF!,#REF!,#REF!,#REF!</definedName>
    <definedName name="__APW_RESTORE_DATA147__" hidden="1">#REF!,#REF!,#REF!,#REF!,#REF!,#REF!,#REF!,#REF!,#REF!,#REF!,#REF!,#REF!,#REF!,#REF!,#REF!,#REF!</definedName>
    <definedName name="__APW_RESTORE_DATA1470__" hidden="1">#REF!,#REF!,#REF!,#REF!,#REF!,#REF!,#REF!,#REF!,#REF!,#REF!,#REF!,#REF!,#REF!,#REF!,#REF!</definedName>
    <definedName name="__APW_RESTORE_DATA1471__" hidden="1">#REF!,#REF!,#REF!,#REF!,#REF!,#REF!,#REF!,#REF!,#REF!,#REF!,#REF!,#REF!,#REF!,#REF!,#REF!</definedName>
    <definedName name="__APW_RESTORE_DATA1472__" hidden="1">#REF!,#REF!,#REF!,#REF!,#REF!,#REF!,#REF!,#REF!,#REF!,#REF!,#REF!,#REF!,#REF!,#REF!,#REF!</definedName>
    <definedName name="__APW_RESTORE_DATA1473__" hidden="1">#REF!,#REF!,#REF!,#REF!,#REF!,#REF!,#REF!,#REF!,#REF!,#REF!,#REF!,#REF!,#REF!,#REF!,#REF!</definedName>
    <definedName name="__APW_RESTORE_DATA1474__" hidden="1">#REF!,#REF!,#REF!,#REF!,#REF!,#REF!,#REF!,#REF!,#REF!,#REF!,#REF!,#REF!,#REF!,#REF!,#REF!</definedName>
    <definedName name="__APW_RESTORE_DATA1475__" hidden="1">#REF!,#REF!,#REF!,#REF!,#REF!,#REF!,#REF!,#REF!,#REF!,#REF!,#REF!,#REF!,#REF!,#REF!,#REF!</definedName>
    <definedName name="__APW_RESTORE_DATA1476__" hidden="1">#REF!,#REF!,#REF!,#REF!,#REF!,#REF!</definedName>
    <definedName name="__APW_RESTORE_DATA1477__" hidden="1">#REF!,#REF!,#REF!,#REF!,#REF!,#REF!,#REF!,#REF!,#REF!,#REF!,#REF!,#REF!,#REF!,#REF!,#REF!,#REF!</definedName>
    <definedName name="__APW_RESTORE_DATA1478__" hidden="1">#REF!,#REF!,#REF!,#REF!,#REF!,#REF!,#REF!,#REF!,#REF!,#REF!,#REF!,#REF!,#REF!,#REF!,#REF!,#REF!</definedName>
    <definedName name="__APW_RESTORE_DATA1479__" hidden="1">#REF!,#REF!,#REF!,#REF!,#REF!,#REF!,#REF!,#REF!,#REF!,#REF!,#REF!,#REF!,#REF!,#REF!,#REF!,#REF!</definedName>
    <definedName name="__APW_RESTORE_DATA148__" hidden="1">#REF!,#REF!,#REF!,#REF!,#REF!,#REF!,#REF!,#REF!,#REF!,#REF!,#REF!,#REF!,#REF!,#REF!,#REF!,#REF!</definedName>
    <definedName name="__APW_RESTORE_DATA1480__" hidden="1">#REF!,#REF!,#REF!,#REF!,#REF!,#REF!,#REF!,#REF!,#REF!,#REF!,#REF!,#REF!,#REF!,#REF!,#REF!,#REF!</definedName>
    <definedName name="__APW_RESTORE_DATA1481__" hidden="1">#REF!,#REF!,#REF!,#REF!,#REF!,#REF!,#REF!,#REF!,#REF!,#REF!,#REF!,#REF!,#REF!,#REF!,#REF!,#REF!</definedName>
    <definedName name="__APW_RESTORE_DATA1482__" hidden="1">#REF!,#REF!,#REF!,#REF!,#REF!,#REF!,#REF!,#REF!,#REF!,#REF!,#REF!,#REF!,#REF!,#REF!,#REF!,#REF!</definedName>
    <definedName name="__APW_RESTORE_DATA1483__" hidden="1">#REF!,#REF!,#REF!,#REF!,#REF!,#REF!,#REF!,#REF!,#REF!,#REF!,#REF!,#REF!,#REF!,#REF!,#REF!</definedName>
    <definedName name="__APW_RESTORE_DATA1484__" hidden="1">#REF!,#REF!,#REF!,#REF!,#REF!,#REF!,#REF!,#REF!,#REF!,#REF!,#REF!,#REF!,#REF!,#REF!,#REF!</definedName>
    <definedName name="__APW_RESTORE_DATA1485__" hidden="1">#REF!,#REF!,#REF!,#REF!,#REF!,#REF!,#REF!,#REF!,#REF!,#REF!,#REF!,#REF!,#REF!,#REF!,#REF!</definedName>
    <definedName name="__APW_RESTORE_DATA1486__" hidden="1">#REF!,#REF!,#REF!,#REF!,#REF!,#REF!,#REF!,#REF!,#REF!,#REF!,#REF!,#REF!,#REF!,#REF!,#REF!</definedName>
    <definedName name="__APW_RESTORE_DATA1487__" hidden="1">#REF!,#REF!,#REF!,#REF!,#REF!,#REF!,#REF!,#REF!,#REF!,#REF!,#REF!,#REF!,#REF!,#REF!,#REF!</definedName>
    <definedName name="__APW_RESTORE_DATA1488__" hidden="1">#REF!,#REF!,#REF!,#REF!,#REF!,#REF!,#REF!,#REF!,#REF!,#REF!,#REF!,#REF!,#REF!,#REF!,#REF!</definedName>
    <definedName name="__APW_RESTORE_DATA1489__" hidden="1">#REF!,#REF!,#REF!,#REF!,#REF!,#REF!,#REF!,#REF!,#REF!,#REF!,#REF!,#REF!,#REF!,#REF!,#REF!</definedName>
    <definedName name="__APW_RESTORE_DATA149__" hidden="1">#REF!,#REF!,#REF!,#REF!,#REF!,#REF!,#REF!,#REF!,#REF!,#REF!,#REF!,#REF!,#REF!,#REF!,#REF!,#REF!</definedName>
    <definedName name="__APW_RESTORE_DATA1490__" hidden="1">#REF!,#REF!,#REF!,#REF!,#REF!,#REF!,#REF!,#REF!,#REF!,#REF!,#REF!,#REF!,#REF!,#REF!,#REF!</definedName>
    <definedName name="__APW_RESTORE_DATA1491__" hidden="1">#REF!,#REF!,#REF!,#REF!,#REF!,#REF!,#REF!,#REF!,#REF!,#REF!,#REF!,#REF!,#REF!,#REF!,#REF!</definedName>
    <definedName name="__APW_RESTORE_DATA1492__" hidden="1">#REF!,#REF!,#REF!,#REF!,#REF!,#REF!,#REF!,#REF!,#REF!,#REF!,#REF!,#REF!,#REF!,#REF!,#REF!</definedName>
    <definedName name="__APW_RESTORE_DATA1493__" hidden="1">#REF!,#REF!,#REF!,#REF!,#REF!,#REF!,#REF!,#REF!,#REF!,#REF!,#REF!,#REF!,#REF!,#REF!,#REF!</definedName>
    <definedName name="__APW_RESTORE_DATA1494__" hidden="1">#REF!,#REF!,#REF!,#REF!,#REF!,#REF!,#REF!,#REF!,#REF!,#REF!,#REF!,#REF!,#REF!,#REF!,#REF!</definedName>
    <definedName name="__APW_RESTORE_DATA1495__" hidden="1">#REF!,#REF!,#REF!,#REF!,#REF!,#REF!,#REF!,#REF!,#REF!,#REF!,#REF!,#REF!,#REF!,#REF!,#REF!</definedName>
    <definedName name="__APW_RESTORE_DATA1496__" hidden="1">#REF!,#REF!,#REF!,#REF!,#REF!,#REF!,#REF!,#REF!,#REF!,#REF!,#REF!,#REF!,#REF!,#REF!,#REF!</definedName>
    <definedName name="__APW_RESTORE_DATA1497__" hidden="1">#REF!,#REF!,#REF!,#REF!,#REF!,#REF!,#REF!,#REF!,#REF!,#REF!,#REF!,#REF!,#REF!,#REF!,#REF!</definedName>
    <definedName name="__APW_RESTORE_DATA1498__" hidden="1">#REF!,#REF!,#REF!,#REF!,#REF!,#REF!,#REF!,#REF!,#REF!,#REF!,#REF!,#REF!,#REF!,#REF!,#REF!</definedName>
    <definedName name="__APW_RESTORE_DATA1499__" hidden="1">#REF!,#REF!,#REF!,#REF!,#REF!,#REF!,#REF!,#REF!,#REF!,#REF!,#REF!,#REF!,#REF!,#REF!,#REF!</definedName>
    <definedName name="__APW_RESTORE_DATA15__" hidden="1">#REF!</definedName>
    <definedName name="__APW_RESTORE_DATA150__" hidden="1">#REF!,#REF!,#REF!,#REF!,#REF!,#REF!,#REF!,#REF!,#REF!,#REF!,#REF!,#REF!,#REF!,#REF!,#REF!,#REF!</definedName>
    <definedName name="__APW_RESTORE_DATA1500__" hidden="1">#REF!,#REF!,#REF!,#REF!,#REF!,#REF!,#REF!,#REF!,#REF!,#REF!,#REF!,#REF!,#REF!,#REF!,#REF!</definedName>
    <definedName name="__APW_RESTORE_DATA1501__" hidden="1">#REF!,#REF!,#REF!,#REF!,#REF!,#REF!,#REF!,#REF!,#REF!,#REF!,#REF!,#REF!,#REF!,#REF!,#REF!</definedName>
    <definedName name="__APW_RESTORE_DATA1502__" hidden="1">#REF!,#REF!,#REF!,#REF!,#REF!,#REF!,#REF!,#REF!,#REF!,#REF!,#REF!,#REF!,#REF!,#REF!,#REF!</definedName>
    <definedName name="__APW_RESTORE_DATA1503__" hidden="1">#REF!,#REF!,#REF!,#REF!,#REF!,#REF!,#REF!,#REF!,#REF!,#REF!,#REF!,#REF!,#REF!,#REF!,#REF!</definedName>
    <definedName name="__APW_RESTORE_DATA1504__" hidden="1">#REF!,#REF!,#REF!,#REF!,#REF!,#REF!,#REF!,#REF!,#REF!,#REF!,#REF!,#REF!,#REF!,#REF!,#REF!</definedName>
    <definedName name="__APW_RESTORE_DATA1505__" hidden="1">#REF!,#REF!,#REF!,#REF!,#REF!,#REF!,#REF!,#REF!,#REF!,#REF!,#REF!,#REF!,#REF!,#REF!,#REF!</definedName>
    <definedName name="__APW_RESTORE_DATA1506__" hidden="1">#REF!,#REF!,#REF!,#REF!,#REF!,#REF!,#REF!,#REF!,#REF!,#REF!,#REF!,#REF!,#REF!,#REF!,#REF!</definedName>
    <definedName name="__APW_RESTORE_DATA1507__" hidden="1">#REF!,#REF!,#REF!,#REF!,#REF!,#REF!,#REF!,#REF!,#REF!,#REF!,#REF!,#REF!,#REF!,#REF!,#REF!</definedName>
    <definedName name="__APW_RESTORE_DATA1508__" hidden="1">#REF!,#REF!,#REF!,#REF!,#REF!,#REF!,#REF!,#REF!,#REF!,#REF!,#REF!,#REF!,#REF!,#REF!,#REF!</definedName>
    <definedName name="__APW_RESTORE_DATA1509__" hidden="1">#REF!,#REF!,#REF!,#REF!,#REF!,#REF!,#REF!,#REF!,#REF!,#REF!,#REF!,#REF!,#REF!,#REF!,#REF!</definedName>
    <definedName name="__APW_RESTORE_DATA151__" hidden="1">#REF!,#REF!,#REF!,#REF!,#REF!,#REF!,#REF!,#REF!,#REF!,#REF!,#REF!,#REF!,#REF!,#REF!,#REF!,#REF!</definedName>
    <definedName name="__APW_RESTORE_DATA1510__" hidden="1">#REF!,#REF!,#REF!,#REF!,#REF!,#REF!,#REF!,#REF!,#REF!,#REF!,#REF!,#REF!,#REF!,#REF!,#REF!</definedName>
    <definedName name="__APW_RESTORE_DATA1511__" hidden="1">#REF!,#REF!,#REF!,#REF!,#REF!,#REF!</definedName>
    <definedName name="__APW_RESTORE_DATA1512__" hidden="1">#REF!,#REF!,#REF!,#REF!,#REF!,#REF!,#REF!,#REF!,#REF!,#REF!,#REF!,#REF!,#REF!,#REF!,#REF!,#REF!</definedName>
    <definedName name="__APW_RESTORE_DATA1513__" hidden="1">#REF!,#REF!,#REF!,#REF!,#REF!,#REF!,#REF!,#REF!,#REF!,#REF!,#REF!,#REF!,#REF!,#REF!,#REF!,#REF!</definedName>
    <definedName name="__APW_RESTORE_DATA1514__" hidden="1">#REF!,#REF!,#REF!,#REF!,#REF!,#REF!,#REF!,#REF!,#REF!,#REF!,#REF!,#REF!,#REF!,#REF!,#REF!,#REF!</definedName>
    <definedName name="__APW_RESTORE_DATA1515__" hidden="1">#REF!,#REF!,#REF!,#REF!,#REF!,#REF!,#REF!,#REF!,#REF!,#REF!,#REF!,#REF!,#REF!,#REF!,#REF!,#REF!</definedName>
    <definedName name="__APW_RESTORE_DATA1516__" hidden="1">#REF!,#REF!,#REF!,#REF!,#REF!,#REF!,#REF!,#REF!,#REF!,#REF!,#REF!,#REF!,#REF!,#REF!,#REF!,#REF!</definedName>
    <definedName name="__APW_RESTORE_DATA1517__" hidden="1">#REF!,#REF!,#REF!,#REF!,#REF!,#REF!,#REF!,#REF!,#REF!,#REF!,#REF!,#REF!,#REF!,#REF!,#REF!,#REF!</definedName>
    <definedName name="__APW_RESTORE_DATA1518__" hidden="1">#REF!,#REF!,#REF!,#REF!,#REF!,#REF!,#REF!,#REF!,#REF!,#REF!,#REF!,#REF!,#REF!,#REF!,#REF!</definedName>
    <definedName name="__APW_RESTORE_DATA1519__" hidden="1">#REF!,#REF!,#REF!,#REF!,#REF!,#REF!,#REF!,#REF!,#REF!,#REF!,#REF!,#REF!,#REF!,#REF!,#REF!</definedName>
    <definedName name="__APW_RESTORE_DATA152__" hidden="1">#REF!,#REF!,#REF!,#REF!,#REF!,#REF!,#REF!,#REF!,#REF!,#REF!,#REF!,#REF!,#REF!,#REF!,#REF!,#REF!</definedName>
    <definedName name="__APW_RESTORE_DATA1520__" hidden="1">#REF!,#REF!,#REF!,#REF!,#REF!,#REF!,#REF!,#REF!,#REF!,#REF!,#REF!,#REF!,#REF!,#REF!,#REF!</definedName>
    <definedName name="__APW_RESTORE_DATA1521__" hidden="1">#REF!,#REF!,#REF!,#REF!,#REF!,#REF!,#REF!,#REF!,#REF!,#REF!,#REF!,#REF!,#REF!,#REF!,#REF!</definedName>
    <definedName name="__APW_RESTORE_DATA1522__" hidden="1">#REF!,#REF!,#REF!,#REF!,#REF!,#REF!,#REF!,#REF!,#REF!,#REF!,#REF!,#REF!,#REF!,#REF!,#REF!</definedName>
    <definedName name="__APW_RESTORE_DATA1523__" hidden="1">#REF!,#REF!,#REF!,#REF!,#REF!,#REF!,#REF!,#REF!,#REF!,#REF!,#REF!,#REF!,#REF!,#REF!,#REF!</definedName>
    <definedName name="__APW_RESTORE_DATA1524__" hidden="1">#REF!,#REF!,#REF!,#REF!,#REF!,#REF!,#REF!,#REF!,#REF!,#REF!,#REF!,#REF!,#REF!,#REF!,#REF!</definedName>
    <definedName name="__APW_RESTORE_DATA1525__" hidden="1">#REF!,#REF!,#REF!,#REF!,#REF!,#REF!,#REF!,#REF!,#REF!,#REF!,#REF!,#REF!,#REF!,#REF!,#REF!</definedName>
    <definedName name="__APW_RESTORE_DATA1526__" hidden="1">#REF!,#REF!,#REF!,#REF!,#REF!,#REF!,#REF!,#REF!,#REF!,#REF!,#REF!,#REF!,#REF!,#REF!,#REF!</definedName>
    <definedName name="__APW_RESTORE_DATA1527__" hidden="1">#REF!,#REF!,#REF!,#REF!,#REF!,#REF!,#REF!,#REF!,#REF!,#REF!,#REF!,#REF!,#REF!,#REF!,#REF!</definedName>
    <definedName name="__APW_RESTORE_DATA1528__" hidden="1">#REF!,#REF!,#REF!,#REF!,#REF!,#REF!,#REF!,#REF!,#REF!,#REF!,#REF!,#REF!,#REF!,#REF!,#REF!</definedName>
    <definedName name="__APW_RESTORE_DATA1529__" hidden="1">#REF!,#REF!,#REF!,#REF!,#REF!,#REF!,#REF!,#REF!,#REF!,#REF!,#REF!,#REF!,#REF!,#REF!,#REF!</definedName>
    <definedName name="__APW_RESTORE_DATA153__" hidden="1">#REF!,#REF!,#REF!,#REF!,#REF!,#REF!,#REF!,#REF!,#REF!,#REF!,#REF!,#REF!,#REF!,#REF!,#REF!</definedName>
    <definedName name="__APW_RESTORE_DATA1530__" hidden="1">#REF!,#REF!,#REF!,#REF!,#REF!,#REF!,#REF!,#REF!,#REF!,#REF!,#REF!,#REF!,#REF!,#REF!,#REF!</definedName>
    <definedName name="__APW_RESTORE_DATA1531__" hidden="1">#REF!,#REF!,#REF!,#REF!,#REF!,#REF!,#REF!,#REF!,#REF!,#REF!,#REF!,#REF!,#REF!,#REF!,#REF!</definedName>
    <definedName name="__APW_RESTORE_DATA1532__" hidden="1">#REF!,#REF!,#REF!,#REF!,#REF!,#REF!,#REF!,#REF!,#REF!,#REF!,#REF!,#REF!,#REF!,#REF!,#REF!</definedName>
    <definedName name="__APW_RESTORE_DATA1533__" hidden="1">#REF!,#REF!,#REF!,#REF!,#REF!,#REF!,#REF!,#REF!,#REF!,#REF!,#REF!,#REF!,#REF!,#REF!,#REF!</definedName>
    <definedName name="__APW_RESTORE_DATA1534__" hidden="1">#REF!,#REF!,#REF!,#REF!,#REF!,#REF!,#REF!,#REF!,#REF!,#REF!,#REF!,#REF!,#REF!,#REF!,#REF!</definedName>
    <definedName name="__APW_RESTORE_DATA1535__" hidden="1">#REF!,#REF!,#REF!,#REF!,#REF!,#REF!,#REF!,#REF!,#REF!,#REF!,#REF!,#REF!,#REF!,#REF!,#REF!</definedName>
    <definedName name="__APW_RESTORE_DATA1536__" hidden="1">#REF!,#REF!,#REF!,#REF!,#REF!,#REF!,#REF!,#REF!,#REF!,#REF!,#REF!,#REF!,#REF!,#REF!,#REF!</definedName>
    <definedName name="__APW_RESTORE_DATA1537__" hidden="1">#REF!,#REF!,#REF!,#REF!,#REF!,#REF!,#REF!,#REF!,#REF!,#REF!,#REF!,#REF!,#REF!,#REF!,#REF!</definedName>
    <definedName name="__APW_RESTORE_DATA1538__" hidden="1">#REF!,#REF!,#REF!,#REF!,#REF!,#REF!,#REF!,#REF!,#REF!,#REF!,#REF!,#REF!,#REF!,#REF!,#REF!</definedName>
    <definedName name="__APW_RESTORE_DATA1539__" hidden="1">#REF!,#REF!,#REF!,#REF!,#REF!,#REF!,#REF!,#REF!,#REF!,#REF!,#REF!,#REF!,#REF!,#REF!,#REF!</definedName>
    <definedName name="__APW_RESTORE_DATA154__" hidden="1">#REF!,#REF!</definedName>
    <definedName name="__APW_RESTORE_DATA1540__" hidden="1">#REF!,#REF!,#REF!,#REF!,#REF!,#REF!,#REF!,#REF!,#REF!,#REF!,#REF!,#REF!,#REF!,#REF!,#REF!</definedName>
    <definedName name="__APW_RESTORE_DATA1541__" hidden="1">#REF!,#REF!,#REF!,#REF!,#REF!,#REF!,#REF!,#REF!,#REF!,#REF!,#REF!,#REF!,#REF!,#REF!,#REF!</definedName>
    <definedName name="__APW_RESTORE_DATA1542__" hidden="1">#REF!,#REF!,#REF!,#REF!,#REF!,#REF!,#REF!,#REF!,#REF!,#REF!,#REF!,#REF!,#REF!,#REF!,#REF!</definedName>
    <definedName name="__APW_RESTORE_DATA1543__" hidden="1">#REF!,#REF!,#REF!,#REF!,#REF!,#REF!,#REF!,#REF!,#REF!,#REF!,#REF!,#REF!,#REF!,#REF!,#REF!</definedName>
    <definedName name="__APW_RESTORE_DATA1544__" hidden="1">#REF!,#REF!,#REF!,#REF!,#REF!,#REF!,#REF!,#REF!,#REF!,#REF!,#REF!,#REF!,#REF!,#REF!,#REF!</definedName>
    <definedName name="__APW_RESTORE_DATA1545__" hidden="1">#REF!,#REF!,#REF!,#REF!,#REF!,#REF!,#REF!,#REF!,#REF!,#REF!,#REF!,#REF!,#REF!,#REF!,#REF!</definedName>
    <definedName name="__APW_RESTORE_DATA1546__" hidden="1">#REF!,#REF!,#REF!,#REF!,#REF!,#REF!</definedName>
    <definedName name="__APW_RESTORE_DATA1547__" hidden="1">#REF!,#REF!,#REF!,#REF!,#REF!,#REF!,#REF!,#REF!,#REF!,#REF!,#REF!,#REF!,#REF!,#REF!,#REF!,#REF!</definedName>
    <definedName name="__APW_RESTORE_DATA1548__" hidden="1">#REF!,#REF!,#REF!,#REF!,#REF!,#REF!,#REF!,#REF!,#REF!,#REF!,#REF!,#REF!,#REF!,#REF!,#REF!,#REF!</definedName>
    <definedName name="__APW_RESTORE_DATA1549__" hidden="1">#REF!,#REF!,#REF!,#REF!,#REF!,#REF!,#REF!,#REF!,#REF!,#REF!,#REF!,#REF!,#REF!,#REF!,#REF!,#REF!</definedName>
    <definedName name="__APW_RESTORE_DATA155__" hidden="1">#REF!,#REF!</definedName>
    <definedName name="__APW_RESTORE_DATA1550__" hidden="1">#REF!,#REF!,#REF!,#REF!,#REF!,#REF!,#REF!,#REF!,#REF!,#REF!,#REF!,#REF!,#REF!,#REF!,#REF!,#REF!</definedName>
    <definedName name="__APW_RESTORE_DATA1551__" hidden="1">#REF!,#REF!,#REF!,#REF!,#REF!,#REF!,#REF!,#REF!,#REF!,#REF!,#REF!,#REF!,#REF!,#REF!,#REF!,#REF!</definedName>
    <definedName name="__APW_RESTORE_DATA1552__" hidden="1">#REF!,#REF!,#REF!,#REF!,#REF!,#REF!,#REF!,#REF!,#REF!,#REF!,#REF!,#REF!,#REF!,#REF!,#REF!,#REF!</definedName>
    <definedName name="__APW_RESTORE_DATA1553__" hidden="1">#REF!,#REF!,#REF!,#REF!,#REF!,#REF!,#REF!,#REF!,#REF!,#REF!,#REF!,#REF!,#REF!,#REF!,#REF!</definedName>
    <definedName name="__APW_RESTORE_DATA1554__" hidden="1">#REF!,#REF!,#REF!,#REF!,#REF!,#REF!,#REF!,#REF!,#REF!,#REF!,#REF!,#REF!,#REF!,#REF!,#REF!</definedName>
    <definedName name="__APW_RESTORE_DATA1555__" hidden="1">#REF!,#REF!,#REF!,#REF!,#REF!,#REF!,#REF!,#REF!,#REF!,#REF!,#REF!,#REF!,#REF!,#REF!,#REF!</definedName>
    <definedName name="__APW_RESTORE_DATA1556__" hidden="1">#REF!,#REF!,#REF!,#REF!,#REF!,#REF!,#REF!,#REF!,#REF!,#REF!,#REF!,#REF!,#REF!,#REF!,#REF!</definedName>
    <definedName name="__APW_RESTORE_DATA1557__" hidden="1">#REF!,#REF!,#REF!,#REF!,#REF!,#REF!,#REF!,#REF!,#REF!,#REF!,#REF!,#REF!,#REF!,#REF!,#REF!</definedName>
    <definedName name="__APW_RESTORE_DATA1558__" hidden="1">#REF!,#REF!,#REF!,#REF!,#REF!,#REF!,#REF!,#REF!,#REF!,#REF!,#REF!,#REF!,#REF!,#REF!,#REF!</definedName>
    <definedName name="__APW_RESTORE_DATA1559__" hidden="1">#REF!,#REF!,#REF!,#REF!,#REF!,#REF!,#REF!,#REF!,#REF!,#REF!,#REF!,#REF!,#REF!,#REF!,#REF!</definedName>
    <definedName name="__APW_RESTORE_DATA156__" hidden="1">#REF!,#REF!,#REF!,#REF!,#REF!,#REF!,#REF!,#REF!,#REF!,#REF!,#REF!,#REF!,#REF!,#REF!,#REF!</definedName>
    <definedName name="__APW_RESTORE_DATA1560__" hidden="1">#REF!,#REF!,#REF!,#REF!,#REF!,#REF!,#REF!,#REF!,#REF!,#REF!,#REF!,#REF!,#REF!,#REF!,#REF!</definedName>
    <definedName name="__APW_RESTORE_DATA1561__" hidden="1">#REF!,#REF!,#REF!,#REF!,#REF!,#REF!,#REF!,#REF!,#REF!,#REF!,#REF!,#REF!,#REF!,#REF!,#REF!</definedName>
    <definedName name="__APW_RESTORE_DATA1562__" hidden="1">#REF!,#REF!,#REF!,#REF!,#REF!,#REF!,#REF!,#REF!,#REF!,#REF!,#REF!,#REF!,#REF!,#REF!,#REF!</definedName>
    <definedName name="__APW_RESTORE_DATA1563__" hidden="1">#REF!,#REF!,#REF!,#REF!,#REF!,#REF!,#REF!,#REF!,#REF!,#REF!,#REF!,#REF!,#REF!,#REF!,#REF!</definedName>
    <definedName name="__APW_RESTORE_DATA1564__" hidden="1">#REF!,#REF!,#REF!,#REF!,#REF!,#REF!,#REF!,#REF!,#REF!,#REF!,#REF!,#REF!,#REF!,#REF!,#REF!</definedName>
    <definedName name="__APW_RESTORE_DATA1565__" hidden="1">#REF!,#REF!,#REF!,#REF!,#REF!,#REF!,#REF!,#REF!,#REF!,#REF!,#REF!,#REF!,#REF!,#REF!,#REF!</definedName>
    <definedName name="__APW_RESTORE_DATA1566__" hidden="1">#REF!,#REF!,#REF!,#REF!,#REF!,#REF!,#REF!,#REF!,#REF!,#REF!,#REF!,#REF!,#REF!,#REF!,#REF!</definedName>
    <definedName name="__APW_RESTORE_DATA1567__" hidden="1">#REF!,#REF!,#REF!,#REF!,#REF!,#REF!,#REF!,#REF!,#REF!,#REF!,#REF!,#REF!,#REF!,#REF!,#REF!</definedName>
    <definedName name="__APW_RESTORE_DATA1568__" hidden="1">#REF!,#REF!,#REF!,#REF!,#REF!,#REF!,#REF!,#REF!,#REF!,#REF!,#REF!,#REF!,#REF!,#REF!,#REF!</definedName>
    <definedName name="__APW_RESTORE_DATA1569__" hidden="1">#REF!,#REF!,#REF!,#REF!,#REF!,#REF!,#REF!,#REF!,#REF!,#REF!,#REF!,#REF!,#REF!,#REF!,#REF!</definedName>
    <definedName name="__APW_RESTORE_DATA157__" hidden="1">#REF!,#REF!,#REF!,#REF!,#REF!,#REF!,#REF!,#REF!,#REF!,#REF!,#REF!,#REF!,#REF!,#REF!,#REF!</definedName>
    <definedName name="__APW_RESTORE_DATA1570__" hidden="1">#REF!,#REF!,#REF!,#REF!,#REF!,#REF!,#REF!,#REF!,#REF!,#REF!,#REF!,#REF!,#REF!,#REF!,#REF!</definedName>
    <definedName name="__APW_RESTORE_DATA1571__" hidden="1">#REF!,#REF!,#REF!,#REF!,#REF!,#REF!,#REF!,#REF!,#REF!,#REF!,#REF!,#REF!,#REF!,#REF!,#REF!</definedName>
    <definedName name="__APW_RESTORE_DATA1572__" hidden="1">#REF!,#REF!,#REF!,#REF!,#REF!,#REF!,#REF!,#REF!,#REF!,#REF!,#REF!,#REF!,#REF!,#REF!,#REF!</definedName>
    <definedName name="__APW_RESTORE_DATA1573__" hidden="1">#REF!,#REF!,#REF!,#REF!,#REF!,#REF!,#REF!,#REF!,#REF!,#REF!,#REF!,#REF!,#REF!,#REF!,#REF!</definedName>
    <definedName name="__APW_RESTORE_DATA1574__" hidden="1">#REF!,#REF!,#REF!,#REF!,#REF!,#REF!,#REF!,#REF!,#REF!,#REF!,#REF!,#REF!,#REF!,#REF!,#REF!</definedName>
    <definedName name="__APW_RESTORE_DATA1575__" hidden="1">#REF!,#REF!,#REF!,#REF!,#REF!,#REF!,#REF!,#REF!,#REF!,#REF!,#REF!,#REF!,#REF!,#REF!,#REF!</definedName>
    <definedName name="__APW_RESTORE_DATA1576__" hidden="1">#REF!,#REF!,#REF!,#REF!,#REF!,#REF!,#REF!,#REF!,#REF!,#REF!,#REF!,#REF!,#REF!,#REF!,#REF!</definedName>
    <definedName name="__APW_RESTORE_DATA1577__" hidden="1">#REF!,#REF!,#REF!,#REF!,#REF!,#REF!,#REF!,#REF!,#REF!,#REF!,#REF!,#REF!,#REF!,#REF!,#REF!</definedName>
    <definedName name="__APW_RESTORE_DATA1578__" hidden="1">#REF!,#REF!,#REF!,#REF!,#REF!,#REF!,#REF!,#REF!,#REF!,#REF!,#REF!,#REF!,#REF!,#REF!,#REF!</definedName>
    <definedName name="__APW_RESTORE_DATA1579__" hidden="1">#REF!,#REF!,#REF!,#REF!,#REF!,#REF!,#REF!,#REF!,#REF!,#REF!,#REF!,#REF!,#REF!,#REF!,#REF!</definedName>
    <definedName name="__APW_RESTORE_DATA158__" hidden="1">#REF!,#REF!,#REF!,#REF!,#REF!,#REF!,#REF!,#REF!,#REF!,#REF!,#REF!,#REF!,#REF!,#REF!,#REF!</definedName>
    <definedName name="__APW_RESTORE_DATA1580__" hidden="1">#REF!,#REF!,#REF!,#REF!,#REF!,#REF!,#REF!,#REF!,#REF!,#REF!,#REF!,#REF!,#REF!,#REF!,#REF!</definedName>
    <definedName name="__APW_RESTORE_DATA1581__" hidden="1">#REF!,#REF!,#REF!,#REF!,#REF!,#REF!</definedName>
    <definedName name="__APW_RESTORE_DATA1582__" hidden="1">#REF!</definedName>
    <definedName name="__APW_RESTORE_DATA1583__" hidden="1">#REF!</definedName>
    <definedName name="__APW_RESTORE_DATA1585__" hidden="1">#REF!</definedName>
    <definedName name="__APW_RESTORE_DATA1586__" hidden="1">#REF!</definedName>
    <definedName name="__APW_RESTORE_DATA1587__" hidden="1">#REF!,#REF!,#REF!,#REF!,#REF!,#REF!,#REF!,#REF!,#REF!,#REF!,#REF!,#REF!,#REF!,#REF!,#REF!,#REF!</definedName>
    <definedName name="__APW_RESTORE_DATA1588__" hidden="1">#REF!,#REF!,#REF!,#REF!,#REF!,#REF!,#REF!,#REF!,#REF!,#REF!,#REF!,#REF!,#REF!,#REF!,#REF!,#REF!</definedName>
    <definedName name="__APW_RESTORE_DATA1589__" hidden="1">#REF!,#REF!,#REF!,#REF!,#REF!,#REF!,#REF!,#REF!,#REF!,#REF!,#REF!,#REF!,#REF!,#REF!,#REF!,#REF!</definedName>
    <definedName name="__APW_RESTORE_DATA159__" hidden="1">#REF!,#REF!,#REF!,#REF!,#REF!,#REF!,#REF!,#REF!,#REF!,#REF!,#REF!,#REF!,#REF!,#REF!,#REF!</definedName>
    <definedName name="__APW_RESTORE_DATA1590__" hidden="1">#REF!,#REF!,#REF!,#REF!,#REF!,#REF!,#REF!,#REF!,#REF!,#REF!,#REF!,#REF!,#REF!,#REF!,#REF!,#REF!</definedName>
    <definedName name="__APW_RESTORE_DATA1591__" hidden="1">#REF!,#REF!,#REF!,#REF!,#REF!,#REF!,#REF!,#REF!,#REF!,#REF!,#REF!,#REF!,#REF!,#REF!,#REF!,#REF!</definedName>
    <definedName name="__APW_RESTORE_DATA1592__" hidden="1">#REF!,#REF!,#REF!,#REF!,#REF!,#REF!,#REF!,#REF!,#REF!,#REF!,#REF!,#REF!,#REF!,#REF!,#REF!,#REF!</definedName>
    <definedName name="__APW_RESTORE_DATA1593__" hidden="1">#REF!,#REF!,#REF!,#REF!,#REF!,#REF!,#REF!,#REF!,#REF!,#REF!,#REF!,#REF!,#REF!,#REF!,#REF!</definedName>
    <definedName name="__APW_RESTORE_DATA1594__" hidden="1">#REF!,#REF!,#REF!,#REF!,#REF!,#REF!,#REF!,#REF!,#REF!,#REF!,#REF!,#REF!,#REF!,#REF!,#REF!</definedName>
    <definedName name="__APW_RESTORE_DATA1595__" hidden="1">#REF!,#REF!,#REF!,#REF!,#REF!,#REF!,#REF!,#REF!,#REF!,#REF!,#REF!,#REF!,#REF!,#REF!,#REF!</definedName>
    <definedName name="__APW_RESTORE_DATA1596__" hidden="1">#REF!,#REF!,#REF!,#REF!,#REF!,#REF!,#REF!,#REF!,#REF!,#REF!,#REF!,#REF!,#REF!,#REF!,#REF!</definedName>
    <definedName name="__APW_RESTORE_DATA1597__" hidden="1">#REF!,#REF!,#REF!,#REF!,#REF!,#REF!,#REF!,#REF!,#REF!,#REF!,#REF!,#REF!,#REF!,#REF!,#REF!</definedName>
    <definedName name="__APW_RESTORE_DATA1598__" hidden="1">#REF!,#REF!,#REF!,#REF!,#REF!,#REF!,#REF!,#REF!,#REF!,#REF!,#REF!,#REF!,#REF!,#REF!,#REF!</definedName>
    <definedName name="__APW_RESTORE_DATA1599__" hidden="1">#REF!,#REF!,#REF!,#REF!,#REF!,#REF!,#REF!,#REF!,#REF!,#REF!,#REF!,#REF!,#REF!,#REF!,#REF!</definedName>
    <definedName name="__APW_RESTORE_DATA16__" hidden="1">#REF!,#REF!,#REF!,#REF!,#REF!,#REF!,#REF!,#REF!,#REF!,#REF!,#REF!,#REF!,#REF!,#REF!,#REF!,#REF!</definedName>
    <definedName name="__APW_RESTORE_DATA160__" hidden="1">#REF!,#REF!,#REF!,#REF!,#REF!,#REF!,#REF!,#REF!,#REF!,#REF!,#REF!,#REF!,#REF!,#REF!,#REF!</definedName>
    <definedName name="__APW_RESTORE_DATA1600__" hidden="1">#REF!,#REF!,#REF!,#REF!,#REF!,#REF!,#REF!,#REF!,#REF!,#REF!,#REF!,#REF!,#REF!,#REF!,#REF!</definedName>
    <definedName name="__APW_RESTORE_DATA1601__" hidden="1">#REF!,#REF!,#REF!,#REF!,#REF!,#REF!,#REF!,#REF!,#REF!,#REF!,#REF!,#REF!,#REF!,#REF!,#REF!</definedName>
    <definedName name="__APW_RESTORE_DATA1602__" hidden="1">#REF!,#REF!,#REF!,#REF!,#REF!,#REF!,#REF!,#REF!,#REF!,#REF!,#REF!,#REF!,#REF!,#REF!,#REF!</definedName>
    <definedName name="__APW_RESTORE_DATA1603__" hidden="1">#REF!,#REF!,#REF!,#REF!,#REF!,#REF!,#REF!,#REF!,#REF!,#REF!,#REF!,#REF!,#REF!,#REF!,#REF!</definedName>
    <definedName name="__APW_RESTORE_DATA1604__" hidden="1">#REF!,#REF!,#REF!,#REF!,#REF!,#REF!,#REF!,#REF!,#REF!,#REF!,#REF!,#REF!,#REF!,#REF!,#REF!</definedName>
    <definedName name="__APW_RESTORE_DATA1605__" hidden="1">#REF!,#REF!,#REF!,#REF!,#REF!,#REF!,#REF!,#REF!,#REF!,#REF!,#REF!,#REF!,#REF!,#REF!,#REF!</definedName>
    <definedName name="__APW_RESTORE_DATA1606__" hidden="1">#REF!,#REF!,#REF!,#REF!,#REF!,#REF!,#REF!,#REF!,#REF!,#REF!,#REF!,#REF!,#REF!,#REF!,#REF!</definedName>
    <definedName name="__APW_RESTORE_DATA1607__" hidden="1">#REF!,#REF!,#REF!,#REF!,#REF!,#REF!,#REF!,#REF!,#REF!,#REF!,#REF!,#REF!,#REF!,#REF!,#REF!</definedName>
    <definedName name="__APW_RESTORE_DATA1608__" hidden="1">#REF!,#REF!,#REF!,#REF!,#REF!,#REF!,#REF!,#REF!,#REF!,#REF!,#REF!,#REF!,#REF!,#REF!,#REF!</definedName>
    <definedName name="__APW_RESTORE_DATA1609__" hidden="1">#REF!,#REF!,#REF!,#REF!,#REF!,#REF!,#REF!,#REF!,#REF!,#REF!,#REF!,#REF!,#REF!,#REF!,#REF!</definedName>
    <definedName name="__APW_RESTORE_DATA161__" hidden="1">#REF!,#REF!,#REF!,#REF!,#REF!,#REF!,#REF!,#REF!,#REF!,#REF!,#REF!,#REF!,#REF!,#REF!,#REF!</definedName>
    <definedName name="__APW_RESTORE_DATA1610__" hidden="1">#REF!,#REF!,#REF!,#REF!,#REF!,#REF!,#REF!,#REF!,#REF!,#REF!,#REF!,#REF!,#REF!,#REF!,#REF!</definedName>
    <definedName name="__APW_RESTORE_DATA1611__" hidden="1">#REF!,#REF!,#REF!,#REF!,#REF!,#REF!,#REF!,#REF!,#REF!,#REF!,#REF!,#REF!,#REF!,#REF!,#REF!</definedName>
    <definedName name="__APW_RESTORE_DATA1612__" hidden="1">#REF!,#REF!,#REF!,#REF!,#REF!,#REF!,#REF!,#REF!,#REF!,#REF!,#REF!,#REF!,#REF!,#REF!,#REF!</definedName>
    <definedName name="__APW_RESTORE_DATA1613__" hidden="1">#REF!,#REF!,#REF!,#REF!,#REF!,#REF!,#REF!,#REF!,#REF!,#REF!,#REF!,#REF!,#REF!,#REF!,#REF!</definedName>
    <definedName name="__APW_RESTORE_DATA1614__" hidden="1">#REF!,#REF!,#REF!,#REF!,#REF!,#REF!,#REF!,#REF!,#REF!,#REF!,#REF!,#REF!,#REF!,#REF!,#REF!</definedName>
    <definedName name="__APW_RESTORE_DATA1615__" hidden="1">#REF!,#REF!,#REF!,#REF!,#REF!,#REF!,#REF!,#REF!,#REF!,#REF!,#REF!,#REF!,#REF!,#REF!,#REF!</definedName>
    <definedName name="__APW_RESTORE_DATA1616__" hidden="1">#REF!,#REF!,#REF!,#REF!,#REF!,#REF!,#REF!,#REF!,#REF!,#REF!,#REF!,#REF!,#REF!,#REF!,#REF!</definedName>
    <definedName name="__APW_RESTORE_DATA1617__" hidden="1">#REF!,#REF!,#REF!,#REF!,#REF!,#REF!,#REF!,#REF!,#REF!,#REF!,#REF!,#REF!,#REF!,#REF!,#REF!</definedName>
    <definedName name="__APW_RESTORE_DATA1618__" hidden="1">#REF!,#REF!,#REF!,#REF!,#REF!,#REF!,#REF!,#REF!,#REF!,#REF!,#REF!,#REF!,#REF!,#REF!,#REF!</definedName>
    <definedName name="__APW_RESTORE_DATA1619__" hidden="1">#REF!,#REF!,#REF!,#REF!,#REF!,#REF!,#REF!,#REF!,#REF!,#REF!,#REF!,#REF!,#REF!,#REF!,#REF!</definedName>
    <definedName name="__APW_RESTORE_DATA162__" hidden="1">#REF!,#REF!,#REF!,#REF!,#REF!,#REF!,#REF!,#REF!,#REF!,#REF!,#REF!,#REF!,#REF!,#REF!,#REF!</definedName>
    <definedName name="__APW_RESTORE_DATA1620__" hidden="1">#REF!,#REF!,#REF!,#REF!,#REF!,#REF!,#REF!,#REF!,#REF!,#REF!,#REF!,#REF!,#REF!,#REF!,#REF!</definedName>
    <definedName name="__APW_RESTORE_DATA1621__" hidden="1">#REF!,#REF!,#REF!,#REF!,#REF!,#REF!</definedName>
    <definedName name="__APW_RESTORE_DATA1622__" hidden="1">#REF!,#REF!,#REF!,#REF!,#REF!,#REF!,#REF!,#REF!,#REF!,#REF!,#REF!,#REF!,#REF!,#REF!,#REF!,#REF!</definedName>
    <definedName name="__APW_RESTORE_DATA1623__" hidden="1">#REF!,#REF!,#REF!,#REF!,#REF!,#REF!,#REF!,#REF!,#REF!,#REF!,#REF!,#REF!,#REF!,#REF!,#REF!,#REF!</definedName>
    <definedName name="__APW_RESTORE_DATA1624__" hidden="1">#REF!,#REF!,#REF!,#REF!,#REF!,#REF!,#REF!,#REF!,#REF!,#REF!,#REF!,#REF!,#REF!,#REF!,#REF!,#REF!</definedName>
    <definedName name="__APW_RESTORE_DATA1625__" hidden="1">#REF!,#REF!,#REF!,#REF!,#REF!,#REF!,#REF!,#REF!,#REF!,#REF!,#REF!,#REF!,#REF!,#REF!,#REF!,#REF!</definedName>
    <definedName name="__APW_RESTORE_DATA1626__" hidden="1">#REF!,#REF!,#REF!,#REF!,#REF!,#REF!,#REF!,#REF!,#REF!,#REF!,#REF!,#REF!,#REF!,#REF!,#REF!,#REF!</definedName>
    <definedName name="__APW_RESTORE_DATA1627__" hidden="1">#REF!,#REF!,#REF!,#REF!,#REF!,#REF!,#REF!,#REF!,#REF!,#REF!,#REF!,#REF!,#REF!,#REF!,#REF!,#REF!</definedName>
    <definedName name="__APW_RESTORE_DATA1628__" hidden="1">#REF!,#REF!,#REF!,#REF!,#REF!,#REF!,#REF!,#REF!,#REF!,#REF!,#REF!,#REF!,#REF!,#REF!,#REF!</definedName>
    <definedName name="__APW_RESTORE_DATA1629__" hidden="1">#REF!,#REF!,#REF!,#REF!,#REF!,#REF!,#REF!,#REF!,#REF!,#REF!,#REF!,#REF!,#REF!,#REF!,#REF!</definedName>
    <definedName name="__APW_RESTORE_DATA163__" hidden="1">#REF!,#REF!,#REF!,#REF!,#REF!,#REF!,#REF!,#REF!,#REF!,#REF!,#REF!,#REF!,#REF!,#REF!,#REF!</definedName>
    <definedName name="__APW_RESTORE_DATA1630__" hidden="1">#REF!,#REF!,#REF!,#REF!,#REF!,#REF!,#REF!,#REF!,#REF!,#REF!,#REF!,#REF!,#REF!,#REF!,#REF!</definedName>
    <definedName name="__APW_RESTORE_DATA1631__" hidden="1">#REF!,#REF!,#REF!,#REF!,#REF!,#REF!,#REF!,#REF!,#REF!,#REF!,#REF!,#REF!,#REF!,#REF!,#REF!</definedName>
    <definedName name="__APW_RESTORE_DATA1632__" hidden="1">#REF!,#REF!,#REF!,#REF!,#REF!,#REF!,#REF!,#REF!,#REF!,#REF!,#REF!,#REF!,#REF!,#REF!,#REF!</definedName>
    <definedName name="__APW_RESTORE_DATA1633__" hidden="1">#REF!,#REF!,#REF!,#REF!,#REF!,#REF!,#REF!,#REF!,#REF!,#REF!,#REF!,#REF!,#REF!,#REF!,#REF!</definedName>
    <definedName name="__APW_RESTORE_DATA1634__" hidden="1">#REF!,#REF!,#REF!,#REF!,#REF!,#REF!,#REF!,#REF!,#REF!,#REF!,#REF!,#REF!,#REF!,#REF!,#REF!</definedName>
    <definedName name="__APW_RESTORE_DATA1635__" hidden="1">#REF!,#REF!,#REF!,#REF!,#REF!,#REF!,#REF!,#REF!,#REF!,#REF!,#REF!,#REF!,#REF!,#REF!,#REF!</definedName>
    <definedName name="__APW_RESTORE_DATA1636__" hidden="1">#REF!,#REF!,#REF!,#REF!,#REF!,#REF!,#REF!,#REF!,#REF!,#REF!,#REF!,#REF!,#REF!,#REF!,#REF!</definedName>
    <definedName name="__APW_RESTORE_DATA1637__" hidden="1">#REF!,#REF!,#REF!,#REF!,#REF!,#REF!,#REF!,#REF!,#REF!,#REF!,#REF!,#REF!,#REF!,#REF!,#REF!</definedName>
    <definedName name="__APW_RESTORE_DATA1638__" hidden="1">#REF!,#REF!,#REF!,#REF!,#REF!,#REF!,#REF!,#REF!,#REF!,#REF!,#REF!,#REF!,#REF!,#REF!,#REF!</definedName>
    <definedName name="__APW_RESTORE_DATA1639__" hidden="1">#REF!,#REF!,#REF!,#REF!,#REF!,#REF!,#REF!,#REF!,#REF!,#REF!,#REF!,#REF!,#REF!,#REF!,#REF!</definedName>
    <definedName name="__APW_RESTORE_DATA164__" hidden="1">#REF!,#REF!,#REF!,#REF!,#REF!,#REF!,#REF!,#REF!,#REF!,#REF!,#REF!,#REF!,#REF!,#REF!,#REF!</definedName>
    <definedName name="__APW_RESTORE_DATA1640__" hidden="1">#REF!,#REF!,#REF!,#REF!,#REF!,#REF!,#REF!,#REF!,#REF!,#REF!,#REF!,#REF!,#REF!,#REF!,#REF!</definedName>
    <definedName name="__APW_RESTORE_DATA1641__" hidden="1">#REF!,#REF!,#REF!,#REF!,#REF!,#REF!,#REF!,#REF!,#REF!,#REF!,#REF!,#REF!,#REF!,#REF!,#REF!</definedName>
    <definedName name="__APW_RESTORE_DATA1642__" hidden="1">#REF!,#REF!,#REF!,#REF!,#REF!,#REF!,#REF!,#REF!,#REF!,#REF!,#REF!,#REF!,#REF!,#REF!,#REF!</definedName>
    <definedName name="__APW_RESTORE_DATA1643__" hidden="1">#REF!,#REF!,#REF!,#REF!,#REF!,#REF!,#REF!,#REF!,#REF!,#REF!,#REF!,#REF!,#REF!,#REF!,#REF!</definedName>
    <definedName name="__APW_RESTORE_DATA1644__" hidden="1">#REF!,#REF!,#REF!,#REF!,#REF!,#REF!,#REF!,#REF!,#REF!,#REF!,#REF!,#REF!,#REF!,#REF!,#REF!</definedName>
    <definedName name="__APW_RESTORE_DATA1645__" hidden="1">#REF!,#REF!,#REF!,#REF!,#REF!,#REF!,#REF!,#REF!,#REF!,#REF!,#REF!,#REF!,#REF!,#REF!,#REF!</definedName>
    <definedName name="__APW_RESTORE_DATA1646__" hidden="1">#REF!,#REF!,#REF!,#REF!,#REF!,#REF!,#REF!,#REF!,#REF!,#REF!,#REF!,#REF!,#REF!,#REF!,#REF!</definedName>
    <definedName name="__APW_RESTORE_DATA1647__" hidden="1">#REF!,#REF!,#REF!,#REF!,#REF!,#REF!,#REF!,#REF!,#REF!,#REF!,#REF!,#REF!,#REF!,#REF!,#REF!</definedName>
    <definedName name="__APW_RESTORE_DATA1648__" hidden="1">#REF!,#REF!,#REF!,#REF!,#REF!,#REF!,#REF!,#REF!,#REF!,#REF!,#REF!,#REF!,#REF!,#REF!,#REF!</definedName>
    <definedName name="__APW_RESTORE_DATA1649__" hidden="1">#REF!,#REF!,#REF!,#REF!,#REF!,#REF!,#REF!,#REF!,#REF!,#REF!,#REF!,#REF!,#REF!,#REF!,#REF!</definedName>
    <definedName name="__APW_RESTORE_DATA165__" hidden="1">#REF!,#REF!,#REF!,#REF!,#REF!,#REF!,#REF!,#REF!,#REF!,#REF!,#REF!,#REF!,#REF!,#REF!,#REF!</definedName>
    <definedName name="__APW_RESTORE_DATA1650__" hidden="1">#REF!,#REF!,#REF!,#REF!,#REF!,#REF!,#REF!,#REF!,#REF!,#REF!,#REF!,#REF!,#REF!,#REF!,#REF!</definedName>
    <definedName name="__APW_RESTORE_DATA1651__" hidden="1">#REF!,#REF!,#REF!,#REF!,#REF!,#REF!,#REF!,#REF!,#REF!,#REF!,#REF!,#REF!,#REF!,#REF!,#REF!</definedName>
    <definedName name="__APW_RESTORE_DATA1652__" hidden="1">#REF!,#REF!,#REF!,#REF!,#REF!,#REF!,#REF!,#REF!,#REF!,#REF!,#REF!,#REF!,#REF!,#REF!,#REF!</definedName>
    <definedName name="__APW_RESTORE_DATA1653__" hidden="1">#REF!,#REF!,#REF!,#REF!,#REF!,#REF!,#REF!,#REF!,#REF!,#REF!,#REF!,#REF!,#REF!,#REF!,#REF!</definedName>
    <definedName name="__APW_RESTORE_DATA1654__" hidden="1">#REF!,#REF!,#REF!,#REF!,#REF!,#REF!,#REF!,#REF!,#REF!,#REF!,#REF!,#REF!,#REF!,#REF!,#REF!</definedName>
    <definedName name="__APW_RESTORE_DATA1655__" hidden="1">#REF!,#REF!,#REF!,#REF!,#REF!,#REF!,#REF!,#REF!,#REF!,#REF!,#REF!,#REF!,#REF!,#REF!,#REF!</definedName>
    <definedName name="__APW_RESTORE_DATA1656__" hidden="1">#REF!,#REF!,#REF!,#REF!,#REF!,#REF!</definedName>
    <definedName name="__APW_RESTORE_DATA1657__" hidden="1">#REF!,#REF!,#REF!,#REF!,#REF!,#REF!,#REF!,#REF!,#REF!,#REF!,#REF!,#REF!,#REF!,#REF!,#REF!,#REF!</definedName>
    <definedName name="__APW_RESTORE_DATA1658__" hidden="1">#REF!,#REF!,#REF!,#REF!,#REF!,#REF!,#REF!,#REF!,#REF!,#REF!,#REF!,#REF!,#REF!,#REF!,#REF!,#REF!</definedName>
    <definedName name="__APW_RESTORE_DATA1659__" hidden="1">#REF!,#REF!,#REF!,#REF!,#REF!,#REF!,#REF!,#REF!,#REF!,#REF!,#REF!,#REF!,#REF!,#REF!,#REF!,#REF!</definedName>
    <definedName name="__APW_RESTORE_DATA166__" hidden="1">#REF!,#REF!,#REF!,#REF!,#REF!,#REF!,#REF!,#REF!,#REF!,#REF!,#REF!,#REF!,#REF!,#REF!,#REF!</definedName>
    <definedName name="__APW_RESTORE_DATA1660__" hidden="1">#REF!,#REF!,#REF!,#REF!,#REF!,#REF!,#REF!,#REF!,#REF!,#REF!,#REF!,#REF!,#REF!,#REF!,#REF!,#REF!</definedName>
    <definedName name="__APW_RESTORE_DATA1661__" hidden="1">#REF!,#REF!,#REF!,#REF!,#REF!,#REF!,#REF!,#REF!,#REF!,#REF!,#REF!,#REF!,#REF!,#REF!,#REF!,#REF!</definedName>
    <definedName name="__APW_RESTORE_DATA1662__" hidden="1">#REF!,#REF!,#REF!,#REF!,#REF!,#REF!,#REF!,#REF!,#REF!,#REF!,#REF!,#REF!,#REF!,#REF!,#REF!,#REF!</definedName>
    <definedName name="__APW_RESTORE_DATA1663__" hidden="1">#REF!,#REF!,#REF!,#REF!,#REF!,#REF!,#REF!,#REF!,#REF!,#REF!,#REF!,#REF!,#REF!,#REF!,#REF!</definedName>
    <definedName name="__APW_RESTORE_DATA1664__" hidden="1">#REF!,#REF!,#REF!,#REF!,#REF!,#REF!,#REF!,#REF!,#REF!,#REF!,#REF!,#REF!,#REF!,#REF!,#REF!</definedName>
    <definedName name="__APW_RESTORE_DATA1665__" hidden="1">#REF!,#REF!,#REF!,#REF!,#REF!,#REF!,#REF!,#REF!,#REF!,#REF!,#REF!,#REF!,#REF!,#REF!,#REF!</definedName>
    <definedName name="__APW_RESTORE_DATA1666__" hidden="1">#REF!,#REF!,#REF!,#REF!,#REF!,#REF!,#REF!,#REF!,#REF!,#REF!,#REF!,#REF!,#REF!,#REF!,#REF!</definedName>
    <definedName name="__APW_RESTORE_DATA1667__" hidden="1">#REF!,#REF!,#REF!,#REF!,#REF!,#REF!,#REF!,#REF!,#REF!,#REF!,#REF!,#REF!,#REF!,#REF!,#REF!</definedName>
    <definedName name="__APW_RESTORE_DATA1668__" hidden="1">#REF!,#REF!,#REF!,#REF!,#REF!,#REF!,#REF!,#REF!,#REF!,#REF!,#REF!,#REF!,#REF!,#REF!,#REF!</definedName>
    <definedName name="__APW_RESTORE_DATA1669__" hidden="1">#REF!,#REF!,#REF!,#REF!,#REF!,#REF!,#REF!,#REF!,#REF!,#REF!,#REF!,#REF!,#REF!,#REF!,#REF!</definedName>
    <definedName name="__APW_RESTORE_DATA167__" hidden="1">#REF!,#REF!,#REF!,#REF!,#REF!,#REF!,#REF!,#REF!,#REF!,#REF!,#REF!,#REF!,#REF!,#REF!,#REF!</definedName>
    <definedName name="__APW_RESTORE_DATA1670__" hidden="1">#REF!,#REF!,#REF!,#REF!,#REF!,#REF!,#REF!,#REF!,#REF!,#REF!,#REF!,#REF!,#REF!,#REF!,#REF!</definedName>
    <definedName name="__APW_RESTORE_DATA1671__" hidden="1">#REF!,#REF!,#REF!,#REF!,#REF!,#REF!,#REF!,#REF!,#REF!,#REF!,#REF!,#REF!,#REF!,#REF!,#REF!</definedName>
    <definedName name="__APW_RESTORE_DATA1672__" hidden="1">#REF!,#REF!,#REF!,#REF!,#REF!,#REF!,#REF!,#REF!,#REF!,#REF!,#REF!,#REF!,#REF!,#REF!,#REF!</definedName>
    <definedName name="__APW_RESTORE_DATA1673__" hidden="1">#REF!,#REF!,#REF!,#REF!,#REF!,#REF!,#REF!,#REF!,#REF!,#REF!,#REF!,#REF!,#REF!,#REF!,#REF!</definedName>
    <definedName name="__APW_RESTORE_DATA1674__" hidden="1">#REF!,#REF!,#REF!,#REF!,#REF!,#REF!,#REF!,#REF!,#REF!,#REF!,#REF!,#REF!,#REF!,#REF!,#REF!</definedName>
    <definedName name="__APW_RESTORE_DATA1675__" hidden="1">#REF!,#REF!,#REF!,#REF!,#REF!,#REF!,#REF!,#REF!,#REF!,#REF!,#REF!,#REF!,#REF!,#REF!,#REF!</definedName>
    <definedName name="__APW_RESTORE_DATA1676__" hidden="1">#REF!,#REF!,#REF!,#REF!,#REF!,#REF!,#REF!,#REF!,#REF!,#REF!,#REF!,#REF!,#REF!,#REF!,#REF!</definedName>
    <definedName name="__APW_RESTORE_DATA1677__" hidden="1">#REF!,#REF!,#REF!,#REF!,#REF!,#REF!,#REF!,#REF!,#REF!,#REF!,#REF!,#REF!,#REF!,#REF!,#REF!</definedName>
    <definedName name="__APW_RESTORE_DATA1678__" hidden="1">#REF!,#REF!,#REF!,#REF!,#REF!,#REF!,#REF!,#REF!,#REF!,#REF!,#REF!,#REF!,#REF!,#REF!,#REF!</definedName>
    <definedName name="__APW_RESTORE_DATA1679__" hidden="1">#REF!,#REF!,#REF!,#REF!,#REF!,#REF!,#REF!,#REF!,#REF!,#REF!,#REF!,#REF!,#REF!,#REF!,#REF!</definedName>
    <definedName name="__APW_RESTORE_DATA168__" hidden="1">#REF!,#REF!</definedName>
    <definedName name="__APW_RESTORE_DATA1680__" hidden="1">#REF!,#REF!,#REF!,#REF!,#REF!,#REF!,#REF!,#REF!,#REF!,#REF!,#REF!,#REF!,#REF!,#REF!,#REF!</definedName>
    <definedName name="__APW_RESTORE_DATA1681__" hidden="1">#REF!,#REF!,#REF!,#REF!,#REF!,#REF!,#REF!,#REF!,#REF!,#REF!,#REF!,#REF!,#REF!,#REF!,#REF!</definedName>
    <definedName name="__APW_RESTORE_DATA1682__" hidden="1">#REF!,#REF!,#REF!,#REF!,#REF!,#REF!,#REF!,#REF!,#REF!,#REF!,#REF!,#REF!,#REF!,#REF!,#REF!</definedName>
    <definedName name="__APW_RESTORE_DATA1683__" hidden="1">#REF!,#REF!,#REF!,#REF!,#REF!,#REF!,#REF!,#REF!,#REF!,#REF!,#REF!,#REF!,#REF!,#REF!,#REF!</definedName>
    <definedName name="__APW_RESTORE_DATA1684__" hidden="1">#REF!,#REF!,#REF!,#REF!,#REF!,#REF!,#REF!,#REF!,#REF!,#REF!,#REF!,#REF!,#REF!,#REF!,#REF!</definedName>
    <definedName name="__APW_RESTORE_DATA1685__" hidden="1">#REF!,#REF!,#REF!,#REF!,#REF!,#REF!,#REF!,#REF!,#REF!,#REF!,#REF!,#REF!,#REF!,#REF!,#REF!</definedName>
    <definedName name="__APW_RESTORE_DATA1686__" hidden="1">#REF!,#REF!,#REF!,#REF!,#REF!,#REF!,#REF!,#REF!,#REF!,#REF!,#REF!,#REF!,#REF!,#REF!,#REF!</definedName>
    <definedName name="__APW_RESTORE_DATA1687__" hidden="1">#REF!,#REF!,#REF!,#REF!,#REF!,#REF!,#REF!,#REF!,#REF!,#REF!,#REF!,#REF!,#REF!,#REF!,#REF!</definedName>
    <definedName name="__APW_RESTORE_DATA1688__" hidden="1">#REF!,#REF!,#REF!,#REF!,#REF!,#REF!,#REF!,#REF!,#REF!,#REF!,#REF!,#REF!,#REF!,#REF!,#REF!</definedName>
    <definedName name="__APW_RESTORE_DATA1689__" hidden="1">#REF!,#REF!,#REF!,#REF!,#REF!,#REF!,#REF!,#REF!,#REF!,#REF!,#REF!,#REF!,#REF!,#REF!,#REF!</definedName>
    <definedName name="__APW_RESTORE_DATA169__" hidden="1">#REF!,#REF!,#REF!,#REF!,#REF!,#REF!,#REF!,#REF!,#REF!,#REF!,#REF!,#REF!,#REF!,#REF!,#REF!</definedName>
    <definedName name="__APW_RESTORE_DATA1690__" hidden="1">#REF!,#REF!,#REF!,#REF!,#REF!,#REF!,#REF!,#REF!,#REF!,#REF!,#REF!,#REF!,#REF!,#REF!,#REF!</definedName>
    <definedName name="__APW_RESTORE_DATA1691__" hidden="1">#REF!,#REF!,#REF!,#REF!,#REF!,#REF!</definedName>
    <definedName name="__APW_RESTORE_DATA1692__" hidden="1">#REF!,#REF!,#REF!,#REF!,#REF!,#REF!,#REF!,#REF!,#REF!,#REF!,#REF!,#REF!,#REF!,#REF!,#REF!,#REF!</definedName>
    <definedName name="__APW_RESTORE_DATA1693__" hidden="1">#REF!,#REF!,#REF!,#REF!,#REF!,#REF!,#REF!,#REF!,#REF!,#REF!,#REF!,#REF!,#REF!,#REF!,#REF!,#REF!</definedName>
    <definedName name="__APW_RESTORE_DATA1694__" hidden="1">#REF!,#REF!,#REF!,#REF!,#REF!,#REF!,#REF!,#REF!,#REF!,#REF!,#REF!,#REF!,#REF!,#REF!,#REF!,#REF!</definedName>
    <definedName name="__APW_RESTORE_DATA1695__" hidden="1">#REF!,#REF!,#REF!,#REF!,#REF!,#REF!,#REF!,#REF!,#REF!,#REF!,#REF!,#REF!,#REF!,#REF!,#REF!,#REF!</definedName>
    <definedName name="__APW_RESTORE_DATA1696__" hidden="1">#REF!,#REF!,#REF!,#REF!,#REF!,#REF!,#REF!,#REF!,#REF!,#REF!,#REF!,#REF!,#REF!,#REF!,#REF!,#REF!</definedName>
    <definedName name="__APW_RESTORE_DATA1697__" hidden="1">#REF!,#REF!,#REF!,#REF!,#REF!,#REF!,#REF!,#REF!,#REF!,#REF!,#REF!,#REF!,#REF!,#REF!,#REF!,#REF!</definedName>
    <definedName name="__APW_RESTORE_DATA1698__" hidden="1">#REF!,#REF!,#REF!,#REF!,#REF!,#REF!,#REF!,#REF!,#REF!,#REF!,#REF!,#REF!,#REF!,#REF!,#REF!</definedName>
    <definedName name="__APW_RESTORE_DATA1699__" hidden="1">#REF!,#REF!,#REF!,#REF!,#REF!,#REF!,#REF!,#REF!,#REF!,#REF!,#REF!,#REF!,#REF!,#REF!,#REF!</definedName>
    <definedName name="__APW_RESTORE_DATA17__" hidden="1">#REF!,#REF!,#REF!,#REF!,#REF!,#REF!,#REF!,#REF!,#REF!,#REF!,#REF!,#REF!,#REF!,#REF!,#REF!</definedName>
    <definedName name="__APW_RESTORE_DATA170__" hidden="1">#REF!,#REF!,#REF!,#REF!,#REF!,#REF!,#REF!,#REF!,#REF!,#REF!,#REF!,#REF!,#REF!,#REF!,#REF!</definedName>
    <definedName name="__APW_RESTORE_DATA1700__" hidden="1">#REF!,#REF!,#REF!,#REF!,#REF!,#REF!,#REF!,#REF!,#REF!,#REF!,#REF!,#REF!,#REF!,#REF!,#REF!</definedName>
    <definedName name="__APW_RESTORE_DATA1701__" hidden="1">#REF!,#REF!,#REF!,#REF!,#REF!,#REF!,#REF!,#REF!,#REF!,#REF!,#REF!,#REF!,#REF!,#REF!,#REF!</definedName>
    <definedName name="__APW_RESTORE_DATA1702__" hidden="1">#REF!,#REF!,#REF!,#REF!,#REF!,#REF!,#REF!,#REF!,#REF!,#REF!,#REF!,#REF!,#REF!,#REF!,#REF!</definedName>
    <definedName name="__APW_RESTORE_DATA1703__" hidden="1">#REF!,#REF!,#REF!,#REF!,#REF!,#REF!,#REF!,#REF!,#REF!,#REF!,#REF!,#REF!,#REF!,#REF!,#REF!</definedName>
    <definedName name="__APW_RESTORE_DATA1704__" hidden="1">#REF!,#REF!,#REF!,#REF!,#REF!,#REF!,#REF!,#REF!,#REF!,#REF!,#REF!,#REF!,#REF!,#REF!,#REF!</definedName>
    <definedName name="__APW_RESTORE_DATA1705__" hidden="1">#REF!,#REF!,#REF!,#REF!,#REF!,#REF!,#REF!,#REF!,#REF!,#REF!,#REF!,#REF!,#REF!,#REF!,#REF!</definedName>
    <definedName name="__APW_RESTORE_DATA1706__" hidden="1">#REF!,#REF!,#REF!,#REF!,#REF!,#REF!,#REF!,#REF!,#REF!,#REF!,#REF!,#REF!,#REF!,#REF!,#REF!</definedName>
    <definedName name="__APW_RESTORE_DATA1707__" hidden="1">#REF!,#REF!,#REF!,#REF!,#REF!,#REF!,#REF!,#REF!,#REF!,#REF!,#REF!,#REF!,#REF!,#REF!,#REF!</definedName>
    <definedName name="__APW_RESTORE_DATA1708__" hidden="1">#REF!,#REF!,#REF!,#REF!,#REF!,#REF!,#REF!,#REF!,#REF!,#REF!,#REF!,#REF!,#REF!,#REF!,#REF!</definedName>
    <definedName name="__APW_RESTORE_DATA1709__" hidden="1">#REF!,#REF!,#REF!,#REF!,#REF!,#REF!,#REF!,#REF!,#REF!,#REF!,#REF!,#REF!,#REF!,#REF!,#REF!</definedName>
    <definedName name="__APW_RESTORE_DATA171__" hidden="1">#REF!,#REF!,#REF!,#REF!,#REF!,#REF!,#REF!,#REF!,#REF!,#REF!,#REF!,#REF!,#REF!,#REF!,#REF!</definedName>
    <definedName name="__APW_RESTORE_DATA1710__" hidden="1">#REF!,#REF!,#REF!,#REF!,#REF!,#REF!,#REF!,#REF!,#REF!,#REF!,#REF!,#REF!,#REF!,#REF!,#REF!</definedName>
    <definedName name="__APW_RESTORE_DATA1711__" hidden="1">#REF!,#REF!,#REF!,#REF!,#REF!,#REF!,#REF!,#REF!,#REF!,#REF!,#REF!,#REF!,#REF!,#REF!,#REF!</definedName>
    <definedName name="__APW_RESTORE_DATA1712__" hidden="1">#REF!,#REF!,#REF!,#REF!,#REF!,#REF!,#REF!,#REF!,#REF!,#REF!,#REF!,#REF!,#REF!,#REF!,#REF!</definedName>
    <definedName name="__APW_RESTORE_DATA1713__" hidden="1">#REF!,#REF!,#REF!,#REF!,#REF!,#REF!,#REF!,#REF!,#REF!,#REF!,#REF!,#REF!,#REF!,#REF!,#REF!</definedName>
    <definedName name="__APW_RESTORE_DATA1714__" hidden="1">#REF!,#REF!,#REF!,#REF!,#REF!,#REF!,#REF!,#REF!,#REF!,#REF!,#REF!,#REF!,#REF!,#REF!,#REF!</definedName>
    <definedName name="__APW_RESTORE_DATA1715__" hidden="1">#REF!,#REF!,#REF!,#REF!,#REF!,#REF!,#REF!,#REF!,#REF!,#REF!,#REF!,#REF!,#REF!,#REF!,#REF!</definedName>
    <definedName name="__APW_RESTORE_DATA1716__" hidden="1">#REF!,#REF!,#REF!,#REF!,#REF!,#REF!,#REF!,#REF!,#REF!,#REF!,#REF!,#REF!,#REF!,#REF!,#REF!</definedName>
    <definedName name="__APW_RESTORE_DATA1717__" hidden="1">#REF!,#REF!,#REF!,#REF!,#REF!,#REF!,#REF!,#REF!,#REF!,#REF!,#REF!,#REF!,#REF!,#REF!,#REF!</definedName>
    <definedName name="__APW_RESTORE_DATA1718__" hidden="1">#REF!,#REF!,#REF!,#REF!,#REF!,#REF!,#REF!,#REF!,#REF!,#REF!,#REF!,#REF!,#REF!,#REF!,#REF!</definedName>
    <definedName name="__APW_RESTORE_DATA1719__" hidden="1">#REF!,#REF!,#REF!,#REF!,#REF!,#REF!,#REF!,#REF!,#REF!,#REF!,#REF!,#REF!,#REF!,#REF!,#REF!</definedName>
    <definedName name="__APW_RESTORE_DATA172__" hidden="1">#REF!,#REF!,#REF!,#REF!,#REF!,#REF!,#REF!,#REF!,#REF!,#REF!,#REF!,#REF!,#REF!,#REF!,#REF!</definedName>
    <definedName name="__APW_RESTORE_DATA1720__" hidden="1">#REF!,#REF!,#REF!,#REF!,#REF!,#REF!,#REF!,#REF!,#REF!,#REF!,#REF!,#REF!,#REF!,#REF!,#REF!</definedName>
    <definedName name="__APW_RESTORE_DATA1721__" hidden="1">#REF!,#REF!,#REF!,#REF!,#REF!,#REF!,#REF!,#REF!,#REF!,#REF!,#REF!,#REF!,#REF!,#REF!,#REF!</definedName>
    <definedName name="__APW_RESTORE_DATA1722__" hidden="1">#REF!,#REF!,#REF!,#REF!,#REF!,#REF!,#REF!,#REF!,#REF!,#REF!,#REF!,#REF!,#REF!,#REF!,#REF!</definedName>
    <definedName name="__APW_RESTORE_DATA1723__" hidden="1">#REF!,#REF!,#REF!,#REF!,#REF!,#REF!,#REF!,#REF!,#REF!,#REF!,#REF!,#REF!,#REF!,#REF!,#REF!</definedName>
    <definedName name="__APW_RESTORE_DATA1724__" hidden="1">#REF!,#REF!,#REF!,#REF!,#REF!,#REF!,#REF!,#REF!,#REF!,#REF!,#REF!,#REF!,#REF!,#REF!,#REF!</definedName>
    <definedName name="__APW_RESTORE_DATA1725__" hidden="1">#REF!,#REF!,#REF!,#REF!,#REF!,#REF!,#REF!,#REF!,#REF!,#REF!,#REF!,#REF!,#REF!,#REF!,#REF!</definedName>
    <definedName name="__APW_RESTORE_DATA1726__" hidden="1">#REF!,#REF!,#REF!,#REF!,#REF!,#REF!</definedName>
    <definedName name="__APW_RESTORE_DATA1727__" hidden="1">#REF!</definedName>
    <definedName name="__APW_RESTORE_DATA1728__" hidden="1">#REF!</definedName>
    <definedName name="__APW_RESTORE_DATA173__" hidden="1">#REF!,#REF!</definedName>
    <definedName name="__APW_RESTORE_DATA1730__" hidden="1">#REF!</definedName>
    <definedName name="__APW_RESTORE_DATA1731__" hidden="1">#REF!,#REF!,#REF!,#REF!,#REF!,#REF!,#REF!,#REF!,#REF!,#REF!,#REF!,#REF!,#REF!,#REF!,#REF!,#REF!</definedName>
    <definedName name="__APW_RESTORE_DATA1732__" hidden="1">#REF!,#REF!,#REF!,#REF!,#REF!,#REF!,#REF!,#REF!,#REF!,#REF!,#REF!,#REF!,#REF!,#REF!,#REF!,#REF!</definedName>
    <definedName name="__APW_RESTORE_DATA1733__" hidden="1">#REF!,#REF!,#REF!,#REF!,#REF!,#REF!,#REF!,#REF!,#REF!,#REF!,#REF!,#REF!,#REF!,#REF!,#REF!,#REF!</definedName>
    <definedName name="__APW_RESTORE_DATA1734__" hidden="1">#REF!,#REF!,#REF!,#REF!,#REF!,#REF!,#REF!,#REF!,#REF!,#REF!,#REF!,#REF!,#REF!,#REF!,#REF!,#REF!</definedName>
    <definedName name="__APW_RESTORE_DATA1735__" hidden="1">#REF!,#REF!,#REF!,#REF!,#REF!,#REF!,#REF!,#REF!,#REF!,#REF!,#REF!,#REF!,#REF!,#REF!,#REF!,#REF!</definedName>
    <definedName name="__APW_RESTORE_DATA1736__" hidden="1">#REF!,#REF!,#REF!,#REF!,#REF!,#REF!,#REF!,#REF!,#REF!,#REF!,#REF!,#REF!,#REF!,#REF!,#REF!,#REF!</definedName>
    <definedName name="__APW_RESTORE_DATA1737__" hidden="1">#REF!,#REF!,#REF!,#REF!,#REF!,#REF!,#REF!,#REF!,#REF!,#REF!,#REF!,#REF!,#REF!,#REF!,#REF!</definedName>
    <definedName name="__APW_RESTORE_DATA1738__" hidden="1">#REF!,#REF!,#REF!,#REF!,#REF!,#REF!,#REF!,#REF!,#REF!,#REF!,#REF!,#REF!,#REF!,#REF!,#REF!</definedName>
    <definedName name="__APW_RESTORE_DATA1739__" hidden="1">#REF!,#REF!,#REF!,#REF!,#REF!,#REF!,#REF!,#REF!,#REF!,#REF!,#REF!,#REF!,#REF!,#REF!,#REF!</definedName>
    <definedName name="__APW_RESTORE_DATA174__" hidden="1">#REF!,#REF!,#REF!,#REF!,#REF!,#REF!,#REF!,#REF!,#REF!,#REF!,#REF!,#REF!,#REF!,#REF!,#REF!</definedName>
    <definedName name="__APW_RESTORE_DATA1740__" hidden="1">#REF!,#REF!,#REF!,#REF!,#REF!,#REF!,#REF!,#REF!,#REF!,#REF!,#REF!,#REF!,#REF!,#REF!,#REF!</definedName>
    <definedName name="__APW_RESTORE_DATA1741__" hidden="1">#REF!,#REF!,#REF!,#REF!,#REF!,#REF!,#REF!,#REF!,#REF!,#REF!,#REF!,#REF!,#REF!,#REF!,#REF!</definedName>
    <definedName name="__APW_RESTORE_DATA1742__" hidden="1">#REF!,#REF!,#REF!,#REF!,#REF!,#REF!,#REF!,#REF!,#REF!,#REF!,#REF!,#REF!,#REF!,#REF!,#REF!</definedName>
    <definedName name="__APW_RESTORE_DATA1743__" hidden="1">#REF!,#REF!,#REF!,#REF!,#REF!,#REF!,#REF!,#REF!,#REF!,#REF!,#REF!,#REF!,#REF!,#REF!,#REF!</definedName>
    <definedName name="__APW_RESTORE_DATA1744__" hidden="1">#REF!,#REF!,#REF!,#REF!,#REF!,#REF!,#REF!,#REF!,#REF!,#REF!,#REF!,#REF!,#REF!,#REF!,#REF!</definedName>
    <definedName name="__APW_RESTORE_DATA1745__" hidden="1">#REF!,#REF!,#REF!,#REF!,#REF!,#REF!,#REF!,#REF!,#REF!,#REF!,#REF!,#REF!,#REF!,#REF!,#REF!</definedName>
    <definedName name="__APW_RESTORE_DATA1746__" hidden="1">#REF!,#REF!,#REF!,#REF!,#REF!,#REF!,#REF!,#REF!,#REF!,#REF!,#REF!,#REF!,#REF!,#REF!,#REF!</definedName>
    <definedName name="__APW_RESTORE_DATA1747__" hidden="1">#REF!,#REF!,#REF!,#REF!,#REF!,#REF!,#REF!,#REF!,#REF!,#REF!,#REF!,#REF!,#REF!,#REF!,#REF!</definedName>
    <definedName name="__APW_RESTORE_DATA1748__" hidden="1">#REF!,#REF!,#REF!,#REF!,#REF!,#REF!,#REF!,#REF!,#REF!,#REF!,#REF!,#REF!,#REF!,#REF!,#REF!</definedName>
    <definedName name="__APW_RESTORE_DATA1749__" hidden="1">#REF!,#REF!,#REF!,#REF!,#REF!,#REF!,#REF!,#REF!,#REF!,#REF!,#REF!,#REF!,#REF!,#REF!,#REF!</definedName>
    <definedName name="__APW_RESTORE_DATA175__" hidden="1">#REF!,#REF!,#REF!,#REF!,#REF!,#REF!,#REF!,#REF!,#REF!,#REF!,#REF!,#REF!,#REF!,#REF!,#REF!</definedName>
    <definedName name="__APW_RESTORE_DATA1750__" hidden="1">#REF!,#REF!,#REF!,#REF!,#REF!,#REF!,#REF!,#REF!,#REF!,#REF!,#REF!,#REF!,#REF!,#REF!,#REF!</definedName>
    <definedName name="__APW_RESTORE_DATA1751__" hidden="1">#REF!,#REF!,#REF!,#REF!,#REF!,#REF!,#REF!,#REF!,#REF!,#REF!,#REF!,#REF!,#REF!,#REF!,#REF!</definedName>
    <definedName name="__APW_RESTORE_DATA1752__" hidden="1">#REF!,#REF!,#REF!,#REF!,#REF!,#REF!,#REF!,#REF!,#REF!,#REF!,#REF!,#REF!,#REF!,#REF!,#REF!</definedName>
    <definedName name="__APW_RESTORE_DATA1753__" hidden="1">#REF!,#REF!,#REF!,#REF!,#REF!,#REF!,#REF!,#REF!,#REF!,#REF!,#REF!,#REF!,#REF!,#REF!,#REF!</definedName>
    <definedName name="__APW_RESTORE_DATA1754__" hidden="1">#REF!,#REF!,#REF!,#REF!,#REF!,#REF!,#REF!,#REF!,#REF!,#REF!,#REF!,#REF!,#REF!,#REF!,#REF!</definedName>
    <definedName name="__APW_RESTORE_DATA1755__" hidden="1">#REF!,#REF!,#REF!,#REF!,#REF!,#REF!,#REF!,#REF!,#REF!,#REF!,#REF!,#REF!,#REF!,#REF!,#REF!</definedName>
    <definedName name="__APW_RESTORE_DATA1756__" hidden="1">#REF!,#REF!,#REF!,#REF!,#REF!,#REF!,#REF!,#REF!,#REF!,#REF!,#REF!,#REF!,#REF!,#REF!,#REF!</definedName>
    <definedName name="__APW_RESTORE_DATA1757__" hidden="1">#REF!,#REF!,#REF!,#REF!,#REF!,#REF!,#REF!,#REF!,#REF!,#REF!,#REF!,#REF!,#REF!,#REF!,#REF!</definedName>
    <definedName name="__APW_RESTORE_DATA1758__" hidden="1">#REF!,#REF!,#REF!,#REF!,#REF!,#REF!,#REF!,#REF!,#REF!,#REF!,#REF!,#REF!,#REF!,#REF!,#REF!</definedName>
    <definedName name="__APW_RESTORE_DATA1759__" hidden="1">#REF!,#REF!,#REF!,#REF!,#REF!,#REF!,#REF!,#REF!,#REF!,#REF!,#REF!,#REF!,#REF!,#REF!,#REF!</definedName>
    <definedName name="__APW_RESTORE_DATA176__" hidden="1">#REF!,#REF!,#REF!,#REF!,#REF!,#REF!,#REF!,#REF!,#REF!,#REF!,#REF!,#REF!,#REF!,#REF!,#REF!</definedName>
    <definedName name="__APW_RESTORE_DATA1760__" hidden="1">#REF!,#REF!,#REF!,#REF!,#REF!,#REF!,#REF!,#REF!,#REF!,#REF!,#REF!,#REF!,#REF!,#REF!,#REF!</definedName>
    <definedName name="__APW_RESTORE_DATA1761__" hidden="1">#REF!,#REF!,#REF!,#REF!,#REF!,#REF!,#REF!,#REF!,#REF!,#REF!,#REF!,#REF!,#REF!,#REF!,#REF!</definedName>
    <definedName name="__APW_RESTORE_DATA1762__" hidden="1">#REF!,#REF!,#REF!,#REF!,#REF!,#REF!,#REF!,#REF!,#REF!,#REF!,#REF!,#REF!,#REF!,#REF!,#REF!</definedName>
    <definedName name="__APW_RESTORE_DATA1763__" hidden="1">#REF!,#REF!,#REF!,#REF!,#REF!,#REF!,#REF!,#REF!,#REF!,#REF!,#REF!,#REF!,#REF!,#REF!,#REF!</definedName>
    <definedName name="__APW_RESTORE_DATA1764__" hidden="1">#REF!,#REF!,#REF!,#REF!,#REF!,#REF!,#REF!,#REF!,#REF!,#REF!,#REF!,#REF!,#REF!,#REF!,#REF!</definedName>
    <definedName name="__APW_RESTORE_DATA1765__" hidden="1">#REF!,#REF!,#REF!,#REF!,#REF!,#REF!</definedName>
    <definedName name="__APW_RESTORE_DATA1766__" hidden="1">#REF!,#REF!,#REF!,#REF!,#REF!,#REF!,#REF!,#REF!,#REF!,#REF!,#REF!,#REF!,#REF!,#REF!,#REF!,#REF!</definedName>
    <definedName name="__APW_RESTORE_DATA1767__" hidden="1">#REF!,#REF!,#REF!,#REF!,#REF!,#REF!,#REF!,#REF!,#REF!,#REF!,#REF!,#REF!,#REF!,#REF!,#REF!,#REF!</definedName>
    <definedName name="__APW_RESTORE_DATA1768__" hidden="1">#REF!,#REF!,#REF!,#REF!,#REF!,#REF!,#REF!,#REF!,#REF!,#REF!,#REF!,#REF!,#REF!,#REF!,#REF!,#REF!</definedName>
    <definedName name="__APW_RESTORE_DATA1769__" hidden="1">#REF!,#REF!,#REF!,#REF!,#REF!,#REF!,#REF!,#REF!,#REF!,#REF!,#REF!,#REF!,#REF!,#REF!,#REF!,#REF!</definedName>
    <definedName name="__APW_RESTORE_DATA177__" hidden="1">#REF!,#REF!,#REF!,#REF!,#REF!,#REF!,#REF!,#REF!,#REF!,#REF!,#REF!,#REF!,#REF!,#REF!,#REF!</definedName>
    <definedName name="__APW_RESTORE_DATA1770__" hidden="1">#REF!,#REF!,#REF!,#REF!,#REF!,#REF!,#REF!,#REF!,#REF!,#REF!,#REF!,#REF!,#REF!,#REF!,#REF!,#REF!</definedName>
    <definedName name="__APW_RESTORE_DATA1771__" hidden="1">#REF!,#REF!,#REF!,#REF!,#REF!,#REF!,#REF!,#REF!,#REF!,#REF!,#REF!,#REF!,#REF!,#REF!,#REF!,#REF!</definedName>
    <definedName name="__APW_RESTORE_DATA1772__" hidden="1">#REF!,#REF!,#REF!,#REF!,#REF!,#REF!,#REF!,#REF!,#REF!,#REF!,#REF!,#REF!,#REF!,#REF!,#REF!</definedName>
    <definedName name="__APW_RESTORE_DATA1773__" hidden="1">#REF!,#REF!,#REF!,#REF!,#REF!,#REF!,#REF!,#REF!,#REF!,#REF!,#REF!,#REF!,#REF!,#REF!,#REF!</definedName>
    <definedName name="__APW_RESTORE_DATA1774__" hidden="1">#REF!,#REF!,#REF!,#REF!,#REF!,#REF!,#REF!,#REF!,#REF!,#REF!,#REF!,#REF!,#REF!,#REF!,#REF!</definedName>
    <definedName name="__APW_RESTORE_DATA1775__" hidden="1">#REF!,#REF!,#REF!,#REF!,#REF!,#REF!,#REF!,#REF!,#REF!,#REF!,#REF!,#REF!,#REF!,#REF!,#REF!</definedName>
    <definedName name="__APW_RESTORE_DATA1776__" hidden="1">#REF!,#REF!,#REF!,#REF!,#REF!,#REF!,#REF!,#REF!,#REF!,#REF!,#REF!,#REF!,#REF!,#REF!,#REF!</definedName>
    <definedName name="__APW_RESTORE_DATA1777__" hidden="1">#REF!,#REF!,#REF!,#REF!,#REF!,#REF!,#REF!,#REF!,#REF!,#REF!,#REF!,#REF!,#REF!,#REF!,#REF!</definedName>
    <definedName name="__APW_RESTORE_DATA1778__" hidden="1">#REF!,#REF!,#REF!,#REF!,#REF!,#REF!,#REF!,#REF!,#REF!,#REF!,#REF!,#REF!,#REF!,#REF!,#REF!</definedName>
    <definedName name="__APW_RESTORE_DATA1779__" hidden="1">#REF!,#REF!,#REF!,#REF!,#REF!,#REF!,#REF!,#REF!,#REF!,#REF!,#REF!,#REF!,#REF!,#REF!,#REF!</definedName>
    <definedName name="__APW_RESTORE_DATA178__" hidden="1">#REF!,#REF!</definedName>
    <definedName name="__APW_RESTORE_DATA1780__" hidden="1">#REF!,#REF!,#REF!,#REF!,#REF!,#REF!,#REF!,#REF!,#REF!,#REF!,#REF!,#REF!,#REF!,#REF!,#REF!</definedName>
    <definedName name="__APW_RESTORE_DATA1781__" hidden="1">#REF!,#REF!,#REF!,#REF!,#REF!,#REF!,#REF!,#REF!,#REF!,#REF!,#REF!,#REF!,#REF!,#REF!,#REF!</definedName>
    <definedName name="__APW_RESTORE_DATA1782__" hidden="1">#REF!,#REF!,#REF!,#REF!,#REF!,#REF!,#REF!,#REF!,#REF!,#REF!,#REF!,#REF!,#REF!,#REF!,#REF!</definedName>
    <definedName name="__APW_RESTORE_DATA1783__" hidden="1">#REF!,#REF!,#REF!,#REF!,#REF!,#REF!,#REF!,#REF!,#REF!,#REF!,#REF!,#REF!,#REF!,#REF!,#REF!</definedName>
    <definedName name="__APW_RESTORE_DATA1784__" hidden="1">#REF!,#REF!,#REF!,#REF!,#REF!,#REF!,#REF!,#REF!,#REF!,#REF!,#REF!,#REF!,#REF!,#REF!,#REF!</definedName>
    <definedName name="__APW_RESTORE_DATA1785__" hidden="1">#REF!,#REF!,#REF!,#REF!,#REF!,#REF!,#REF!,#REF!,#REF!,#REF!,#REF!,#REF!,#REF!,#REF!,#REF!</definedName>
    <definedName name="__APW_RESTORE_DATA1786__" hidden="1">#REF!,#REF!,#REF!,#REF!,#REF!,#REF!,#REF!,#REF!,#REF!,#REF!,#REF!,#REF!,#REF!,#REF!,#REF!</definedName>
    <definedName name="__APW_RESTORE_DATA1787__" hidden="1">#REF!,#REF!,#REF!,#REF!,#REF!,#REF!,#REF!,#REF!,#REF!,#REF!,#REF!,#REF!,#REF!,#REF!,#REF!</definedName>
    <definedName name="__APW_RESTORE_DATA1788__" hidden="1">#REF!,#REF!,#REF!,#REF!,#REF!,#REF!,#REF!,#REF!,#REF!,#REF!,#REF!,#REF!,#REF!,#REF!,#REF!</definedName>
    <definedName name="__APW_RESTORE_DATA1789__" hidden="1">#REF!,#REF!,#REF!,#REF!,#REF!,#REF!,#REF!,#REF!,#REF!,#REF!,#REF!,#REF!,#REF!,#REF!,#REF!</definedName>
    <definedName name="__APW_RESTORE_DATA179__" hidden="1">#REF!,#REF!,#REF!,#REF!,#REF!,#REF!,#REF!,#REF!,#REF!,#REF!,#REF!,#REF!,#REF!,#REF!,#REF!</definedName>
    <definedName name="__APW_RESTORE_DATA1790__" hidden="1">#REF!,#REF!,#REF!,#REF!,#REF!,#REF!,#REF!,#REF!,#REF!,#REF!,#REF!,#REF!,#REF!,#REF!,#REF!</definedName>
    <definedName name="__APW_RESTORE_DATA1791__" hidden="1">#REF!,#REF!,#REF!,#REF!,#REF!,#REF!,#REF!,#REF!,#REF!,#REF!,#REF!,#REF!,#REF!,#REF!,#REF!</definedName>
    <definedName name="__APW_RESTORE_DATA1792__" hidden="1">#REF!,#REF!,#REF!,#REF!,#REF!,#REF!,#REF!,#REF!,#REF!,#REF!,#REF!,#REF!,#REF!,#REF!,#REF!</definedName>
    <definedName name="__APW_RESTORE_DATA1793__" hidden="1">#REF!,#REF!,#REF!,#REF!,#REF!,#REF!,#REF!,#REF!,#REF!,#REF!,#REF!,#REF!,#REF!,#REF!,#REF!</definedName>
    <definedName name="__APW_RESTORE_DATA1794__" hidden="1">#REF!,#REF!,#REF!,#REF!,#REF!,#REF!,#REF!,#REF!,#REF!,#REF!,#REF!,#REF!,#REF!,#REF!,#REF!</definedName>
    <definedName name="__APW_RESTORE_DATA1795__" hidden="1">#REF!,#REF!,#REF!,#REF!,#REF!,#REF!,#REF!,#REF!,#REF!,#REF!,#REF!,#REF!,#REF!,#REF!,#REF!</definedName>
    <definedName name="__APW_RESTORE_DATA1796__" hidden="1">#REF!,#REF!,#REF!,#REF!,#REF!,#REF!,#REF!,#REF!,#REF!,#REF!,#REF!,#REF!,#REF!,#REF!,#REF!</definedName>
    <definedName name="__APW_RESTORE_DATA1797__" hidden="1">#REF!,#REF!,#REF!,#REF!,#REF!,#REF!,#REF!,#REF!,#REF!,#REF!,#REF!,#REF!,#REF!,#REF!,#REF!</definedName>
    <definedName name="__APW_RESTORE_DATA1798__" hidden="1">#REF!,#REF!,#REF!,#REF!,#REF!,#REF!,#REF!,#REF!,#REF!,#REF!,#REF!,#REF!,#REF!,#REF!,#REF!</definedName>
    <definedName name="__APW_RESTORE_DATA1799__" hidden="1">#REF!,#REF!,#REF!,#REF!,#REF!,#REF!,#REF!,#REF!,#REF!,#REF!,#REF!,#REF!,#REF!,#REF!,#REF!</definedName>
    <definedName name="__APW_RESTORE_DATA18__" hidden="1">#REF!,#REF!,#REF!,#REF!,#REF!,#REF!,#REF!,#REF!,#REF!,#REF!,#REF!,#REF!,#REF!,#REF!,#REF!,#REF!</definedName>
    <definedName name="__APW_RESTORE_DATA180__" hidden="1">#REF!,#REF!,#REF!,#REF!,#REF!,#REF!,#REF!,#REF!,#REF!,#REF!,#REF!,#REF!,#REF!,#REF!,#REF!</definedName>
    <definedName name="__APW_RESTORE_DATA1800__" hidden="1">#REF!,#REF!,#REF!,#REF!,#REF!,#REF!</definedName>
    <definedName name="__APW_RESTORE_DATA1801__" hidden="1">#REF!,#REF!,#REF!,#REF!,#REF!,#REF!,#REF!,#REF!,#REF!,#REF!,#REF!,#REF!,#REF!,#REF!,#REF!,#REF!</definedName>
    <definedName name="__APW_RESTORE_DATA1802__" hidden="1">#REF!,#REF!,#REF!,#REF!,#REF!,#REF!,#REF!,#REF!,#REF!,#REF!,#REF!,#REF!,#REF!,#REF!,#REF!,#REF!</definedName>
    <definedName name="__APW_RESTORE_DATA1803__" hidden="1">#REF!,#REF!,#REF!,#REF!,#REF!,#REF!,#REF!,#REF!,#REF!,#REF!,#REF!,#REF!,#REF!,#REF!,#REF!,#REF!</definedName>
    <definedName name="__APW_RESTORE_DATA1804__" hidden="1">#REF!,#REF!,#REF!,#REF!,#REF!,#REF!,#REF!,#REF!,#REF!,#REF!,#REF!,#REF!,#REF!,#REF!,#REF!,#REF!</definedName>
    <definedName name="__APW_RESTORE_DATA1805__" hidden="1">#REF!,#REF!,#REF!,#REF!,#REF!,#REF!,#REF!,#REF!,#REF!,#REF!,#REF!,#REF!,#REF!,#REF!,#REF!,#REF!</definedName>
    <definedName name="__APW_RESTORE_DATA1806__" hidden="1">#REF!,#REF!,#REF!,#REF!,#REF!,#REF!,#REF!,#REF!,#REF!,#REF!,#REF!,#REF!,#REF!,#REF!,#REF!,#REF!</definedName>
    <definedName name="__APW_RESTORE_DATA1807__" hidden="1">#REF!,#REF!,#REF!,#REF!,#REF!,#REF!,#REF!,#REF!,#REF!,#REF!,#REF!,#REF!,#REF!,#REF!,#REF!</definedName>
    <definedName name="__APW_RESTORE_DATA1808__" hidden="1">#REF!,#REF!,#REF!,#REF!,#REF!,#REF!,#REF!,#REF!,#REF!,#REF!,#REF!,#REF!,#REF!,#REF!,#REF!</definedName>
    <definedName name="__APW_RESTORE_DATA1809__" hidden="1">#REF!,#REF!,#REF!,#REF!,#REF!,#REF!,#REF!,#REF!,#REF!,#REF!,#REF!,#REF!,#REF!,#REF!,#REF!</definedName>
    <definedName name="__APW_RESTORE_DATA181__" hidden="1">#REF!,#REF!,#REF!,#REF!,#REF!,#REF!,#REF!,#REF!</definedName>
    <definedName name="__APW_RESTORE_DATA1810__" hidden="1">#REF!,#REF!,#REF!,#REF!,#REF!,#REF!,#REF!,#REF!,#REF!,#REF!,#REF!,#REF!,#REF!,#REF!,#REF!</definedName>
    <definedName name="__APW_RESTORE_DATA1811__" hidden="1">#REF!,#REF!,#REF!,#REF!,#REF!,#REF!,#REF!,#REF!,#REF!,#REF!,#REF!,#REF!,#REF!,#REF!,#REF!</definedName>
    <definedName name="__APW_RESTORE_DATA1812__" hidden="1">#REF!,#REF!,#REF!,#REF!,#REF!,#REF!,#REF!,#REF!,#REF!,#REF!,#REF!,#REF!,#REF!,#REF!,#REF!</definedName>
    <definedName name="__APW_RESTORE_DATA1813__" hidden="1">#REF!,#REF!,#REF!,#REF!,#REF!,#REF!,#REF!,#REF!,#REF!,#REF!,#REF!,#REF!,#REF!,#REF!,#REF!</definedName>
    <definedName name="__APW_RESTORE_DATA1814__" hidden="1">#REF!,#REF!,#REF!,#REF!,#REF!,#REF!,#REF!,#REF!,#REF!,#REF!,#REF!,#REF!,#REF!,#REF!,#REF!</definedName>
    <definedName name="__APW_RESTORE_DATA1815__" hidden="1">#REF!,#REF!,#REF!,#REF!,#REF!,#REF!,#REF!,#REF!,#REF!,#REF!,#REF!,#REF!,#REF!,#REF!,#REF!</definedName>
    <definedName name="__APW_RESTORE_DATA1816__" hidden="1">#REF!,#REF!,#REF!,#REF!,#REF!,#REF!,#REF!,#REF!,#REF!,#REF!,#REF!,#REF!,#REF!,#REF!,#REF!</definedName>
    <definedName name="__APW_RESTORE_DATA1817__" hidden="1">#REF!,#REF!,#REF!,#REF!,#REF!,#REF!,#REF!,#REF!,#REF!,#REF!,#REF!,#REF!,#REF!,#REF!,#REF!</definedName>
    <definedName name="__APW_RESTORE_DATA1818__" hidden="1">#REF!,#REF!,#REF!,#REF!,#REF!,#REF!,#REF!,#REF!,#REF!,#REF!,#REF!,#REF!,#REF!,#REF!,#REF!</definedName>
    <definedName name="__APW_RESTORE_DATA1819__" hidden="1">#REF!,#REF!,#REF!,#REF!,#REF!,#REF!,#REF!,#REF!,#REF!,#REF!,#REF!,#REF!,#REF!,#REF!,#REF!</definedName>
    <definedName name="__APW_RESTORE_DATA182__" hidden="1">#REF!,#REF!,#REF!,#REF!,#REF!,#REF!,#REF!,#REF!,#REF!,#REF!,#REF!,#REF!,#REF!,#REF!,#REF!,#REF!</definedName>
    <definedName name="__APW_RESTORE_DATA1820__" hidden="1">#REF!,#REF!,#REF!,#REF!,#REF!,#REF!,#REF!,#REF!,#REF!,#REF!,#REF!,#REF!,#REF!,#REF!,#REF!</definedName>
    <definedName name="__APW_RESTORE_DATA1821__" hidden="1">#REF!,#REF!,#REF!,#REF!,#REF!,#REF!,#REF!,#REF!,#REF!,#REF!,#REF!,#REF!,#REF!,#REF!,#REF!</definedName>
    <definedName name="__APW_RESTORE_DATA1822__" hidden="1">#REF!,#REF!,#REF!,#REF!,#REF!,#REF!,#REF!,#REF!,#REF!,#REF!,#REF!,#REF!,#REF!,#REF!,#REF!</definedName>
    <definedName name="__APW_RESTORE_DATA1823__" hidden="1">#REF!,#REF!,#REF!,#REF!,#REF!,#REF!,#REF!,#REF!,#REF!,#REF!,#REF!,#REF!,#REF!,#REF!,#REF!</definedName>
    <definedName name="__APW_RESTORE_DATA1824__" hidden="1">#REF!,#REF!,#REF!,#REF!,#REF!,#REF!,#REF!,#REF!,#REF!,#REF!,#REF!,#REF!,#REF!,#REF!,#REF!</definedName>
    <definedName name="__APW_RESTORE_DATA1825__" hidden="1">#REF!,#REF!,#REF!,#REF!,#REF!,#REF!,#REF!,#REF!,#REF!,#REF!,#REF!,#REF!,#REF!,#REF!,#REF!</definedName>
    <definedName name="__APW_RESTORE_DATA1826__" hidden="1">#REF!,#REF!,#REF!,#REF!,#REF!,#REF!,#REF!,#REF!,#REF!,#REF!,#REF!,#REF!,#REF!,#REF!,#REF!</definedName>
    <definedName name="__APW_RESTORE_DATA1827__" hidden="1">#REF!,#REF!,#REF!,#REF!,#REF!,#REF!,#REF!,#REF!,#REF!,#REF!,#REF!,#REF!,#REF!,#REF!,#REF!</definedName>
    <definedName name="__APW_RESTORE_DATA1828__" hidden="1">#REF!,#REF!,#REF!,#REF!,#REF!,#REF!,#REF!,#REF!,#REF!,#REF!,#REF!,#REF!,#REF!,#REF!,#REF!</definedName>
    <definedName name="__APW_RESTORE_DATA1829__" hidden="1">#REF!,#REF!,#REF!,#REF!,#REF!,#REF!,#REF!,#REF!,#REF!,#REF!,#REF!,#REF!,#REF!,#REF!,#REF!</definedName>
    <definedName name="__APW_RESTORE_DATA183__" hidden="1">#REF!,#REF!,#REF!,#REF!,#REF!,#REF!,#REF!,#REF!,#REF!,#REF!,#REF!,#REF!,#REF!,#REF!,#REF!,#REF!</definedName>
    <definedName name="__APW_RESTORE_DATA1830__" hidden="1">#REF!,#REF!,#REF!,#REF!,#REF!,#REF!,#REF!,#REF!,#REF!,#REF!,#REF!,#REF!,#REF!,#REF!,#REF!</definedName>
    <definedName name="__APW_RESTORE_DATA1831__" hidden="1">#REF!,#REF!,#REF!,#REF!,#REF!,#REF!,#REF!,#REF!,#REF!,#REF!,#REF!,#REF!,#REF!,#REF!,#REF!</definedName>
    <definedName name="__APW_RESTORE_DATA1832__" hidden="1">#REF!,#REF!,#REF!,#REF!,#REF!,#REF!,#REF!,#REF!,#REF!,#REF!,#REF!,#REF!,#REF!,#REF!,#REF!</definedName>
    <definedName name="__APW_RESTORE_DATA1833__" hidden="1">#REF!,#REF!,#REF!,#REF!,#REF!,#REF!,#REF!,#REF!,#REF!,#REF!,#REF!,#REF!,#REF!,#REF!,#REF!</definedName>
    <definedName name="__APW_RESTORE_DATA1834__" hidden="1">#REF!,#REF!,#REF!,#REF!,#REF!,#REF!,#REF!,#REF!,#REF!,#REF!,#REF!,#REF!,#REF!,#REF!,#REF!</definedName>
    <definedName name="__APW_RESTORE_DATA1835__" hidden="1">#REF!,#REF!,#REF!,#REF!,#REF!,#REF!</definedName>
    <definedName name="__APW_RESTORE_DATA1836__" hidden="1">#REF!,#REF!,#REF!,#REF!,#REF!,#REF!,#REF!,#REF!,#REF!,#REF!,#REF!,#REF!,#REF!,#REF!,#REF!,#REF!</definedName>
    <definedName name="__APW_RESTORE_DATA1837__" hidden="1">#REF!,#REF!,#REF!,#REF!,#REF!,#REF!,#REF!,#REF!,#REF!,#REF!,#REF!,#REF!,#REF!,#REF!,#REF!,#REF!</definedName>
    <definedName name="__APW_RESTORE_DATA1838__" hidden="1">#REF!,#REF!,#REF!,#REF!,#REF!,#REF!,#REF!,#REF!,#REF!,#REF!,#REF!,#REF!,#REF!,#REF!,#REF!,#REF!</definedName>
    <definedName name="__APW_RESTORE_DATA1839__" hidden="1">#REF!,#REF!,#REF!,#REF!,#REF!,#REF!,#REF!,#REF!,#REF!,#REF!,#REF!,#REF!,#REF!,#REF!,#REF!,#REF!</definedName>
    <definedName name="__APW_RESTORE_DATA184__" hidden="1">#REF!,#REF!,#REF!,#REF!,#REF!,#REF!,#REF!,#REF!,#REF!,#REF!,#REF!,#REF!,#REF!,#REF!,#REF!,#REF!</definedName>
    <definedName name="__APW_RESTORE_DATA1840__" hidden="1">#REF!,#REF!,#REF!,#REF!,#REF!,#REF!,#REF!,#REF!,#REF!,#REF!,#REF!,#REF!,#REF!,#REF!,#REF!,#REF!</definedName>
    <definedName name="__APW_RESTORE_DATA1841__" hidden="1">#REF!,#REF!,#REF!,#REF!,#REF!,#REF!,#REF!,#REF!,#REF!,#REF!,#REF!,#REF!,#REF!,#REF!,#REF!,#REF!</definedName>
    <definedName name="__APW_RESTORE_DATA1842__" hidden="1">#REF!,#REF!,#REF!,#REF!,#REF!,#REF!,#REF!,#REF!,#REF!,#REF!,#REF!,#REF!,#REF!,#REF!,#REF!</definedName>
    <definedName name="__APW_RESTORE_DATA1843__" hidden="1">#REF!,#REF!,#REF!,#REF!,#REF!,#REF!,#REF!,#REF!,#REF!,#REF!,#REF!,#REF!,#REF!,#REF!,#REF!</definedName>
    <definedName name="__APW_RESTORE_DATA1844__" hidden="1">#REF!,#REF!,#REF!,#REF!,#REF!,#REF!,#REF!,#REF!,#REF!,#REF!,#REF!,#REF!,#REF!,#REF!,#REF!</definedName>
    <definedName name="__APW_RESTORE_DATA1845__" hidden="1">#REF!,#REF!,#REF!,#REF!,#REF!,#REF!,#REF!,#REF!,#REF!,#REF!,#REF!,#REF!,#REF!,#REF!,#REF!</definedName>
    <definedName name="__APW_RESTORE_DATA1846__" hidden="1">#REF!,#REF!,#REF!,#REF!,#REF!,#REF!,#REF!,#REF!,#REF!,#REF!,#REF!,#REF!,#REF!,#REF!,#REF!</definedName>
    <definedName name="__APW_RESTORE_DATA1847__" hidden="1">#REF!,#REF!,#REF!,#REF!,#REF!,#REF!,#REF!,#REF!,#REF!,#REF!,#REF!,#REF!,#REF!,#REF!,#REF!</definedName>
    <definedName name="__APW_RESTORE_DATA1848__" hidden="1">#REF!,#REF!,#REF!,#REF!,#REF!,#REF!,#REF!,#REF!,#REF!,#REF!,#REF!,#REF!,#REF!,#REF!,#REF!</definedName>
    <definedName name="__APW_RESTORE_DATA1849__" hidden="1">#REF!,#REF!,#REF!,#REF!,#REF!,#REF!,#REF!,#REF!,#REF!,#REF!,#REF!,#REF!,#REF!,#REF!,#REF!</definedName>
    <definedName name="__APW_RESTORE_DATA185__" hidden="1">#REF!,#REF!,#REF!,#REF!,#REF!,#REF!,#REF!,#REF!,#REF!,#REF!,#REF!,#REF!,#REF!,#REF!,#REF!,#REF!</definedName>
    <definedName name="__APW_RESTORE_DATA1850__" hidden="1">#REF!,#REF!,#REF!,#REF!,#REF!,#REF!,#REF!,#REF!,#REF!,#REF!,#REF!,#REF!,#REF!,#REF!,#REF!</definedName>
    <definedName name="__APW_RESTORE_DATA1851__" hidden="1">#REF!,#REF!,#REF!,#REF!,#REF!,#REF!,#REF!,#REF!,#REF!,#REF!,#REF!,#REF!,#REF!,#REF!,#REF!</definedName>
    <definedName name="__APW_RESTORE_DATA1852__" hidden="1">#REF!,#REF!,#REF!,#REF!,#REF!,#REF!,#REF!,#REF!,#REF!,#REF!,#REF!,#REF!,#REF!,#REF!,#REF!</definedName>
    <definedName name="__APW_RESTORE_DATA1853__" hidden="1">#REF!,#REF!,#REF!,#REF!,#REF!,#REF!,#REF!,#REF!,#REF!,#REF!,#REF!,#REF!,#REF!,#REF!,#REF!</definedName>
    <definedName name="__APW_RESTORE_DATA1856__" hidden="1">#REF!,#REF!,#REF!,#REF!,#REF!,#REF!,#REF!,#REF!,#REF!,#REF!,#REF!,#REF!,#REF!,#REF!,#REF!</definedName>
    <definedName name="__APW_RESTORE_DATA1857__" hidden="1">#REF!,#REF!,#REF!,#REF!,#REF!,#REF!,#REF!,#REF!,#REF!,#REF!,#REF!,#REF!,#REF!,#REF!,#REF!</definedName>
    <definedName name="__APW_RESTORE_DATA1858__" hidden="1">#REF!,#REF!,#REF!,#REF!,#REF!,#REF!,#REF!,#REF!,#REF!,#REF!,#REF!,#REF!,#REF!,#REF!,#REF!</definedName>
    <definedName name="__APW_RESTORE_DATA1859__" hidden="1">#REF!,#REF!,#REF!,#REF!,#REF!,#REF!,#REF!,#REF!,#REF!,#REF!,#REF!,#REF!,#REF!,#REF!,#REF!</definedName>
    <definedName name="__APW_RESTORE_DATA186__" hidden="1">#REF!,#REF!,#REF!,#REF!,#REF!,#REF!,#REF!,#REF!,#REF!,#REF!,#REF!,#REF!,#REF!,#REF!,#REF!,#REF!</definedName>
    <definedName name="__APW_RESTORE_DATA1860__" hidden="1">#REF!,#REF!,#REF!,#REF!,#REF!,#REF!,#REF!,#REF!,#REF!,#REF!,#REF!,#REF!,#REF!,#REF!,#REF!</definedName>
    <definedName name="__APW_RESTORE_DATA1861__" hidden="1">#REF!,#REF!,#REF!,#REF!,#REF!,#REF!,#REF!,#REF!,#REF!,#REF!,#REF!,#REF!,#REF!,#REF!,#REF!</definedName>
    <definedName name="__APW_RESTORE_DATA1862__" hidden="1">#REF!,#REF!,#REF!,#REF!,#REF!,#REF!,#REF!,#REF!,#REF!,#REF!,#REF!,#REF!,#REF!,#REF!,#REF!</definedName>
    <definedName name="__APW_RESTORE_DATA1863__" hidden="1">#REF!,#REF!,#REF!,#REF!,#REF!,#REF!,#REF!,#REF!,#REF!,#REF!,#REF!,#REF!,#REF!,#REF!,#REF!</definedName>
    <definedName name="__APW_RESTORE_DATA1864__" hidden="1">#REF!,#REF!,#REF!,#REF!,#REF!,#REF!,#REF!,#REF!,#REF!,#REF!,#REF!,#REF!,#REF!,#REF!,#REF!</definedName>
    <definedName name="__APW_RESTORE_DATA1865__" hidden="1">#REF!,#REF!,#REF!,#REF!,#REF!,#REF!,#REF!,#REF!,#REF!,#REF!,#REF!,#REF!,#REF!,#REF!,#REF!</definedName>
    <definedName name="__APW_RESTORE_DATA1866__" hidden="1">#REF!,#REF!,#REF!,#REF!,#REF!,#REF!,#REF!,#REF!,#REF!,#REF!,#REF!,#REF!,#REF!,#REF!,#REF!</definedName>
    <definedName name="__APW_RESTORE_DATA1867__" hidden="1">#REF!,#REF!,#REF!,#REF!,#REF!,#REF!,#REF!,#REF!,#REF!,#REF!,#REF!,#REF!,#REF!,#REF!,#REF!</definedName>
    <definedName name="__APW_RESTORE_DATA1868__" hidden="1">#REF!,#REF!,#REF!,#REF!,#REF!,#REF!,#REF!,#REF!,#REF!,#REF!,#REF!,#REF!,#REF!,#REF!,#REF!</definedName>
    <definedName name="__APW_RESTORE_DATA1869__" hidden="1">#REF!,#REF!,#REF!,#REF!,#REF!,#REF!,#REF!,#REF!,#REF!,#REF!,#REF!,#REF!,#REF!,#REF!,#REF!</definedName>
    <definedName name="__APW_RESTORE_DATA187__" hidden="1">#REF!,#REF!,#REF!,#REF!,#REF!,#REF!,#REF!,#REF!,#REF!,#REF!,#REF!,#REF!,#REF!,#REF!,#REF!,#REF!</definedName>
    <definedName name="__APW_RESTORE_DATA1870__" hidden="1">#REF!,#REF!,#REF!,#REF!,#REF!,#REF!</definedName>
    <definedName name="__APW_RESTORE_DATA1871__" hidden="1">#REF!</definedName>
    <definedName name="__APW_RESTORE_DATA1872__" hidden="1">#REF!</definedName>
    <definedName name="__APW_RESTORE_DATA1874__" hidden="1">#REF!</definedName>
    <definedName name="__APW_RESTORE_DATA1875__" hidden="1">#REF!,#REF!,#REF!,#REF!,#REF!,#REF!,#REF!,#REF!,#REF!,#REF!,#REF!,#REF!,#REF!,#REF!,#REF!,#REF!</definedName>
    <definedName name="__APW_RESTORE_DATA1876__" hidden="1">#REF!,#REF!,#REF!,#REF!,#REF!,#REF!,#REF!,#REF!,#REF!,#REF!,#REF!,#REF!,#REF!,#REF!,#REF!,#REF!</definedName>
    <definedName name="__APW_RESTORE_DATA1877__" hidden="1">#REF!,#REF!,#REF!,#REF!,#REF!,#REF!,#REF!,#REF!,#REF!,#REF!,#REF!,#REF!,#REF!,#REF!,#REF!,#REF!</definedName>
    <definedName name="__APW_RESTORE_DATA1878__" hidden="1">#REF!,#REF!,#REF!,#REF!,#REF!,#REF!,#REF!,#REF!,#REF!,#REF!,#REF!,#REF!,#REF!,#REF!,#REF!,#REF!</definedName>
    <definedName name="__APW_RESTORE_DATA1879__" hidden="1">#REF!,#REF!,#REF!,#REF!,#REF!,#REF!,#REF!,#REF!,#REF!,#REF!,#REF!,#REF!,#REF!,#REF!,#REF!,#REF!</definedName>
    <definedName name="__APW_RESTORE_DATA188__" hidden="1">#REF!,#REF!,#REF!,#REF!,#REF!,#REF!,#REF!,#REF!,#REF!,#REF!,#REF!,#REF!,#REF!,#REF!,#REF!</definedName>
    <definedName name="__APW_RESTORE_DATA1880__" hidden="1">#REF!,#REF!,#REF!,#REF!,#REF!,#REF!,#REF!,#REF!,#REF!,#REF!,#REF!,#REF!,#REF!,#REF!,#REF!,#REF!</definedName>
    <definedName name="__APW_RESTORE_DATA1881__" hidden="1">#REF!,#REF!,#REF!,#REF!,#REF!,#REF!,#REF!,#REF!,#REF!,#REF!,#REF!,#REF!,#REF!,#REF!,#REF!</definedName>
    <definedName name="__APW_RESTORE_DATA1882__" hidden="1">#REF!,#REF!,#REF!,#REF!,#REF!,#REF!,#REF!,#REF!,#REF!,#REF!,#REF!,#REF!,#REF!,#REF!,#REF!</definedName>
    <definedName name="__APW_RESTORE_DATA1883__" hidden="1">#REF!,#REF!,#REF!,#REF!,#REF!,#REF!,#REF!,#REF!,#REF!,#REF!,#REF!,#REF!,#REF!,#REF!,#REF!</definedName>
    <definedName name="__APW_RESTORE_DATA1884__" hidden="1">#REF!,#REF!,#REF!,#REF!,#REF!,#REF!,#REF!,#REF!,#REF!,#REF!,#REF!,#REF!,#REF!,#REF!,#REF!</definedName>
    <definedName name="__APW_RESTORE_DATA1885__" hidden="1">#REF!,#REF!,#REF!,#REF!,#REF!,#REF!,#REF!,#REF!,#REF!,#REF!,#REF!,#REF!,#REF!,#REF!,#REF!</definedName>
    <definedName name="__APW_RESTORE_DATA1886__" hidden="1">#REF!,#REF!,#REF!,#REF!,#REF!,#REF!,#REF!,#REF!,#REF!,#REF!,#REF!,#REF!,#REF!,#REF!,#REF!</definedName>
    <definedName name="__APW_RESTORE_DATA1887__" hidden="1">#REF!,#REF!,#REF!,#REF!,#REF!,#REF!,#REF!,#REF!,#REF!,#REF!,#REF!,#REF!,#REF!,#REF!,#REF!</definedName>
    <definedName name="__APW_RESTORE_DATA1888__" hidden="1">#REF!,#REF!,#REF!,#REF!,#REF!,#REF!,#REF!,#REF!,#REF!,#REF!,#REF!,#REF!,#REF!,#REF!,#REF!</definedName>
    <definedName name="__APW_RESTORE_DATA1889__" hidden="1">#REF!,#REF!,#REF!,#REF!,#REF!,#REF!,#REF!,#REF!,#REF!,#REF!,#REF!,#REF!,#REF!,#REF!,#REF!</definedName>
    <definedName name="__APW_RESTORE_DATA189__" hidden="1">#REF!,#REF!,#REF!,#REF!,#REF!,#REF!,#REF!,#REF!,#REF!,#REF!,#REF!,#REF!,#REF!,#REF!,#REF!</definedName>
    <definedName name="__APW_RESTORE_DATA1890__" hidden="1">#REF!,#REF!,#REF!,#REF!,#REF!,#REF!,#REF!,#REF!,#REF!,#REF!,#REF!,#REF!,#REF!,#REF!,#REF!</definedName>
    <definedName name="__APW_RESTORE_DATA1891__" hidden="1">#REF!,#REF!,#REF!,#REF!,#REF!,#REF!,#REF!,#REF!,#REF!,#REF!,#REF!,#REF!,#REF!,#REF!,#REF!</definedName>
    <definedName name="__APW_RESTORE_DATA1892__" hidden="1">#REF!,#REF!,#REF!,#REF!,#REF!,#REF!,#REF!,#REF!,#REF!,#REF!,#REF!,#REF!,#REF!,#REF!,#REF!</definedName>
    <definedName name="__APW_RESTORE_DATA1893__" hidden="1">#REF!,#REF!,#REF!,#REF!,#REF!,#REF!,#REF!,#REF!,#REF!,#REF!,#REF!,#REF!,#REF!,#REF!,#REF!</definedName>
    <definedName name="__APW_RESTORE_DATA1894__" hidden="1">#REF!,#REF!,#REF!,#REF!,#REF!,#REF!,#REF!,#REF!,#REF!,#REF!,#REF!,#REF!,#REF!,#REF!,#REF!</definedName>
    <definedName name="__APW_RESTORE_DATA1895__" hidden="1">#REF!,#REF!,#REF!,#REF!,#REF!,#REF!,#REF!,#REF!,#REF!,#REF!,#REF!,#REF!,#REF!,#REF!,#REF!</definedName>
    <definedName name="__APW_RESTORE_DATA1896__" hidden="1">#REF!,#REF!,#REF!,#REF!,#REF!,#REF!,#REF!,#REF!,#REF!,#REF!,#REF!,#REF!,#REF!,#REF!,#REF!</definedName>
    <definedName name="__APW_RESTORE_DATA1897__" hidden="1">#REF!,#REF!,#REF!,#REF!,#REF!,#REF!,#REF!,#REF!,#REF!,#REF!,#REF!,#REF!,#REF!,#REF!,#REF!</definedName>
    <definedName name="__APW_RESTORE_DATA1898__" hidden="1">#REF!,#REF!,#REF!,#REF!,#REF!,#REF!,#REF!,#REF!,#REF!,#REF!,#REF!,#REF!,#REF!,#REF!,#REF!</definedName>
    <definedName name="__APW_RESTORE_DATA1899__" hidden="1">#REF!,#REF!,#REF!,#REF!,#REF!,#REF!,#REF!,#REF!,#REF!,#REF!,#REF!,#REF!,#REF!,#REF!,#REF!</definedName>
    <definedName name="__APW_RESTORE_DATA19__" hidden="1">#REF!,#REF!,#REF!,#REF!,#REF!,#REF!,#REF!,#REF!,#REF!,#REF!,#REF!,#REF!,#REF!,#REF!,#REF!</definedName>
    <definedName name="__APW_RESTORE_DATA190__" hidden="1">#REF!,#REF!,#REF!,#REF!,#REF!,#REF!,#REF!,#REF!,#REF!,#REF!,#REF!,#REF!,#REF!,#REF!,#REF!</definedName>
    <definedName name="__APW_RESTORE_DATA1900__" hidden="1">#REF!,#REF!,#REF!,#REF!,#REF!,#REF!,#REF!,#REF!,#REF!,#REF!,#REF!,#REF!,#REF!,#REF!,#REF!</definedName>
    <definedName name="__APW_RESTORE_DATA1901__" hidden="1">#REF!,#REF!,#REF!,#REF!,#REF!,#REF!,#REF!,#REF!,#REF!,#REF!,#REF!,#REF!,#REF!,#REF!,#REF!</definedName>
    <definedName name="__APW_RESTORE_DATA1902__" hidden="1">#REF!,#REF!,#REF!,#REF!,#REF!,#REF!,#REF!,#REF!,#REF!,#REF!,#REF!,#REF!,#REF!,#REF!,#REF!</definedName>
    <definedName name="__APW_RESTORE_DATA1903__" hidden="1">#REF!,#REF!,#REF!,#REF!,#REF!,#REF!,#REF!,#REF!,#REF!,#REF!,#REF!,#REF!,#REF!,#REF!,#REF!</definedName>
    <definedName name="__APW_RESTORE_DATA1904__" hidden="1">#REF!,#REF!,#REF!,#REF!,#REF!,#REF!,#REF!,#REF!,#REF!,#REF!,#REF!,#REF!,#REF!,#REF!,#REF!</definedName>
    <definedName name="__APW_RESTORE_DATA1905__" hidden="1">#REF!,#REF!,#REF!,#REF!,#REF!,#REF!,#REF!,#REF!,#REF!,#REF!,#REF!,#REF!,#REF!,#REF!,#REF!</definedName>
    <definedName name="__APW_RESTORE_DATA1906__" hidden="1">#REF!,#REF!,#REF!,#REF!,#REF!,#REF!,#REF!,#REF!,#REF!,#REF!,#REF!,#REF!,#REF!,#REF!,#REF!</definedName>
    <definedName name="__APW_RESTORE_DATA1907__" hidden="1">#REF!,#REF!,#REF!,#REF!,#REF!,#REF!,#REF!,#REF!,#REF!,#REF!,#REF!,#REF!,#REF!,#REF!,#REF!</definedName>
    <definedName name="__APW_RESTORE_DATA1908__" hidden="1">#REF!,#REF!,#REF!,#REF!,#REF!,#REF!,#REF!,#REF!,#REF!,#REF!,#REF!,#REF!,#REF!,#REF!,#REF!</definedName>
    <definedName name="__APW_RESTORE_DATA1909__" hidden="1">#REF!,#REF!,#REF!,#REF!,#REF!,#REF!</definedName>
    <definedName name="__APW_RESTORE_DATA191__" hidden="1">#REF!,#REF!,#REF!,#REF!,#REF!,#REF!,#REF!,#REF!,#REF!,#REF!,#REF!,#REF!,#REF!,#REF!,#REF!</definedName>
    <definedName name="__APW_RESTORE_DATA1910__" hidden="1">#REF!,#REF!,#REF!,#REF!,#REF!,#REF!,#REF!,#REF!,#REF!,#REF!,#REF!,#REF!,#REF!,#REF!,#REF!,#REF!</definedName>
    <definedName name="__APW_RESTORE_DATA1911__" hidden="1">#REF!,#REF!,#REF!,#REF!,#REF!,#REF!,#REF!,#REF!,#REF!,#REF!,#REF!,#REF!,#REF!,#REF!,#REF!,#REF!</definedName>
    <definedName name="__APW_RESTORE_DATA1912__" hidden="1">#REF!,#REF!,#REF!,#REF!,#REF!,#REF!,#REF!,#REF!,#REF!,#REF!,#REF!,#REF!,#REF!,#REF!,#REF!,#REF!</definedName>
    <definedName name="__APW_RESTORE_DATA1913__" hidden="1">#REF!,#REF!,#REF!,#REF!,#REF!,#REF!,#REF!,#REF!,#REF!,#REF!,#REF!,#REF!,#REF!,#REF!,#REF!,#REF!</definedName>
    <definedName name="__APW_RESTORE_DATA1914__" hidden="1">#REF!,#REF!,#REF!,#REF!,#REF!,#REF!,#REF!,#REF!,#REF!,#REF!,#REF!,#REF!,#REF!,#REF!,#REF!,#REF!</definedName>
    <definedName name="__APW_RESTORE_DATA1915__" hidden="1">#REF!,#REF!,#REF!,#REF!,#REF!,#REF!,#REF!,#REF!,#REF!,#REF!,#REF!,#REF!,#REF!,#REF!,#REF!,#REF!</definedName>
    <definedName name="__APW_RESTORE_DATA1916__" hidden="1">#REF!,#REF!,#REF!,#REF!,#REF!,#REF!,#REF!,#REF!,#REF!,#REF!,#REF!,#REF!,#REF!,#REF!,#REF!</definedName>
    <definedName name="__APW_RESTORE_DATA1917__" hidden="1">#REF!,#REF!,#REF!,#REF!,#REF!,#REF!,#REF!,#REF!,#REF!,#REF!,#REF!,#REF!,#REF!,#REF!,#REF!</definedName>
    <definedName name="__APW_RESTORE_DATA1918__" hidden="1">#REF!,#REF!,#REF!,#REF!,#REF!,#REF!,#REF!,#REF!,#REF!,#REF!,#REF!,#REF!,#REF!,#REF!,#REF!</definedName>
    <definedName name="__APW_RESTORE_DATA1919__" hidden="1">#REF!,#REF!,#REF!,#REF!,#REF!,#REF!,#REF!,#REF!,#REF!,#REF!,#REF!,#REF!,#REF!,#REF!,#REF!</definedName>
    <definedName name="__APW_RESTORE_DATA192__" hidden="1">#REF!,#REF!,#REF!,#REF!,#REF!,#REF!,#REF!,#REF!,#REF!,#REF!,#REF!,#REF!,#REF!,#REF!,#REF!</definedName>
    <definedName name="__APW_RESTORE_DATA1920__" hidden="1">#REF!,#REF!,#REF!,#REF!,#REF!,#REF!,#REF!,#REF!,#REF!,#REF!,#REF!,#REF!,#REF!,#REF!,#REF!</definedName>
    <definedName name="__APW_RESTORE_DATA1921__" hidden="1">#REF!,#REF!,#REF!,#REF!,#REF!,#REF!,#REF!,#REF!,#REF!,#REF!,#REF!,#REF!,#REF!,#REF!,#REF!</definedName>
    <definedName name="__APW_RESTORE_DATA1922__" hidden="1">#REF!,#REF!,#REF!,#REF!,#REF!,#REF!,#REF!,#REF!,#REF!,#REF!,#REF!,#REF!,#REF!,#REF!,#REF!</definedName>
    <definedName name="__APW_RESTORE_DATA1923__" hidden="1">#REF!,#REF!,#REF!,#REF!,#REF!,#REF!,#REF!,#REF!,#REF!,#REF!,#REF!,#REF!,#REF!,#REF!,#REF!</definedName>
    <definedName name="__APW_RESTORE_DATA1924__" hidden="1">#REF!,#REF!,#REF!,#REF!,#REF!,#REF!,#REF!,#REF!,#REF!,#REF!,#REF!,#REF!,#REF!,#REF!,#REF!</definedName>
    <definedName name="__APW_RESTORE_DATA1925__" hidden="1">#REF!,#REF!,#REF!,#REF!,#REF!,#REF!,#REF!,#REF!,#REF!,#REF!,#REF!,#REF!,#REF!,#REF!,#REF!</definedName>
    <definedName name="__APW_RESTORE_DATA1926__" hidden="1">#REF!,#REF!,#REF!,#REF!,#REF!,#REF!,#REF!,#REF!,#REF!,#REF!,#REF!,#REF!,#REF!,#REF!,#REF!</definedName>
    <definedName name="__APW_RESTORE_DATA1927__" hidden="1">#REF!,#REF!,#REF!,#REF!,#REF!,#REF!,#REF!,#REF!,#REF!,#REF!,#REF!,#REF!,#REF!,#REF!,#REF!</definedName>
    <definedName name="__APW_RESTORE_DATA1928__" hidden="1">#REF!,#REF!,#REF!,#REF!,#REF!,#REF!,#REF!,#REF!,#REF!,#REF!,#REF!,#REF!,#REF!,#REF!,#REF!</definedName>
    <definedName name="__APW_RESTORE_DATA1929__" hidden="1">#REF!,#REF!,#REF!,#REF!,#REF!,#REF!,#REF!,#REF!,#REF!,#REF!,#REF!,#REF!,#REF!,#REF!,#REF!</definedName>
    <definedName name="__APW_RESTORE_DATA193__" hidden="1">#REF!,#REF!</definedName>
    <definedName name="__APW_RESTORE_DATA1930__" hidden="1">#REF!,#REF!,#REF!,#REF!,#REF!,#REF!,#REF!,#REF!,#REF!,#REF!,#REF!,#REF!,#REF!,#REF!,#REF!</definedName>
    <definedName name="__APW_RESTORE_DATA1931__" hidden="1">#REF!,#REF!,#REF!,#REF!,#REF!,#REF!,#REF!,#REF!,#REF!,#REF!,#REF!,#REF!,#REF!,#REF!,#REF!</definedName>
    <definedName name="__APW_RESTORE_DATA1932__" hidden="1">#REF!,#REF!,#REF!,#REF!,#REF!,#REF!,#REF!,#REF!,#REF!,#REF!,#REF!,#REF!,#REF!,#REF!,#REF!</definedName>
    <definedName name="__APW_RESTORE_DATA1933__" hidden="1">#REF!,#REF!,#REF!,#REF!,#REF!,#REF!,#REF!,#REF!,#REF!,#REF!,#REF!,#REF!,#REF!,#REF!,#REF!</definedName>
    <definedName name="__APW_RESTORE_DATA1934__" hidden="1">#REF!,#REF!,#REF!,#REF!,#REF!,#REF!,#REF!,#REF!,#REF!,#REF!,#REF!,#REF!,#REF!,#REF!,#REF!</definedName>
    <definedName name="__APW_RESTORE_DATA1935__" hidden="1">#REF!,#REF!,#REF!,#REF!,#REF!,#REF!,#REF!,#REF!,#REF!,#REF!,#REF!,#REF!,#REF!,#REF!,#REF!</definedName>
    <definedName name="__APW_RESTORE_DATA1936__" hidden="1">#REF!,#REF!,#REF!,#REF!,#REF!,#REF!,#REF!,#REF!,#REF!,#REF!,#REF!,#REF!,#REF!,#REF!,#REF!</definedName>
    <definedName name="__APW_RESTORE_DATA1937__" hidden="1">#REF!,#REF!,#REF!,#REF!,#REF!,#REF!,#REF!,#REF!,#REF!,#REF!,#REF!,#REF!,#REF!,#REF!,#REF!</definedName>
    <definedName name="__APW_RESTORE_DATA1938__" hidden="1">#REF!,#REF!,#REF!,#REF!,#REF!,#REF!,#REF!,#REF!,#REF!,#REF!,#REF!,#REF!,#REF!,#REF!,#REF!</definedName>
    <definedName name="__APW_RESTORE_DATA1939__" hidden="1">#REF!,#REF!,#REF!,#REF!,#REF!,#REF!,#REF!,#REF!,#REF!,#REF!,#REF!,#REF!,#REF!,#REF!,#REF!</definedName>
    <definedName name="__APW_RESTORE_DATA194__" hidden="1">#REF!,#REF!</definedName>
    <definedName name="__APW_RESTORE_DATA1940__" hidden="1">#REF!,#REF!,#REF!,#REF!,#REF!,#REF!,#REF!,#REF!,#REF!,#REF!,#REF!,#REF!,#REF!,#REF!,#REF!</definedName>
    <definedName name="__APW_RESTORE_DATA1941__" hidden="1">#REF!,#REF!,#REF!,#REF!,#REF!,#REF!,#REF!,#REF!,#REF!,#REF!,#REF!,#REF!,#REF!,#REF!,#REF!</definedName>
    <definedName name="__APW_RESTORE_DATA1942__" hidden="1">#REF!,#REF!,#REF!,#REF!,#REF!,#REF!,#REF!,#REF!,#REF!,#REF!,#REF!,#REF!,#REF!,#REF!,#REF!</definedName>
    <definedName name="__APW_RESTORE_DATA1943__" hidden="1">#REF!,#REF!,#REF!,#REF!,#REF!,#REF!,#REF!,#REF!,#REF!,#REF!,#REF!,#REF!,#REF!,#REF!,#REF!</definedName>
    <definedName name="__APW_RESTORE_DATA1944__" hidden="1">#REF!,#REF!,#REF!,#REF!,#REF!,#REF!</definedName>
    <definedName name="__APW_RESTORE_DATA1945__" hidden="1">#REF!,#REF!,#REF!,#REF!,#REF!,#REF!,#REF!,#REF!,#REF!,#REF!,#REF!,#REF!,#REF!,#REF!,#REF!,#REF!</definedName>
    <definedName name="__APW_RESTORE_DATA1946__" hidden="1">#REF!,#REF!,#REF!,#REF!,#REF!,#REF!,#REF!,#REF!,#REF!,#REF!,#REF!,#REF!,#REF!,#REF!,#REF!,#REF!</definedName>
    <definedName name="__APW_RESTORE_DATA1947__" hidden="1">#REF!,#REF!,#REF!,#REF!,#REF!,#REF!,#REF!,#REF!,#REF!,#REF!,#REF!,#REF!,#REF!,#REF!,#REF!,#REF!</definedName>
    <definedName name="__APW_RESTORE_DATA1948__" hidden="1">#REF!,#REF!,#REF!,#REF!,#REF!,#REF!,#REF!,#REF!,#REF!,#REF!,#REF!,#REF!,#REF!,#REF!,#REF!,#REF!</definedName>
    <definedName name="__APW_RESTORE_DATA1949__" hidden="1">#REF!,#REF!,#REF!,#REF!,#REF!,#REF!,#REF!,#REF!,#REF!,#REF!,#REF!,#REF!,#REF!,#REF!,#REF!,#REF!</definedName>
    <definedName name="__APW_RESTORE_DATA195__" hidden="1">#REF!,#REF!,#REF!,#REF!,#REF!,#REF!,#REF!,#REF!,#REF!,#REF!,#REF!,#REF!,#REF!,#REF!,#REF!</definedName>
    <definedName name="__APW_RESTORE_DATA1950__" hidden="1">#REF!,#REF!,#REF!,#REF!,#REF!,#REF!,#REF!,#REF!,#REF!,#REF!,#REF!,#REF!,#REF!,#REF!,#REF!,#REF!</definedName>
    <definedName name="__APW_RESTORE_DATA1951__" hidden="1">#REF!,#REF!,#REF!,#REF!,#REF!,#REF!,#REF!,#REF!,#REF!,#REF!,#REF!,#REF!,#REF!,#REF!,#REF!</definedName>
    <definedName name="__APW_RESTORE_DATA1952__" hidden="1">#REF!,#REF!,#REF!,#REF!,#REF!,#REF!,#REF!,#REF!,#REF!,#REF!,#REF!,#REF!,#REF!,#REF!,#REF!</definedName>
    <definedName name="__APW_RESTORE_DATA1953__" hidden="1">#REF!,#REF!,#REF!,#REF!,#REF!,#REF!,#REF!,#REF!,#REF!,#REF!,#REF!,#REF!,#REF!,#REF!,#REF!</definedName>
    <definedName name="__APW_RESTORE_DATA1954__" hidden="1">#REF!,#REF!,#REF!,#REF!,#REF!,#REF!,#REF!,#REF!,#REF!,#REF!,#REF!,#REF!,#REF!,#REF!,#REF!</definedName>
    <definedName name="__APW_RESTORE_DATA1955__" hidden="1">#REF!,#REF!,#REF!,#REF!,#REF!,#REF!,#REF!,#REF!,#REF!,#REF!,#REF!,#REF!,#REF!,#REF!,#REF!</definedName>
    <definedName name="__APW_RESTORE_DATA1956__" hidden="1">#REF!,#REF!,#REF!,#REF!,#REF!,#REF!,#REF!,#REF!,#REF!,#REF!,#REF!,#REF!,#REF!,#REF!,#REF!</definedName>
    <definedName name="__APW_RESTORE_DATA1957__" hidden="1">#REF!,#REF!,#REF!,#REF!,#REF!,#REF!,#REF!,#REF!,#REF!,#REF!,#REF!,#REF!,#REF!,#REF!,#REF!</definedName>
    <definedName name="__APW_RESTORE_DATA1958__" hidden="1">#REF!,#REF!,#REF!,#REF!,#REF!,#REF!,#REF!,#REF!,#REF!,#REF!,#REF!,#REF!,#REF!,#REF!,#REF!</definedName>
    <definedName name="__APW_RESTORE_DATA1959__" hidden="1">#REF!,#REF!,#REF!,#REF!,#REF!,#REF!,#REF!,#REF!,#REF!,#REF!,#REF!,#REF!,#REF!,#REF!,#REF!</definedName>
    <definedName name="__APW_RESTORE_DATA196__" hidden="1">#REF!,#REF!,#REF!,#REF!,#REF!,#REF!,#REF!,#REF!,#REF!,#REF!,#REF!,#REF!,#REF!,#REF!,#REF!</definedName>
    <definedName name="__APW_RESTORE_DATA1960__" hidden="1">#REF!,#REF!,#REF!,#REF!,#REF!,#REF!,#REF!,#REF!,#REF!,#REF!,#REF!,#REF!,#REF!,#REF!,#REF!</definedName>
    <definedName name="__APW_RESTORE_DATA1961__" hidden="1">#REF!,#REF!,#REF!,#REF!,#REF!,#REF!,#REF!,#REF!,#REF!,#REF!,#REF!,#REF!,#REF!,#REF!,#REF!</definedName>
    <definedName name="__APW_RESTORE_DATA1962__" hidden="1">#REF!,#REF!,#REF!,#REF!,#REF!,#REF!,#REF!,#REF!,#REF!,#REF!,#REF!,#REF!,#REF!,#REF!,#REF!</definedName>
    <definedName name="__APW_RESTORE_DATA1963__" hidden="1">#REF!,#REF!,#REF!,#REF!,#REF!,#REF!,#REF!,#REF!,#REF!,#REF!,#REF!,#REF!,#REF!,#REF!,#REF!</definedName>
    <definedName name="__APW_RESTORE_DATA1964__" hidden="1">#REF!,#REF!,#REF!,#REF!,#REF!,#REF!,#REF!,#REF!,#REF!,#REF!,#REF!,#REF!,#REF!,#REF!,#REF!</definedName>
    <definedName name="__APW_RESTORE_DATA1965__" hidden="1">#REF!,#REF!,#REF!,#REF!,#REF!,#REF!,#REF!,#REF!,#REF!,#REF!,#REF!,#REF!,#REF!,#REF!,#REF!</definedName>
    <definedName name="__APW_RESTORE_DATA1966__" hidden="1">#REF!,#REF!,#REF!,#REF!,#REF!,#REF!,#REF!,#REF!,#REF!,#REF!,#REF!,#REF!,#REF!,#REF!,#REF!</definedName>
    <definedName name="__APW_RESTORE_DATA1967__" hidden="1">#REF!,#REF!,#REF!,#REF!,#REF!,#REF!,#REF!,#REF!,#REF!,#REF!,#REF!,#REF!,#REF!,#REF!,#REF!</definedName>
    <definedName name="__APW_RESTORE_DATA1968__" hidden="1">#REF!,#REF!,#REF!,#REF!,#REF!,#REF!,#REF!,#REF!,#REF!,#REF!,#REF!,#REF!,#REF!,#REF!,#REF!</definedName>
    <definedName name="__APW_RESTORE_DATA1969__" hidden="1">#REF!,#REF!,#REF!,#REF!,#REF!,#REF!,#REF!,#REF!,#REF!,#REF!,#REF!,#REF!,#REF!,#REF!,#REF!</definedName>
    <definedName name="__APW_RESTORE_DATA197__" hidden="1">#REF!,#REF!,#REF!,#REF!,#REF!,#REF!,#REF!,#REF!,#REF!,#REF!,#REF!,#REF!,#REF!,#REF!,#REF!</definedName>
    <definedName name="__APW_RESTORE_DATA1970__" hidden="1">#REF!,#REF!,#REF!,#REF!,#REF!,#REF!,#REF!,#REF!,#REF!,#REF!,#REF!,#REF!,#REF!,#REF!,#REF!</definedName>
    <definedName name="__APW_RESTORE_DATA1971__" hidden="1">#REF!,#REF!,#REF!,#REF!,#REF!,#REF!,#REF!,#REF!,#REF!,#REF!,#REF!,#REF!,#REF!,#REF!,#REF!</definedName>
    <definedName name="__APW_RESTORE_DATA1972__" hidden="1">#REF!,#REF!,#REF!,#REF!,#REF!,#REF!,#REF!,#REF!,#REF!,#REF!,#REF!,#REF!,#REF!,#REF!,#REF!</definedName>
    <definedName name="__APW_RESTORE_DATA1973__" hidden="1">#REF!,#REF!,#REF!,#REF!,#REF!,#REF!,#REF!,#REF!,#REF!,#REF!,#REF!,#REF!,#REF!,#REF!,#REF!</definedName>
    <definedName name="__APW_RESTORE_DATA1974__" hidden="1">#REF!,#REF!,#REF!,#REF!,#REF!,#REF!,#REF!,#REF!,#REF!,#REF!,#REF!,#REF!,#REF!,#REF!,#REF!</definedName>
    <definedName name="__APW_RESTORE_DATA1975__" hidden="1">#REF!,#REF!,#REF!,#REF!,#REF!,#REF!,#REF!,#REF!,#REF!,#REF!,#REF!,#REF!,#REF!,#REF!,#REF!</definedName>
    <definedName name="__APW_RESTORE_DATA1976__" hidden="1">#REF!,#REF!,#REF!,#REF!,#REF!,#REF!,#REF!,#REF!,#REF!,#REF!,#REF!,#REF!,#REF!,#REF!,#REF!</definedName>
    <definedName name="__APW_RESTORE_DATA1977__" hidden="1">#REF!,#REF!,#REF!,#REF!,#REF!,#REF!,#REF!,#REF!,#REF!,#REF!,#REF!,#REF!,#REF!,#REF!,#REF!</definedName>
    <definedName name="__APW_RESTORE_DATA1978__" hidden="1">#REF!,#REF!,#REF!,#REF!,#REF!,#REF!,#REF!,#REF!,#REF!,#REF!,#REF!,#REF!,#REF!,#REF!,#REF!</definedName>
    <definedName name="__APW_RESTORE_DATA1979__" hidden="1">#REF!,#REF!,#REF!,#REF!,#REF!,#REF!</definedName>
    <definedName name="__APW_RESTORE_DATA198__" hidden="1">#REF!,#REF!,#REF!,#REF!,#REF!,#REF!,#REF!,#REF!,#REF!,#REF!,#REF!,#REF!,#REF!,#REF!,#REF!</definedName>
    <definedName name="__APW_RESTORE_DATA1980__" hidden="1">#REF!,#REF!,#REF!,#REF!,#REF!,#REF!,#REF!,#REF!,#REF!,#REF!,#REF!,#REF!,#REF!,#REF!,#REF!,#REF!</definedName>
    <definedName name="__APW_RESTORE_DATA1981__" hidden="1">#REF!,#REF!,#REF!,#REF!,#REF!,#REF!,#REF!,#REF!,#REF!,#REF!,#REF!,#REF!,#REF!,#REF!,#REF!,#REF!</definedName>
    <definedName name="__APW_RESTORE_DATA1982__" hidden="1">#REF!,#REF!,#REF!,#REF!,#REF!,#REF!,#REF!,#REF!,#REF!,#REF!,#REF!,#REF!,#REF!,#REF!,#REF!,#REF!</definedName>
    <definedName name="__APW_RESTORE_DATA1983__" hidden="1">#REF!,#REF!,#REF!,#REF!,#REF!,#REF!,#REF!,#REF!,#REF!,#REF!,#REF!,#REF!,#REF!,#REF!,#REF!,#REF!</definedName>
    <definedName name="__APW_RESTORE_DATA1984__" hidden="1">#REF!,#REF!,#REF!,#REF!,#REF!,#REF!,#REF!,#REF!,#REF!,#REF!,#REF!,#REF!,#REF!,#REF!,#REF!,#REF!</definedName>
    <definedName name="__APW_RESTORE_DATA1985__" hidden="1">#REF!,#REF!,#REF!,#REF!,#REF!,#REF!,#REF!,#REF!,#REF!,#REF!,#REF!,#REF!,#REF!,#REF!,#REF!,#REF!</definedName>
    <definedName name="__APW_RESTORE_DATA1986__" hidden="1">#REF!,#REF!,#REF!,#REF!,#REF!,#REF!,#REF!,#REF!,#REF!,#REF!,#REF!,#REF!,#REF!,#REF!,#REF!</definedName>
    <definedName name="__APW_RESTORE_DATA1987__" hidden="1">#REF!,#REF!,#REF!,#REF!,#REF!,#REF!,#REF!,#REF!,#REF!,#REF!,#REF!,#REF!,#REF!,#REF!,#REF!</definedName>
    <definedName name="__APW_RESTORE_DATA1988__" hidden="1">#REF!,#REF!,#REF!,#REF!,#REF!,#REF!,#REF!,#REF!,#REF!,#REF!,#REF!,#REF!,#REF!,#REF!,#REF!</definedName>
    <definedName name="__APW_RESTORE_DATA1989__" hidden="1">#REF!,#REF!,#REF!,#REF!,#REF!,#REF!,#REF!,#REF!,#REF!,#REF!,#REF!,#REF!,#REF!,#REF!,#REF!</definedName>
    <definedName name="__APW_RESTORE_DATA199__" hidden="1">#REF!,#REF!,#REF!,#REF!,#REF!,#REF!,#REF!,#REF!,#REF!,#REF!,#REF!,#REF!,#REF!,#REF!,#REF!</definedName>
    <definedName name="__APW_RESTORE_DATA1990__" hidden="1">#REF!,#REF!,#REF!,#REF!,#REF!,#REF!,#REF!,#REF!,#REF!,#REF!,#REF!,#REF!,#REF!,#REF!,#REF!</definedName>
    <definedName name="__APW_RESTORE_DATA1991__" hidden="1">#REF!,#REF!,#REF!,#REF!,#REF!,#REF!,#REF!,#REF!,#REF!,#REF!,#REF!,#REF!,#REF!,#REF!,#REF!</definedName>
    <definedName name="__APW_RESTORE_DATA1992__" hidden="1">#REF!,#REF!,#REF!,#REF!,#REF!,#REF!,#REF!,#REF!,#REF!,#REF!,#REF!,#REF!,#REF!,#REF!,#REF!</definedName>
    <definedName name="__APW_RESTORE_DATA1993__" hidden="1">#REF!,#REF!,#REF!,#REF!,#REF!,#REF!,#REF!,#REF!,#REF!,#REF!,#REF!,#REF!,#REF!,#REF!,#REF!</definedName>
    <definedName name="__APW_RESTORE_DATA1994__" hidden="1">#REF!,#REF!,#REF!,#REF!,#REF!,#REF!,#REF!,#REF!,#REF!,#REF!,#REF!,#REF!,#REF!,#REF!,#REF!</definedName>
    <definedName name="__APW_RESTORE_DATA1995__" hidden="1">#REF!,#REF!,#REF!,#REF!,#REF!,#REF!,#REF!,#REF!,#REF!,#REF!,#REF!,#REF!,#REF!,#REF!,#REF!</definedName>
    <definedName name="__APW_RESTORE_DATA1996__" hidden="1">#REF!,#REF!,#REF!,#REF!,#REF!,#REF!,#REF!,#REF!,#REF!,#REF!,#REF!,#REF!,#REF!,#REF!,#REF!</definedName>
    <definedName name="__APW_RESTORE_DATA1997__" hidden="1">#REF!,#REF!,#REF!,#REF!,#REF!,#REF!,#REF!,#REF!,#REF!,#REF!,#REF!,#REF!,#REF!,#REF!,#REF!</definedName>
    <definedName name="__APW_RESTORE_DATA1998__" hidden="1">#REF!,#REF!,#REF!,#REF!,#REF!,#REF!,#REF!,#REF!,#REF!,#REF!,#REF!,#REF!,#REF!,#REF!,#REF!</definedName>
    <definedName name="__APW_RESTORE_DATA1999__" hidden="1">#REF!,#REF!,#REF!,#REF!,#REF!,#REF!,#REF!,#REF!,#REF!,#REF!,#REF!,#REF!,#REF!,#REF!,#REF!</definedName>
    <definedName name="__APW_RESTORE_DATA2__" hidden="1">#REF!</definedName>
    <definedName name="__APW_RESTORE_DATA20__" hidden="1">#REF!</definedName>
    <definedName name="__APW_RESTORE_DATA200__" hidden="1">#REF!,#REF!,#REF!,#REF!,#REF!,#REF!,#REF!,#REF!,#REF!,#REF!,#REF!,#REF!,#REF!,#REF!,#REF!</definedName>
    <definedName name="__APW_RESTORE_DATA2000__" hidden="1">#REF!,#REF!,#REF!,#REF!,#REF!,#REF!,#REF!,#REF!,#REF!,#REF!,#REF!,#REF!,#REF!,#REF!,#REF!</definedName>
    <definedName name="__APW_RESTORE_DATA2001__" hidden="1">#REF!,#REF!,#REF!,#REF!,#REF!,#REF!,#REF!,#REF!,#REF!,#REF!,#REF!,#REF!,#REF!,#REF!,#REF!</definedName>
    <definedName name="__APW_RESTORE_DATA2002__" hidden="1">#REF!,#REF!,#REF!,#REF!,#REF!,#REF!,#REF!,#REF!,#REF!,#REF!,#REF!,#REF!,#REF!,#REF!,#REF!</definedName>
    <definedName name="__APW_RESTORE_DATA2003__" hidden="1">#REF!,#REF!,#REF!,#REF!,#REF!,#REF!,#REF!,#REF!,#REF!,#REF!,#REF!,#REF!,#REF!,#REF!,#REF!</definedName>
    <definedName name="__APW_RESTORE_DATA2004__" hidden="1">#REF!,#REF!,#REF!,#REF!,#REF!,#REF!,#REF!,#REF!,#REF!,#REF!,#REF!,#REF!,#REF!,#REF!,#REF!</definedName>
    <definedName name="__APW_RESTORE_DATA2005__" hidden="1">#REF!,#REF!,#REF!,#REF!,#REF!,#REF!,#REF!,#REF!,#REF!,#REF!,#REF!,#REF!,#REF!,#REF!,#REF!</definedName>
    <definedName name="__APW_RESTORE_DATA2006__" hidden="1">#REF!,#REF!,#REF!,#REF!,#REF!,#REF!,#REF!,#REF!,#REF!,#REF!,#REF!,#REF!,#REF!,#REF!,#REF!</definedName>
    <definedName name="__APW_RESTORE_DATA2007__" hidden="1">#REF!,#REF!,#REF!,#REF!,#REF!,#REF!,#REF!,#REF!,#REF!,#REF!,#REF!,#REF!,#REF!,#REF!,#REF!</definedName>
    <definedName name="__APW_RESTORE_DATA2008__" hidden="1">#REF!,#REF!,#REF!,#REF!,#REF!,#REF!,#REF!,#REF!,#REF!,#REF!,#REF!,#REF!,#REF!,#REF!,#REF!</definedName>
    <definedName name="__APW_RESTORE_DATA2009__" hidden="1">#REF!,#REF!,#REF!,#REF!,#REF!,#REF!,#REF!,#REF!,#REF!,#REF!,#REF!,#REF!,#REF!,#REF!,#REF!</definedName>
    <definedName name="__APW_RESTORE_DATA201__" hidden="1">#REF!,#REF!,#REF!,#REF!,#REF!,#REF!,#REF!,#REF!,#REF!,#REF!,#REF!,#REF!,#REF!,#REF!,#REF!</definedName>
    <definedName name="__APW_RESTORE_DATA2010__" hidden="1">#REF!,#REF!,#REF!,#REF!,#REF!,#REF!,#REF!,#REF!,#REF!,#REF!,#REF!,#REF!,#REF!,#REF!,#REF!</definedName>
    <definedName name="__APW_RESTORE_DATA2011__" hidden="1">#REF!,#REF!,#REF!,#REF!,#REF!,#REF!,#REF!,#REF!,#REF!,#REF!,#REF!,#REF!,#REF!,#REF!,#REF!</definedName>
    <definedName name="__APW_RESTORE_DATA2012__" hidden="1">#REF!,#REF!,#REF!,#REF!,#REF!,#REF!,#REF!,#REF!,#REF!,#REF!,#REF!,#REF!,#REF!,#REF!,#REF!</definedName>
    <definedName name="__APW_RESTORE_DATA2013__" hidden="1">#REF!,#REF!,#REF!,#REF!,#REF!,#REF!,#REF!,#REF!,#REF!,#REF!,#REF!,#REF!,#REF!,#REF!,#REF!</definedName>
    <definedName name="__APW_RESTORE_DATA2014__" hidden="1">#REF!,#REF!,#REF!,#REF!,#REF!,#REF!</definedName>
    <definedName name="__APW_RESTORE_DATA2015__" hidden="1">#REF!</definedName>
    <definedName name="__APW_RESTORE_DATA2016__" hidden="1">#REF!</definedName>
    <definedName name="__APW_RESTORE_DATA2017__" hidden="1">#REF!</definedName>
    <definedName name="__APW_RESTORE_DATA2019__" hidden="1">#REF!</definedName>
    <definedName name="__APW_RESTORE_DATA202__" hidden="1">#REF!,#REF!,#REF!,#REF!,#REF!,#REF!,#REF!,#REF!,#REF!,#REF!,#REF!,#REF!,#REF!,#REF!,#REF!</definedName>
    <definedName name="__APW_RESTORE_DATA2020__" hidden="1">#REF!,#REF!,#REF!,#REF!,#REF!,#REF!,#REF!,#REF!,#REF!,#REF!,#REF!,#REF!,#REF!,#REF!,#REF!,#REF!</definedName>
    <definedName name="__APW_RESTORE_DATA2021__" hidden="1">#REF!,#REF!,#REF!,#REF!,#REF!,#REF!,#REF!,#REF!,#REF!,#REF!,#REF!,#REF!,#REF!,#REF!,#REF!,#REF!</definedName>
    <definedName name="__APW_RESTORE_DATA2022__" hidden="1">#REF!,#REF!,#REF!,#REF!,#REF!,#REF!,#REF!,#REF!,#REF!,#REF!,#REF!,#REF!,#REF!,#REF!,#REF!,#REF!</definedName>
    <definedName name="__APW_RESTORE_DATA2023__" hidden="1">#REF!,#REF!,#REF!,#REF!,#REF!,#REF!,#REF!,#REF!,#REF!,#REF!,#REF!,#REF!,#REF!,#REF!,#REF!,#REF!</definedName>
    <definedName name="__APW_RESTORE_DATA2024__" hidden="1">#REF!,#REF!,#REF!,#REF!,#REF!,#REF!,#REF!,#REF!,#REF!,#REF!,#REF!,#REF!,#REF!,#REF!,#REF!,#REF!</definedName>
    <definedName name="__APW_RESTORE_DATA2025__" hidden="1">#REF!,#REF!,#REF!,#REF!,#REF!,#REF!,#REF!,#REF!,#REF!,#REF!,#REF!,#REF!,#REF!,#REF!,#REF!,#REF!</definedName>
    <definedName name="__APW_RESTORE_DATA2026__" hidden="1">#REF!,#REF!,#REF!,#REF!,#REF!,#REF!,#REF!,#REF!,#REF!,#REF!,#REF!,#REF!,#REF!,#REF!,#REF!</definedName>
    <definedName name="__APW_RESTORE_DATA2027__" hidden="1">#REF!,#REF!,#REF!,#REF!,#REF!,#REF!,#REF!,#REF!,#REF!,#REF!,#REF!,#REF!,#REF!,#REF!,#REF!</definedName>
    <definedName name="__APW_RESTORE_DATA2028__" hidden="1">#REF!,#REF!,#REF!,#REF!,#REF!,#REF!,#REF!,#REF!,#REF!,#REF!,#REF!,#REF!,#REF!,#REF!,#REF!</definedName>
    <definedName name="__APW_RESTORE_DATA2029__" hidden="1">#REF!,#REF!,#REF!,#REF!,#REF!,#REF!,#REF!,#REF!,#REF!,#REF!,#REF!,#REF!,#REF!,#REF!,#REF!</definedName>
    <definedName name="__APW_RESTORE_DATA203__" hidden="1">#REF!,#REF!,#REF!,#REF!,#REF!,#REF!,#REF!,#REF!,#REF!,#REF!,#REF!,#REF!,#REF!,#REF!,#REF!</definedName>
    <definedName name="__APW_RESTORE_DATA2030__" hidden="1">#REF!,#REF!,#REF!,#REF!,#REF!,#REF!,#REF!,#REF!,#REF!,#REF!,#REF!,#REF!,#REF!,#REF!,#REF!</definedName>
    <definedName name="__APW_RESTORE_DATA2031__" hidden="1">#REF!,#REF!,#REF!,#REF!,#REF!,#REF!,#REF!,#REF!,#REF!,#REF!,#REF!,#REF!,#REF!,#REF!,#REF!</definedName>
    <definedName name="__APW_RESTORE_DATA2032__" hidden="1">#REF!,#REF!,#REF!,#REF!,#REF!,#REF!,#REF!,#REF!,#REF!,#REF!,#REF!,#REF!,#REF!,#REF!,#REF!</definedName>
    <definedName name="__APW_RESTORE_DATA2033__" hidden="1">#REF!,#REF!,#REF!,#REF!,#REF!,#REF!,#REF!,#REF!,#REF!,#REF!,#REF!,#REF!,#REF!,#REF!,#REF!</definedName>
    <definedName name="__APW_RESTORE_DATA2034__" hidden="1">#REF!,#REF!,#REF!,#REF!,#REF!,#REF!,#REF!,#REF!,#REF!,#REF!,#REF!,#REF!,#REF!,#REF!,#REF!</definedName>
    <definedName name="__APW_RESTORE_DATA2035__" hidden="1">#REF!,#REF!,#REF!,#REF!,#REF!,#REF!,#REF!,#REF!,#REF!,#REF!,#REF!,#REF!,#REF!,#REF!,#REF!</definedName>
    <definedName name="__APW_RESTORE_DATA2036__" hidden="1">#REF!,#REF!,#REF!,#REF!,#REF!,#REF!,#REF!,#REF!,#REF!,#REF!,#REF!,#REF!,#REF!,#REF!,#REF!</definedName>
    <definedName name="__APW_RESTORE_DATA2037__" hidden="1">#REF!,#REF!,#REF!,#REF!,#REF!,#REF!,#REF!,#REF!,#REF!,#REF!,#REF!,#REF!,#REF!,#REF!,#REF!</definedName>
    <definedName name="__APW_RESTORE_DATA2038__" hidden="1">#REF!,#REF!,#REF!,#REF!,#REF!,#REF!,#REF!,#REF!,#REF!,#REF!,#REF!,#REF!,#REF!,#REF!,#REF!</definedName>
    <definedName name="__APW_RESTORE_DATA2039__" hidden="1">#REF!,#REF!,#REF!,#REF!,#REF!,#REF!,#REF!,#REF!,#REF!,#REF!,#REF!,#REF!,#REF!,#REF!,#REF!</definedName>
    <definedName name="__APW_RESTORE_DATA204__" hidden="1">#REF!,#REF!,#REF!,#REF!,#REF!,#REF!,#REF!,#REF!,#REF!,#REF!,#REF!,#REF!,#REF!,#REF!,#REF!</definedName>
    <definedName name="__APW_RESTORE_DATA2040__" hidden="1">#REF!,#REF!,#REF!,#REF!,#REF!,#REF!,#REF!,#REF!,#REF!,#REF!,#REF!,#REF!,#REF!,#REF!,#REF!</definedName>
    <definedName name="__APW_RESTORE_DATA2041__" hidden="1">#REF!,#REF!,#REF!,#REF!,#REF!,#REF!,#REF!,#REF!,#REF!,#REF!,#REF!,#REF!,#REF!,#REF!,#REF!</definedName>
    <definedName name="__APW_RESTORE_DATA2042__" hidden="1">#REF!,#REF!,#REF!,#REF!,#REF!,#REF!,#REF!,#REF!,#REF!,#REF!,#REF!,#REF!,#REF!,#REF!,#REF!</definedName>
    <definedName name="__APW_RESTORE_DATA2043__" hidden="1">#REF!,#REF!,#REF!,#REF!,#REF!,#REF!,#REF!,#REF!,#REF!,#REF!,#REF!,#REF!,#REF!,#REF!,#REF!</definedName>
    <definedName name="__APW_RESTORE_DATA2044__" hidden="1">#REF!,#REF!,#REF!,#REF!,#REF!,#REF!,#REF!,#REF!,#REF!,#REF!,#REF!,#REF!,#REF!,#REF!,#REF!</definedName>
    <definedName name="__APW_RESTORE_DATA2045__" hidden="1">#REF!,#REF!,#REF!,#REF!,#REF!,#REF!,#REF!,#REF!,#REF!,#REF!,#REF!,#REF!,#REF!,#REF!,#REF!</definedName>
    <definedName name="__APW_RESTORE_DATA2046__" hidden="1">#REF!,#REF!,#REF!,#REF!,#REF!,#REF!,#REF!,#REF!,#REF!,#REF!,#REF!,#REF!,#REF!,#REF!,#REF!</definedName>
    <definedName name="__APW_RESTORE_DATA2047__" hidden="1">#REF!,#REF!,#REF!,#REF!,#REF!,#REF!,#REF!,#REF!,#REF!,#REF!,#REF!,#REF!,#REF!,#REF!,#REF!</definedName>
    <definedName name="__APW_RESTORE_DATA2048__" hidden="1">#REF!,#REF!,#REF!,#REF!,#REF!,#REF!,#REF!,#REF!,#REF!,#REF!,#REF!,#REF!,#REF!,#REF!,#REF!</definedName>
    <definedName name="__APW_RESTORE_DATA2049__" hidden="1">#REF!,#REF!,#REF!,#REF!,#REF!,#REF!,#REF!,#REF!,#REF!,#REF!,#REF!,#REF!,#REF!,#REF!,#REF!</definedName>
    <definedName name="__APW_RESTORE_DATA205__" hidden="1">#REF!,#REF!,#REF!,#REF!,#REF!,#REF!,#REF!,#REF!,#REF!,#REF!,#REF!,#REF!,#REF!,#REF!,#REF!</definedName>
    <definedName name="__APW_RESTORE_DATA2050__" hidden="1">#REF!,#REF!,#REF!,#REF!,#REF!,#REF!,#REF!,#REF!,#REF!,#REF!,#REF!,#REF!,#REF!,#REF!,#REF!</definedName>
    <definedName name="__APW_RESTORE_DATA2051__" hidden="1">#REF!,#REF!,#REF!,#REF!,#REF!,#REF!,#REF!,#REF!,#REF!,#REF!,#REF!,#REF!,#REF!,#REF!,#REF!</definedName>
    <definedName name="__APW_RESTORE_DATA2052__" hidden="1">#REF!,#REF!,#REF!,#REF!,#REF!,#REF!,#REF!,#REF!,#REF!,#REF!,#REF!,#REF!,#REF!,#REF!,#REF!</definedName>
    <definedName name="__APW_RESTORE_DATA2053__" hidden="1">#REF!,#REF!,#REF!,#REF!,#REF!,#REF!,#REF!,#REF!,#REF!,#REF!,#REF!,#REF!,#REF!,#REF!,#REF!</definedName>
    <definedName name="__APW_RESTORE_DATA2054__" hidden="1">#REF!,#REF!,#REF!,#REF!,#REF!,#REF!</definedName>
    <definedName name="__APW_RESTORE_DATA2055__" hidden="1">#REF!,#REF!,#REF!,#REF!,#REF!,#REF!,#REF!,#REF!,#REF!,#REF!,#REF!,#REF!,#REF!,#REF!,#REF!,#REF!</definedName>
    <definedName name="__APW_RESTORE_DATA2056__" hidden="1">#REF!,#REF!,#REF!,#REF!,#REF!,#REF!,#REF!,#REF!,#REF!,#REF!,#REF!,#REF!,#REF!,#REF!,#REF!,#REF!</definedName>
    <definedName name="__APW_RESTORE_DATA2057__" hidden="1">#REF!,#REF!,#REF!,#REF!,#REF!,#REF!,#REF!,#REF!,#REF!,#REF!,#REF!,#REF!,#REF!,#REF!,#REF!,#REF!</definedName>
    <definedName name="__APW_RESTORE_DATA2058__" hidden="1">#REF!,#REF!,#REF!,#REF!,#REF!,#REF!,#REF!,#REF!,#REF!,#REF!,#REF!,#REF!,#REF!,#REF!,#REF!,#REF!</definedName>
    <definedName name="__APW_RESTORE_DATA2059__" hidden="1">#REF!,#REF!,#REF!,#REF!,#REF!,#REF!,#REF!,#REF!,#REF!,#REF!,#REF!,#REF!,#REF!,#REF!,#REF!,#REF!</definedName>
    <definedName name="__APW_RESTORE_DATA206__" hidden="1">#REF!,#REF!,#REF!,#REF!,#REF!,#REF!,#REF!,#REF!,#REF!,#REF!,#REF!,#REF!,#REF!,#REF!,#REF!</definedName>
    <definedName name="__APW_RESTORE_DATA2060__" hidden="1">#REF!,#REF!,#REF!,#REF!,#REF!,#REF!,#REF!,#REF!,#REF!,#REF!,#REF!,#REF!,#REF!,#REF!,#REF!,#REF!</definedName>
    <definedName name="__APW_RESTORE_DATA2061__" hidden="1">#REF!,#REF!,#REF!,#REF!,#REF!,#REF!,#REF!,#REF!,#REF!,#REF!,#REF!,#REF!,#REF!,#REF!,#REF!</definedName>
    <definedName name="__APW_RESTORE_DATA2062__" hidden="1">#REF!,#REF!,#REF!,#REF!,#REF!,#REF!,#REF!,#REF!,#REF!,#REF!,#REF!,#REF!,#REF!,#REF!,#REF!</definedName>
    <definedName name="__APW_RESTORE_DATA2063__" hidden="1">#REF!,#REF!,#REF!,#REF!,#REF!,#REF!,#REF!,#REF!,#REF!,#REF!,#REF!,#REF!,#REF!,#REF!,#REF!</definedName>
    <definedName name="__APW_RESTORE_DATA2064__" hidden="1">#REF!,#REF!,#REF!,#REF!,#REF!,#REF!,#REF!,#REF!,#REF!,#REF!,#REF!,#REF!,#REF!,#REF!,#REF!</definedName>
    <definedName name="__APW_RESTORE_DATA2065__" hidden="1">#REF!,#REF!,#REF!,#REF!,#REF!,#REF!,#REF!,#REF!,#REF!,#REF!,#REF!,#REF!,#REF!,#REF!,#REF!</definedName>
    <definedName name="__APW_RESTORE_DATA2066__" hidden="1">#REF!,#REF!,#REF!,#REF!,#REF!,#REF!,#REF!,#REF!,#REF!,#REF!,#REF!,#REF!,#REF!,#REF!,#REF!</definedName>
    <definedName name="__APW_RESTORE_DATA2067__" hidden="1">#REF!,#REF!,#REF!,#REF!,#REF!,#REF!,#REF!,#REF!,#REF!,#REF!,#REF!,#REF!,#REF!,#REF!,#REF!</definedName>
    <definedName name="__APW_RESTORE_DATA2068__" hidden="1">#REF!,#REF!,#REF!,#REF!,#REF!,#REF!,#REF!,#REF!,#REF!,#REF!,#REF!,#REF!,#REF!,#REF!,#REF!</definedName>
    <definedName name="__APW_RESTORE_DATA2069__" hidden="1">#REF!,#REF!,#REF!,#REF!,#REF!,#REF!,#REF!,#REF!,#REF!,#REF!,#REF!,#REF!,#REF!,#REF!,#REF!</definedName>
    <definedName name="__APW_RESTORE_DATA207__" hidden="1">#REF!,#REF!</definedName>
    <definedName name="__APW_RESTORE_DATA2070__" hidden="1">#REF!,#REF!,#REF!,#REF!,#REF!,#REF!,#REF!,#REF!,#REF!,#REF!,#REF!,#REF!,#REF!,#REF!,#REF!</definedName>
    <definedName name="__APW_RESTORE_DATA2071__" hidden="1">#REF!,#REF!,#REF!,#REF!,#REF!,#REF!,#REF!,#REF!,#REF!,#REF!,#REF!,#REF!,#REF!,#REF!,#REF!</definedName>
    <definedName name="__APW_RESTORE_DATA2072__" hidden="1">#REF!,#REF!,#REF!,#REF!,#REF!,#REF!,#REF!,#REF!,#REF!,#REF!,#REF!,#REF!,#REF!,#REF!,#REF!</definedName>
    <definedName name="__APW_RESTORE_DATA2073__" hidden="1">#REF!,#REF!,#REF!,#REF!,#REF!,#REF!,#REF!,#REF!,#REF!,#REF!,#REF!,#REF!,#REF!,#REF!,#REF!</definedName>
    <definedName name="__APW_RESTORE_DATA2074__" hidden="1">#REF!,#REF!,#REF!,#REF!,#REF!,#REF!,#REF!,#REF!,#REF!,#REF!,#REF!,#REF!,#REF!,#REF!,#REF!</definedName>
    <definedName name="__APW_RESTORE_DATA2075__" hidden="1">#REF!,#REF!,#REF!,#REF!,#REF!,#REF!,#REF!,#REF!,#REF!,#REF!,#REF!,#REF!,#REF!,#REF!,#REF!</definedName>
    <definedName name="__APW_RESTORE_DATA2076__" hidden="1">#REF!,#REF!,#REF!,#REF!,#REF!,#REF!,#REF!,#REF!,#REF!,#REF!,#REF!,#REF!,#REF!,#REF!,#REF!</definedName>
    <definedName name="__APW_RESTORE_DATA2077__" hidden="1">#REF!,#REF!,#REF!,#REF!,#REF!,#REF!,#REF!,#REF!,#REF!,#REF!,#REF!,#REF!,#REF!,#REF!,#REF!</definedName>
    <definedName name="__APW_RESTORE_DATA2078__" hidden="1">#REF!,#REF!,#REF!,#REF!,#REF!,#REF!,#REF!,#REF!,#REF!,#REF!,#REF!,#REF!,#REF!,#REF!,#REF!</definedName>
    <definedName name="__APW_RESTORE_DATA2079__" hidden="1">#REF!,#REF!,#REF!,#REF!,#REF!,#REF!,#REF!,#REF!,#REF!,#REF!,#REF!,#REF!,#REF!,#REF!,#REF!</definedName>
    <definedName name="__APW_RESTORE_DATA208__" hidden="1">#REF!,#REF!,#REF!,#REF!,#REF!,#REF!,#REF!,#REF!,#REF!,#REF!,#REF!,#REF!,#REF!,#REF!,#REF!</definedName>
    <definedName name="__APW_RESTORE_DATA2080__" hidden="1">#REF!,#REF!,#REF!,#REF!,#REF!,#REF!,#REF!,#REF!,#REF!,#REF!,#REF!,#REF!,#REF!,#REF!,#REF!</definedName>
    <definedName name="__APW_RESTORE_DATA2081__" hidden="1">#REF!,#REF!,#REF!,#REF!,#REF!,#REF!,#REF!,#REF!,#REF!,#REF!,#REF!,#REF!,#REF!,#REF!,#REF!</definedName>
    <definedName name="__APW_RESTORE_DATA2082__" hidden="1">#REF!,#REF!,#REF!,#REF!,#REF!,#REF!,#REF!,#REF!,#REF!,#REF!,#REF!,#REF!,#REF!,#REF!,#REF!</definedName>
    <definedName name="__APW_RESTORE_DATA2083__" hidden="1">#REF!,#REF!,#REF!,#REF!,#REF!,#REF!,#REF!,#REF!,#REF!,#REF!,#REF!,#REF!,#REF!,#REF!,#REF!</definedName>
    <definedName name="__APW_RESTORE_DATA2084__" hidden="1">#REF!,#REF!,#REF!,#REF!,#REF!,#REF!,#REF!,#REF!,#REF!,#REF!,#REF!,#REF!,#REF!,#REF!,#REF!</definedName>
    <definedName name="__APW_RESTORE_DATA2085__" hidden="1">#REF!,#REF!,#REF!,#REF!,#REF!,#REF!,#REF!,#REF!,#REF!,#REF!,#REF!,#REF!,#REF!,#REF!,#REF!</definedName>
    <definedName name="__APW_RESTORE_DATA2086__" hidden="1">#REF!,#REF!,#REF!,#REF!,#REF!,#REF!,#REF!,#REF!,#REF!,#REF!,#REF!,#REF!,#REF!,#REF!,#REF!</definedName>
    <definedName name="__APW_RESTORE_DATA2087__" hidden="1">#REF!,#REF!,#REF!,#REF!,#REF!,#REF!,#REF!,#REF!,#REF!,#REF!,#REF!,#REF!,#REF!,#REF!,#REF!</definedName>
    <definedName name="__APW_RESTORE_DATA2088__" hidden="1">#REF!,#REF!,#REF!,#REF!,#REF!,#REF!,#REF!,#REF!,#REF!,#REF!,#REF!,#REF!,#REF!,#REF!,#REF!</definedName>
    <definedName name="__APW_RESTORE_DATA2089__" hidden="1">#REF!,#REF!,#REF!,#REF!,#REF!,#REF!</definedName>
    <definedName name="__APW_RESTORE_DATA209__" hidden="1">#REF!,#REF!,#REF!,#REF!,#REF!,#REF!,#REF!,#REF!,#REF!,#REF!,#REF!,#REF!,#REF!,#REF!,#REF!</definedName>
    <definedName name="__APW_RESTORE_DATA2090__" hidden="1">#REF!,#REF!,#REF!,#REF!,#REF!,#REF!,#REF!,#REF!,#REF!,#REF!,#REF!,#REF!,#REF!,#REF!,#REF!,#REF!</definedName>
    <definedName name="__APW_RESTORE_DATA2091__" hidden="1">#REF!,#REF!,#REF!,#REF!,#REF!,#REF!,#REF!,#REF!,#REF!,#REF!,#REF!,#REF!,#REF!,#REF!,#REF!,#REF!</definedName>
    <definedName name="__APW_RESTORE_DATA2092__" hidden="1">#REF!,#REF!,#REF!,#REF!,#REF!,#REF!,#REF!,#REF!,#REF!,#REF!,#REF!,#REF!,#REF!,#REF!,#REF!,#REF!</definedName>
    <definedName name="__APW_RESTORE_DATA2093__" hidden="1">#REF!,#REF!,#REF!,#REF!,#REF!,#REF!,#REF!,#REF!,#REF!,#REF!,#REF!,#REF!,#REF!,#REF!,#REF!,#REF!</definedName>
    <definedName name="__APW_RESTORE_DATA2094__" hidden="1">#REF!,#REF!,#REF!,#REF!,#REF!,#REF!,#REF!,#REF!,#REF!,#REF!,#REF!,#REF!,#REF!,#REF!,#REF!,#REF!</definedName>
    <definedName name="__APW_RESTORE_DATA2095__" hidden="1">#REF!,#REF!,#REF!,#REF!,#REF!,#REF!,#REF!,#REF!,#REF!,#REF!,#REF!,#REF!,#REF!,#REF!,#REF!,#REF!</definedName>
    <definedName name="__APW_RESTORE_DATA2096__" hidden="1">#REF!,#REF!,#REF!,#REF!,#REF!,#REF!,#REF!,#REF!,#REF!,#REF!,#REF!,#REF!,#REF!,#REF!,#REF!</definedName>
    <definedName name="__APW_RESTORE_DATA2097__" hidden="1">#REF!,#REF!,#REF!,#REF!,#REF!,#REF!,#REF!,#REF!,#REF!,#REF!,#REF!,#REF!,#REF!,#REF!,#REF!</definedName>
    <definedName name="__APW_RESTORE_DATA2098__" hidden="1">#REF!,#REF!,#REF!,#REF!,#REF!,#REF!,#REF!,#REF!,#REF!,#REF!,#REF!,#REF!,#REF!,#REF!,#REF!</definedName>
    <definedName name="__APW_RESTORE_DATA2099__" hidden="1">#REF!,#REF!,#REF!,#REF!,#REF!,#REF!,#REF!,#REF!,#REF!,#REF!,#REF!,#REF!,#REF!,#REF!,#REF!</definedName>
    <definedName name="__APW_RESTORE_DATA21__" hidden="1">#REF!</definedName>
    <definedName name="__APW_RESTORE_DATA210__" hidden="1">#REF!,#REF!,#REF!,#REF!,#REF!,#REF!,#REF!,#REF!,#REF!,#REF!,#REF!,#REF!,#REF!,#REF!,#REF!</definedName>
    <definedName name="__APW_RESTORE_DATA2100__" hidden="1">#REF!,#REF!,#REF!,#REF!,#REF!,#REF!,#REF!,#REF!,#REF!,#REF!,#REF!,#REF!,#REF!,#REF!,#REF!</definedName>
    <definedName name="__APW_RESTORE_DATA2101__" hidden="1">#REF!,#REF!,#REF!,#REF!,#REF!,#REF!,#REF!,#REF!,#REF!,#REF!,#REF!,#REF!,#REF!,#REF!,#REF!</definedName>
    <definedName name="__APW_RESTORE_DATA2102__" hidden="1">#REF!,#REF!,#REF!,#REF!,#REF!,#REF!,#REF!,#REF!,#REF!,#REF!,#REF!,#REF!,#REF!,#REF!,#REF!</definedName>
    <definedName name="__APW_RESTORE_DATA2103__" hidden="1">#REF!,#REF!,#REF!,#REF!,#REF!,#REF!,#REF!,#REF!,#REF!,#REF!,#REF!,#REF!,#REF!,#REF!,#REF!</definedName>
    <definedName name="__APW_RESTORE_DATA2104__" hidden="1">#REF!,#REF!,#REF!,#REF!,#REF!,#REF!,#REF!,#REF!,#REF!,#REF!,#REF!,#REF!,#REF!,#REF!,#REF!</definedName>
    <definedName name="__APW_RESTORE_DATA2105__" hidden="1">#REF!,#REF!,#REF!,#REF!,#REF!,#REF!,#REF!,#REF!,#REF!,#REF!,#REF!,#REF!,#REF!,#REF!,#REF!</definedName>
    <definedName name="__APW_RESTORE_DATA2106__" hidden="1">#REF!,#REF!,#REF!,#REF!,#REF!,#REF!,#REF!,#REF!,#REF!,#REF!,#REF!,#REF!,#REF!,#REF!,#REF!</definedName>
    <definedName name="__APW_RESTORE_DATA2107__" hidden="1">#REF!,#REF!,#REF!,#REF!,#REF!,#REF!,#REF!,#REF!,#REF!,#REF!,#REF!,#REF!,#REF!,#REF!,#REF!</definedName>
    <definedName name="__APW_RESTORE_DATA2108__" hidden="1">#REF!,#REF!,#REF!,#REF!,#REF!,#REF!,#REF!,#REF!,#REF!,#REF!,#REF!,#REF!,#REF!,#REF!,#REF!</definedName>
    <definedName name="__APW_RESTORE_DATA2109__" hidden="1">#REF!,#REF!,#REF!,#REF!,#REF!,#REF!,#REF!,#REF!,#REF!,#REF!,#REF!,#REF!,#REF!,#REF!,#REF!</definedName>
    <definedName name="__APW_RESTORE_DATA211__" hidden="1">#REF!,#REF!,#REF!,#REF!,#REF!,#REF!,#REF!,#REF!,#REF!,#REF!,#REF!,#REF!,#REF!,#REF!,#REF!</definedName>
    <definedName name="__APW_RESTORE_DATA2110__" hidden="1">#REF!,#REF!,#REF!,#REF!,#REF!,#REF!,#REF!,#REF!,#REF!,#REF!,#REF!,#REF!,#REF!,#REF!,#REF!</definedName>
    <definedName name="__APW_RESTORE_DATA2111__" hidden="1">#REF!,#REF!,#REF!,#REF!,#REF!,#REF!,#REF!,#REF!,#REF!,#REF!,#REF!,#REF!,#REF!,#REF!,#REF!</definedName>
    <definedName name="__APW_RESTORE_DATA2112__" hidden="1">#REF!,#REF!,#REF!,#REF!,#REF!,#REF!,#REF!,#REF!,#REF!,#REF!,#REF!,#REF!,#REF!,#REF!,#REF!</definedName>
    <definedName name="__APW_RESTORE_DATA2113__" hidden="1">#REF!,#REF!,#REF!,#REF!,#REF!,#REF!,#REF!,#REF!,#REF!,#REF!,#REF!,#REF!,#REF!,#REF!,#REF!</definedName>
    <definedName name="__APW_RESTORE_DATA2114__" hidden="1">#REF!,#REF!,#REF!,#REF!,#REF!,#REF!,#REF!,#REF!,#REF!,#REF!,#REF!,#REF!,#REF!,#REF!,#REF!</definedName>
    <definedName name="__APW_RESTORE_DATA2115__" hidden="1">#REF!,#REF!,#REF!,#REF!,#REF!,#REF!,#REF!,#REF!,#REF!,#REF!,#REF!,#REF!,#REF!,#REF!,#REF!</definedName>
    <definedName name="__APW_RESTORE_DATA2116__" hidden="1">#REF!,#REF!,#REF!,#REF!,#REF!,#REF!,#REF!,#REF!,#REF!,#REF!,#REF!,#REF!,#REF!,#REF!,#REF!</definedName>
    <definedName name="__APW_RESTORE_DATA2117__" hidden="1">#REF!,#REF!,#REF!,#REF!,#REF!,#REF!,#REF!,#REF!,#REF!,#REF!,#REF!,#REF!,#REF!,#REF!,#REF!</definedName>
    <definedName name="__APW_RESTORE_DATA2118__" hidden="1">#REF!,#REF!,#REF!,#REF!,#REF!,#REF!,#REF!,#REF!,#REF!,#REF!,#REF!,#REF!,#REF!,#REF!,#REF!</definedName>
    <definedName name="__APW_RESTORE_DATA2119__" hidden="1">#REF!,#REF!,#REF!,#REF!,#REF!,#REF!,#REF!,#REF!,#REF!,#REF!,#REF!,#REF!,#REF!,#REF!,#REF!</definedName>
    <definedName name="__APW_RESTORE_DATA212__" hidden="1">#REF!,#REF!</definedName>
    <definedName name="__APW_RESTORE_DATA2120__" hidden="1">#REF!,#REF!,#REF!,#REF!,#REF!,#REF!,#REF!,#REF!,#REF!,#REF!,#REF!,#REF!,#REF!,#REF!,#REF!</definedName>
    <definedName name="__APW_RESTORE_DATA2121__" hidden="1">#REF!,#REF!,#REF!,#REF!,#REF!,#REF!,#REF!,#REF!,#REF!,#REF!,#REF!,#REF!,#REF!,#REF!,#REF!</definedName>
    <definedName name="__APW_RESTORE_DATA2122__" hidden="1">#REF!,#REF!,#REF!,#REF!,#REF!,#REF!,#REF!,#REF!,#REF!,#REF!,#REF!,#REF!,#REF!,#REF!,#REF!</definedName>
    <definedName name="__APW_RESTORE_DATA2123__" hidden="1">#REF!,#REF!,#REF!,#REF!,#REF!,#REF!,#REF!,#REF!,#REF!,#REF!,#REF!,#REF!,#REF!,#REF!,#REF!</definedName>
    <definedName name="__APW_RESTORE_DATA2124__" hidden="1">#REF!,#REF!,#REF!,#REF!,#REF!,#REF!</definedName>
    <definedName name="__APW_RESTORE_DATA2125__" hidden="1">#REF!,#REF!,#REF!,#REF!,#REF!,#REF!,#REF!,#REF!,#REF!,#REF!,#REF!,#REF!,#REF!,#REF!,#REF!,#REF!</definedName>
    <definedName name="__APW_RESTORE_DATA2126__" hidden="1">#REF!,#REF!,#REF!,#REF!,#REF!,#REF!,#REF!,#REF!,#REF!,#REF!,#REF!,#REF!,#REF!,#REF!,#REF!,#REF!</definedName>
    <definedName name="__APW_RESTORE_DATA2127__" hidden="1">#REF!,#REF!,#REF!,#REF!,#REF!,#REF!,#REF!,#REF!,#REF!,#REF!,#REF!,#REF!,#REF!,#REF!,#REF!,#REF!</definedName>
    <definedName name="__APW_RESTORE_DATA2128__" hidden="1">#REF!,#REF!,#REF!,#REF!,#REF!,#REF!,#REF!,#REF!,#REF!,#REF!,#REF!,#REF!,#REF!,#REF!,#REF!,#REF!</definedName>
    <definedName name="__APW_RESTORE_DATA2129__" hidden="1">#REF!,#REF!,#REF!,#REF!,#REF!,#REF!,#REF!,#REF!,#REF!,#REF!,#REF!,#REF!,#REF!,#REF!,#REF!,#REF!</definedName>
    <definedName name="__APW_RESTORE_DATA213__" hidden="1">#REF!,#REF!,#REF!,#REF!,#REF!,#REF!,#REF!,#REF!,#REF!,#REF!,#REF!,#REF!,#REF!,#REF!,#REF!</definedName>
    <definedName name="__APW_RESTORE_DATA2130__" hidden="1">#REF!,#REF!,#REF!,#REF!,#REF!,#REF!,#REF!,#REF!,#REF!,#REF!,#REF!,#REF!,#REF!,#REF!,#REF!,#REF!</definedName>
    <definedName name="__APW_RESTORE_DATA2131__" hidden="1">#REF!,#REF!,#REF!,#REF!,#REF!,#REF!,#REF!,#REF!,#REF!,#REF!,#REF!,#REF!,#REF!,#REF!,#REF!</definedName>
    <definedName name="__APW_RESTORE_DATA2132__" hidden="1">#REF!,#REF!,#REF!,#REF!,#REF!,#REF!,#REF!,#REF!,#REF!,#REF!,#REF!,#REF!,#REF!,#REF!,#REF!</definedName>
    <definedName name="__APW_RESTORE_DATA2133__" hidden="1">#REF!,#REF!,#REF!,#REF!,#REF!,#REF!,#REF!,#REF!,#REF!,#REF!,#REF!,#REF!,#REF!,#REF!,#REF!</definedName>
    <definedName name="__APW_RESTORE_DATA2134__" hidden="1">#REF!,#REF!,#REF!,#REF!,#REF!,#REF!,#REF!,#REF!,#REF!,#REF!,#REF!,#REF!,#REF!,#REF!,#REF!</definedName>
    <definedName name="__APW_RESTORE_DATA2135__" hidden="1">#REF!,#REF!,#REF!,#REF!,#REF!,#REF!,#REF!,#REF!,#REF!,#REF!,#REF!,#REF!,#REF!,#REF!,#REF!</definedName>
    <definedName name="__APW_RESTORE_DATA2136__" hidden="1">#REF!,#REF!,#REF!,#REF!,#REF!,#REF!,#REF!,#REF!,#REF!,#REF!,#REF!,#REF!,#REF!,#REF!,#REF!</definedName>
    <definedName name="__APW_RESTORE_DATA2137__" hidden="1">#REF!,#REF!,#REF!,#REF!,#REF!,#REF!,#REF!,#REF!,#REF!,#REF!,#REF!,#REF!,#REF!,#REF!,#REF!</definedName>
    <definedName name="__APW_RESTORE_DATA2138__" hidden="1">#REF!,#REF!,#REF!,#REF!,#REF!,#REF!,#REF!,#REF!,#REF!,#REF!,#REF!,#REF!,#REF!,#REF!,#REF!</definedName>
    <definedName name="__APW_RESTORE_DATA2139__" hidden="1">#REF!,#REF!,#REF!,#REF!,#REF!,#REF!,#REF!,#REF!,#REF!,#REF!,#REF!,#REF!,#REF!,#REF!,#REF!</definedName>
    <definedName name="__APW_RESTORE_DATA214__" hidden="1">#REF!,#REF!,#REF!,#REF!,#REF!,#REF!,#REF!,#REF!,#REF!,#REF!,#REF!,#REF!,#REF!,#REF!,#REF!</definedName>
    <definedName name="__APW_RESTORE_DATA2140__" hidden="1">#REF!,#REF!,#REF!,#REF!,#REF!,#REF!,#REF!,#REF!,#REF!,#REF!,#REF!,#REF!,#REF!,#REF!,#REF!</definedName>
    <definedName name="__APW_RESTORE_DATA2141__" hidden="1">#REF!,#REF!,#REF!,#REF!,#REF!,#REF!,#REF!,#REF!,#REF!,#REF!,#REF!,#REF!,#REF!,#REF!,#REF!</definedName>
    <definedName name="__APW_RESTORE_DATA2142__" hidden="1">#REF!,#REF!,#REF!,#REF!,#REF!,#REF!,#REF!,#REF!,#REF!,#REF!,#REF!,#REF!,#REF!,#REF!,#REF!</definedName>
    <definedName name="__APW_RESTORE_DATA2143__" hidden="1">#REF!,#REF!,#REF!,#REF!,#REF!,#REF!,#REF!,#REF!,#REF!,#REF!,#REF!,#REF!,#REF!,#REF!,#REF!</definedName>
    <definedName name="__APW_RESTORE_DATA2144__" hidden="1">#REF!,#REF!,#REF!,#REF!,#REF!,#REF!,#REF!,#REF!,#REF!,#REF!,#REF!,#REF!,#REF!,#REF!,#REF!</definedName>
    <definedName name="__APW_RESTORE_DATA2145__" hidden="1">#REF!,#REF!,#REF!,#REF!,#REF!,#REF!,#REF!,#REF!,#REF!,#REF!,#REF!,#REF!,#REF!,#REF!,#REF!</definedName>
    <definedName name="__APW_RESTORE_DATA2146__" hidden="1">#REF!,#REF!,#REF!,#REF!,#REF!,#REF!,#REF!,#REF!,#REF!,#REF!,#REF!,#REF!,#REF!,#REF!,#REF!</definedName>
    <definedName name="__APW_RESTORE_DATA2147__" hidden="1">#REF!,#REF!,#REF!,#REF!,#REF!,#REF!,#REF!,#REF!,#REF!,#REF!,#REF!,#REF!,#REF!,#REF!,#REF!</definedName>
    <definedName name="__APW_RESTORE_DATA2148__" hidden="1">#REF!,#REF!,#REF!,#REF!,#REF!,#REF!,#REF!,#REF!,#REF!,#REF!,#REF!,#REF!,#REF!,#REF!,#REF!</definedName>
    <definedName name="__APW_RESTORE_DATA2149__" hidden="1">#REF!,#REF!,#REF!,#REF!,#REF!,#REF!,#REF!,#REF!,#REF!,#REF!,#REF!,#REF!,#REF!,#REF!,#REF!</definedName>
    <definedName name="__APW_RESTORE_DATA215__" hidden="1">#REF!,#REF!,#REF!,#REF!,#REF!,#REF!,#REF!,#REF!,#REF!,#REF!,#REF!,#REF!,#REF!,#REF!,#REF!</definedName>
    <definedName name="__APW_RESTORE_DATA2150__" hidden="1">#REF!,#REF!,#REF!,#REF!,#REF!,#REF!,#REF!,#REF!,#REF!,#REF!,#REF!,#REF!,#REF!,#REF!,#REF!</definedName>
    <definedName name="__APW_RESTORE_DATA2151__" hidden="1">#REF!,#REF!,#REF!,#REF!,#REF!,#REF!,#REF!,#REF!,#REF!,#REF!,#REF!,#REF!,#REF!,#REF!,#REF!</definedName>
    <definedName name="__APW_RESTORE_DATA2152__" hidden="1">#REF!,#REF!,#REF!,#REF!,#REF!,#REF!,#REF!,#REF!,#REF!,#REF!,#REF!,#REF!,#REF!,#REF!,#REF!</definedName>
    <definedName name="__APW_RESTORE_DATA2153__" hidden="1">#REF!,#REF!,#REF!,#REF!,#REF!,#REF!,#REF!,#REF!,#REF!,#REF!,#REF!,#REF!,#REF!,#REF!,#REF!</definedName>
    <definedName name="__APW_RESTORE_DATA2154__" hidden="1">#REF!,#REF!,#REF!,#REF!,#REF!,#REF!,#REF!,#REF!,#REF!,#REF!,#REF!,#REF!,#REF!,#REF!,#REF!</definedName>
    <definedName name="__APW_RESTORE_DATA2155__" hidden="1">#REF!,#REF!,#REF!,#REF!,#REF!,#REF!,#REF!,#REF!,#REF!,#REF!,#REF!,#REF!,#REF!,#REF!,#REF!</definedName>
    <definedName name="__APW_RESTORE_DATA2156__" hidden="1">#REF!,#REF!,#REF!,#REF!,#REF!,#REF!,#REF!,#REF!,#REF!,#REF!,#REF!,#REF!,#REF!,#REF!,#REF!</definedName>
    <definedName name="__APW_RESTORE_DATA2157__" hidden="1">#REF!,#REF!,#REF!,#REF!,#REF!,#REF!,#REF!,#REF!,#REF!,#REF!,#REF!,#REF!,#REF!,#REF!,#REF!</definedName>
    <definedName name="__APW_RESTORE_DATA2158__" hidden="1">#REF!,#REF!,#REF!,#REF!,#REF!,#REF!,#REF!,#REF!,#REF!,#REF!,#REF!,#REF!,#REF!,#REF!,#REF!</definedName>
    <definedName name="__APW_RESTORE_DATA2159__" hidden="1">#REF!,#REF!,#REF!,#REF!,#REF!,#REF!</definedName>
    <definedName name="__APW_RESTORE_DATA216__" hidden="1">#REF!,#REF!,#REF!,#REF!,#REF!,#REF!,#REF!,#REF!</definedName>
    <definedName name="__APW_RESTORE_DATA2160__" hidden="1">#REF!</definedName>
    <definedName name="__APW_RESTORE_DATA2161__" hidden="1">#REF!</definedName>
    <definedName name="__APW_RESTORE_DATA2162__" hidden="1">#REF!</definedName>
    <definedName name="__APW_RESTORE_DATA2164__" hidden="1">#REF!</definedName>
    <definedName name="__APW_RESTORE_DATA2165__" hidden="1">#REF!,#REF!,#REF!,#REF!,#REF!,#REF!,#REF!,#REF!,#REF!,#REF!,#REF!,#REF!,#REF!,#REF!,#REF!,#REF!</definedName>
    <definedName name="__APW_RESTORE_DATA2166__" hidden="1">#REF!,#REF!,#REF!,#REF!,#REF!,#REF!,#REF!,#REF!,#REF!,#REF!,#REF!,#REF!,#REF!,#REF!,#REF!,#REF!</definedName>
    <definedName name="__APW_RESTORE_DATA2167__" hidden="1">#REF!,#REF!,#REF!,#REF!,#REF!,#REF!,#REF!,#REF!,#REF!,#REF!,#REF!,#REF!,#REF!,#REF!,#REF!,#REF!</definedName>
    <definedName name="__APW_RESTORE_DATA2168__" hidden="1">#REF!,#REF!,#REF!,#REF!,#REF!,#REF!,#REF!,#REF!,#REF!,#REF!,#REF!,#REF!,#REF!,#REF!,#REF!,#REF!</definedName>
    <definedName name="__APW_RESTORE_DATA2169__" hidden="1">#REF!,#REF!,#REF!,#REF!,#REF!,#REF!,#REF!,#REF!,#REF!,#REF!,#REF!,#REF!,#REF!,#REF!,#REF!,#REF!</definedName>
    <definedName name="__APW_RESTORE_DATA217__" hidden="1">#REF!,#REF!</definedName>
    <definedName name="__APW_RESTORE_DATA2170__" hidden="1">#REF!,#REF!,#REF!,#REF!,#REF!,#REF!,#REF!,#REF!,#REF!,#REF!,#REF!,#REF!,#REF!,#REF!,#REF!,#REF!</definedName>
    <definedName name="__APW_RESTORE_DATA2171__" hidden="1">#REF!,#REF!,#REF!,#REF!,#REF!,#REF!,#REF!,#REF!,#REF!,#REF!,#REF!,#REF!,#REF!,#REF!,#REF!</definedName>
    <definedName name="__APW_RESTORE_DATA2172__" hidden="1">#REF!,#REF!,#REF!,#REF!,#REF!,#REF!,#REF!,#REF!,#REF!,#REF!,#REF!,#REF!,#REF!,#REF!,#REF!</definedName>
    <definedName name="__APW_RESTORE_DATA2173__" hidden="1">#REF!,#REF!,#REF!,#REF!,#REF!,#REF!,#REF!,#REF!,#REF!,#REF!,#REF!,#REF!,#REF!,#REF!,#REF!</definedName>
    <definedName name="__APW_RESTORE_DATA2174__" hidden="1">#REF!,#REF!,#REF!,#REF!,#REF!,#REF!,#REF!,#REF!,#REF!,#REF!,#REF!,#REF!,#REF!,#REF!,#REF!</definedName>
    <definedName name="__APW_RESTORE_DATA2175__" hidden="1">#REF!,#REF!,#REF!,#REF!,#REF!,#REF!,#REF!,#REF!,#REF!,#REF!,#REF!,#REF!,#REF!,#REF!,#REF!</definedName>
    <definedName name="__APW_RESTORE_DATA2176__" hidden="1">#REF!,#REF!,#REF!,#REF!,#REF!,#REF!,#REF!,#REF!,#REF!,#REF!,#REF!,#REF!,#REF!,#REF!,#REF!</definedName>
    <definedName name="__APW_RESTORE_DATA2177__" hidden="1">#REF!,#REF!,#REF!,#REF!,#REF!,#REF!,#REF!,#REF!,#REF!,#REF!,#REF!,#REF!,#REF!,#REF!,#REF!</definedName>
    <definedName name="__APW_RESTORE_DATA2178__" hidden="1">#REF!,#REF!,#REF!,#REF!,#REF!,#REF!,#REF!,#REF!,#REF!,#REF!,#REF!,#REF!,#REF!,#REF!,#REF!</definedName>
    <definedName name="__APW_RESTORE_DATA2179__" hidden="1">#REF!,#REF!,#REF!,#REF!,#REF!,#REF!,#REF!,#REF!,#REF!,#REF!,#REF!,#REF!,#REF!,#REF!,#REF!</definedName>
    <definedName name="__APW_RESTORE_DATA218__" hidden="1">#REF!,#REF!,#REF!,#REF!,#REF!,#REF!,#REF!,#REF!,#REF!,#REF!,#REF!,#REF!,#REF!,#REF!,#REF!,#REF!</definedName>
    <definedName name="__APW_RESTORE_DATA2180__" hidden="1">#REF!,#REF!,#REF!,#REF!,#REF!,#REF!,#REF!,#REF!,#REF!,#REF!,#REF!,#REF!,#REF!,#REF!,#REF!</definedName>
    <definedName name="__APW_RESTORE_DATA2181__" hidden="1">#REF!,#REF!,#REF!,#REF!,#REF!,#REF!,#REF!,#REF!,#REF!,#REF!,#REF!,#REF!,#REF!,#REF!,#REF!</definedName>
    <definedName name="__APW_RESTORE_DATA2182__" hidden="1">#REF!,#REF!,#REF!,#REF!,#REF!,#REF!,#REF!,#REF!,#REF!,#REF!,#REF!,#REF!,#REF!,#REF!,#REF!</definedName>
    <definedName name="__APW_RESTORE_DATA2183__" hidden="1">#REF!,#REF!,#REF!,#REF!,#REF!,#REF!,#REF!,#REF!,#REF!,#REF!,#REF!,#REF!,#REF!,#REF!,#REF!</definedName>
    <definedName name="__APW_RESTORE_DATA2184__" hidden="1">#REF!,#REF!,#REF!,#REF!,#REF!,#REF!,#REF!,#REF!,#REF!,#REF!,#REF!,#REF!,#REF!,#REF!,#REF!</definedName>
    <definedName name="__APW_RESTORE_DATA2185__" hidden="1">#REF!,#REF!,#REF!,#REF!,#REF!,#REF!,#REF!,#REF!,#REF!,#REF!,#REF!,#REF!,#REF!,#REF!,#REF!</definedName>
    <definedName name="__APW_RESTORE_DATA2186__" hidden="1">#REF!,#REF!,#REF!,#REF!,#REF!,#REF!,#REF!,#REF!,#REF!,#REF!,#REF!,#REF!,#REF!,#REF!,#REF!</definedName>
    <definedName name="__APW_RESTORE_DATA2187__" hidden="1">#REF!,#REF!,#REF!,#REF!,#REF!,#REF!,#REF!,#REF!,#REF!,#REF!,#REF!,#REF!,#REF!,#REF!,#REF!</definedName>
    <definedName name="__APW_RESTORE_DATA2188__" hidden="1">#REF!,#REF!,#REF!,#REF!,#REF!,#REF!,#REF!,#REF!,#REF!,#REF!,#REF!,#REF!,#REF!,#REF!,#REF!</definedName>
    <definedName name="__APW_RESTORE_DATA2189__" hidden="1">#REF!,#REF!,#REF!,#REF!,#REF!,#REF!,#REF!,#REF!,#REF!,#REF!,#REF!,#REF!,#REF!,#REF!,#REF!</definedName>
    <definedName name="__APW_RESTORE_DATA219__" hidden="1">#REF!,#REF!,#REF!,#REF!,#REF!,#REF!,#REF!,#REF!,#REF!,#REF!,#REF!,#REF!,#REF!,#REF!,#REF!,#REF!</definedName>
    <definedName name="__APW_RESTORE_DATA2190__" hidden="1">#REF!,#REF!,#REF!,#REF!,#REF!,#REF!,#REF!,#REF!,#REF!,#REF!,#REF!,#REF!,#REF!,#REF!,#REF!</definedName>
    <definedName name="__APW_RESTORE_DATA2191__" hidden="1">#REF!,#REF!,#REF!,#REF!,#REF!,#REF!,#REF!,#REF!,#REF!,#REF!,#REF!,#REF!,#REF!,#REF!,#REF!</definedName>
    <definedName name="__APW_RESTORE_DATA2192__" hidden="1">#REF!,#REF!,#REF!,#REF!,#REF!,#REF!,#REF!,#REF!,#REF!,#REF!,#REF!,#REF!,#REF!,#REF!,#REF!</definedName>
    <definedName name="__APW_RESTORE_DATA2193__" hidden="1">#REF!,#REF!,#REF!,#REF!,#REF!,#REF!,#REF!,#REF!,#REF!,#REF!,#REF!,#REF!,#REF!,#REF!,#REF!</definedName>
    <definedName name="__APW_RESTORE_DATA2194__" hidden="1">#REF!,#REF!,#REF!,#REF!,#REF!,#REF!,#REF!,#REF!,#REF!,#REF!,#REF!,#REF!,#REF!,#REF!,#REF!</definedName>
    <definedName name="__APW_RESTORE_DATA2195__" hidden="1">#REF!,#REF!,#REF!,#REF!,#REF!,#REF!,#REF!,#REF!,#REF!,#REF!,#REF!,#REF!,#REF!,#REF!,#REF!</definedName>
    <definedName name="__APW_RESTORE_DATA2196__" hidden="1">#REF!,#REF!,#REF!,#REF!,#REF!,#REF!,#REF!,#REF!,#REF!,#REF!,#REF!,#REF!,#REF!,#REF!,#REF!</definedName>
    <definedName name="__APW_RESTORE_DATA2197__" hidden="1">#REF!,#REF!,#REF!,#REF!,#REF!,#REF!,#REF!,#REF!,#REF!,#REF!,#REF!,#REF!,#REF!,#REF!,#REF!</definedName>
    <definedName name="__APW_RESTORE_DATA2198__" hidden="1">#REF!,#REF!,#REF!,#REF!,#REF!,#REF!,#REF!,#REF!,#REF!,#REF!,#REF!,#REF!,#REF!,#REF!,#REF!</definedName>
    <definedName name="__APW_RESTORE_DATA2199__" hidden="1">#REF!,#REF!,#REF!,#REF!,#REF!,#REF!</definedName>
    <definedName name="__APW_RESTORE_DATA22__" hidden="1">#REF!,#REF!,#REF!,#REF!,#REF!,#REF!,#REF!,#REF!,#REF!,#REF!,#REF!,#REF!,#REF!,#REF!,#REF!,#REF!</definedName>
    <definedName name="__APW_RESTORE_DATA220__" hidden="1">#REF!,#REF!,#REF!,#REF!,#REF!,#REF!,#REF!,#REF!,#REF!,#REF!,#REF!,#REF!,#REF!,#REF!,#REF!,#REF!</definedName>
    <definedName name="__APW_RESTORE_DATA2200__" hidden="1">#REF!,#REF!,#REF!,#REF!,#REF!,#REF!,#REF!,#REF!,#REF!,#REF!,#REF!,#REF!,#REF!,#REF!,#REF!,#REF!</definedName>
    <definedName name="__APW_RESTORE_DATA2201__" hidden="1">#REF!,#REF!,#REF!,#REF!,#REF!,#REF!,#REF!,#REF!,#REF!,#REF!,#REF!,#REF!,#REF!,#REF!,#REF!,#REF!</definedName>
    <definedName name="__APW_RESTORE_DATA2202__" hidden="1">#REF!,#REF!,#REF!,#REF!,#REF!,#REF!,#REF!,#REF!,#REF!,#REF!,#REF!,#REF!,#REF!,#REF!,#REF!,#REF!</definedName>
    <definedName name="__APW_RESTORE_DATA2203__" hidden="1">#REF!,#REF!,#REF!,#REF!,#REF!,#REF!,#REF!,#REF!,#REF!,#REF!,#REF!,#REF!,#REF!,#REF!,#REF!,#REF!</definedName>
    <definedName name="__APW_RESTORE_DATA2204__" hidden="1">#REF!,#REF!,#REF!,#REF!,#REF!,#REF!,#REF!,#REF!,#REF!,#REF!,#REF!,#REF!,#REF!,#REF!,#REF!,#REF!</definedName>
    <definedName name="__APW_RESTORE_DATA2205__" hidden="1">#REF!,#REF!,#REF!,#REF!,#REF!,#REF!,#REF!,#REF!,#REF!,#REF!,#REF!,#REF!,#REF!,#REF!,#REF!,#REF!</definedName>
    <definedName name="__APW_RESTORE_DATA2206__" hidden="1">#REF!,#REF!,#REF!,#REF!,#REF!,#REF!,#REF!,#REF!,#REF!,#REF!,#REF!,#REF!,#REF!,#REF!,#REF!</definedName>
    <definedName name="__APW_RESTORE_DATA2207__" hidden="1">#REF!,#REF!,#REF!,#REF!,#REF!,#REF!,#REF!,#REF!,#REF!,#REF!,#REF!,#REF!,#REF!,#REF!,#REF!</definedName>
    <definedName name="__APW_RESTORE_DATA2208__" hidden="1">#REF!,#REF!,#REF!,#REF!,#REF!,#REF!,#REF!,#REF!,#REF!,#REF!,#REF!,#REF!,#REF!,#REF!,#REF!</definedName>
    <definedName name="__APW_RESTORE_DATA2209__" hidden="1">#REF!,#REF!,#REF!,#REF!,#REF!,#REF!,#REF!,#REF!,#REF!,#REF!,#REF!,#REF!,#REF!,#REF!,#REF!</definedName>
    <definedName name="__APW_RESTORE_DATA221__" hidden="1">#REF!,#REF!,#REF!,#REF!,#REF!,#REF!,#REF!,#REF!,#REF!,#REF!,#REF!,#REF!,#REF!,#REF!,#REF!,#REF!</definedName>
    <definedName name="__APW_RESTORE_DATA2210__" hidden="1">#REF!,#REF!,#REF!,#REF!,#REF!,#REF!,#REF!,#REF!,#REF!,#REF!,#REF!,#REF!,#REF!,#REF!,#REF!</definedName>
    <definedName name="__APW_RESTORE_DATA2211__" hidden="1">#REF!,#REF!,#REF!,#REF!,#REF!,#REF!,#REF!,#REF!,#REF!,#REF!,#REF!,#REF!,#REF!,#REF!,#REF!</definedName>
    <definedName name="__APW_RESTORE_DATA2212__" hidden="1">#REF!,#REF!,#REF!,#REF!,#REF!,#REF!,#REF!,#REF!,#REF!,#REF!,#REF!,#REF!,#REF!,#REF!,#REF!</definedName>
    <definedName name="__APW_RESTORE_DATA2213__" hidden="1">#REF!,#REF!,#REF!,#REF!,#REF!,#REF!,#REF!,#REF!,#REF!,#REF!,#REF!,#REF!,#REF!,#REF!,#REF!</definedName>
    <definedName name="__APW_RESTORE_DATA2214__" hidden="1">#REF!,#REF!,#REF!,#REF!,#REF!,#REF!,#REF!,#REF!,#REF!,#REF!,#REF!,#REF!,#REF!,#REF!,#REF!</definedName>
    <definedName name="__APW_RESTORE_DATA2215__" hidden="1">#REF!,#REF!,#REF!,#REF!,#REF!,#REF!,#REF!,#REF!,#REF!,#REF!,#REF!,#REF!,#REF!,#REF!,#REF!</definedName>
    <definedName name="__APW_RESTORE_DATA2216__" hidden="1">#REF!,#REF!,#REF!,#REF!,#REF!,#REF!,#REF!,#REF!,#REF!,#REF!,#REF!,#REF!,#REF!,#REF!,#REF!</definedName>
    <definedName name="__APW_RESTORE_DATA2217__" hidden="1">#REF!,#REF!,#REF!,#REF!,#REF!,#REF!,#REF!,#REF!,#REF!,#REF!,#REF!,#REF!,#REF!,#REF!,#REF!</definedName>
    <definedName name="__APW_RESTORE_DATA2218__" hidden="1">#REF!,#REF!,#REF!,#REF!,#REF!,#REF!,#REF!,#REF!,#REF!,#REF!,#REF!,#REF!,#REF!,#REF!,#REF!</definedName>
    <definedName name="__APW_RESTORE_DATA2219__" hidden="1">#REF!,#REF!,#REF!,#REF!,#REF!,#REF!,#REF!,#REF!,#REF!,#REF!,#REF!,#REF!,#REF!,#REF!,#REF!</definedName>
    <definedName name="__APW_RESTORE_DATA222__" hidden="1">#REF!,#REF!,#REF!,#REF!,#REF!,#REF!,#REF!,#REF!,#REF!,#REF!,#REF!,#REF!,#REF!,#REF!,#REF!,#REF!</definedName>
    <definedName name="__APW_RESTORE_DATA2220__" hidden="1">#REF!,#REF!,#REF!,#REF!,#REF!,#REF!,#REF!,#REF!,#REF!,#REF!,#REF!,#REF!,#REF!,#REF!,#REF!</definedName>
    <definedName name="__APW_RESTORE_DATA2221__" hidden="1">#REF!,#REF!,#REF!,#REF!,#REF!,#REF!,#REF!,#REF!,#REF!,#REF!,#REF!,#REF!,#REF!,#REF!,#REF!</definedName>
    <definedName name="__APW_RESTORE_DATA2222__" hidden="1">#REF!,#REF!,#REF!,#REF!,#REF!,#REF!,#REF!,#REF!,#REF!,#REF!,#REF!,#REF!,#REF!,#REF!,#REF!</definedName>
    <definedName name="__APW_RESTORE_DATA2223__" hidden="1">#REF!,#REF!,#REF!,#REF!,#REF!,#REF!,#REF!,#REF!,#REF!,#REF!,#REF!,#REF!,#REF!,#REF!,#REF!</definedName>
    <definedName name="__APW_RESTORE_DATA2224__" hidden="1">#REF!,#REF!,#REF!,#REF!,#REF!,#REF!,#REF!,#REF!,#REF!,#REF!,#REF!,#REF!,#REF!,#REF!,#REF!</definedName>
    <definedName name="__APW_RESTORE_DATA2225__" hidden="1">#REF!,#REF!,#REF!,#REF!,#REF!,#REF!,#REF!,#REF!,#REF!,#REF!,#REF!,#REF!,#REF!,#REF!,#REF!</definedName>
    <definedName name="__APW_RESTORE_DATA2226__" hidden="1">#REF!,#REF!,#REF!,#REF!,#REF!,#REF!,#REF!,#REF!,#REF!,#REF!,#REF!,#REF!,#REF!,#REF!,#REF!</definedName>
    <definedName name="__APW_RESTORE_DATA2227__" hidden="1">#REF!,#REF!,#REF!,#REF!,#REF!,#REF!,#REF!,#REF!,#REF!,#REF!,#REF!,#REF!,#REF!,#REF!,#REF!</definedName>
    <definedName name="__APW_RESTORE_DATA2228__" hidden="1">#REF!,#REF!,#REF!,#REF!,#REF!,#REF!,#REF!,#REF!,#REF!,#REF!,#REF!,#REF!,#REF!,#REF!,#REF!</definedName>
    <definedName name="__APW_RESTORE_DATA2229__" hidden="1">#REF!,#REF!,#REF!,#REF!,#REF!,#REF!,#REF!,#REF!,#REF!,#REF!,#REF!,#REF!,#REF!,#REF!,#REF!</definedName>
    <definedName name="__APW_RESTORE_DATA223__" hidden="1">#REF!,#REF!,#REF!,#REF!,#REF!,#REF!,#REF!,#REF!,#REF!,#REF!,#REF!,#REF!,#REF!,#REF!,#REF!</definedName>
    <definedName name="__APW_RESTORE_DATA2230__" hidden="1">#REF!,#REF!,#REF!,#REF!,#REF!,#REF!,#REF!,#REF!,#REF!,#REF!,#REF!,#REF!,#REF!,#REF!,#REF!</definedName>
    <definedName name="__APW_RESTORE_DATA2231__" hidden="1">#REF!,#REF!,#REF!,#REF!,#REF!,#REF!,#REF!,#REF!,#REF!,#REF!,#REF!,#REF!,#REF!,#REF!,#REF!</definedName>
    <definedName name="__APW_RESTORE_DATA2232__" hidden="1">#REF!,#REF!,#REF!,#REF!,#REF!,#REF!,#REF!,#REF!,#REF!,#REF!,#REF!,#REF!,#REF!,#REF!,#REF!</definedName>
    <definedName name="__APW_RESTORE_DATA2233__" hidden="1">#REF!,#REF!,#REF!,#REF!,#REF!,#REF!,#REF!,#REF!,#REF!,#REF!,#REF!,#REF!,#REF!,#REF!,#REF!</definedName>
    <definedName name="__APW_RESTORE_DATA2234__" hidden="1">#REF!,#REF!,#REF!,#REF!,#REF!,#REF!</definedName>
    <definedName name="__APW_RESTORE_DATA2235__" hidden="1">#REF!,#REF!,#REF!,#REF!,#REF!,#REF!,#REF!,#REF!,#REF!,#REF!,#REF!,#REF!,#REF!,#REF!,#REF!,#REF!</definedName>
    <definedName name="__APW_RESTORE_DATA2236__" hidden="1">#REF!,#REF!,#REF!,#REF!,#REF!,#REF!,#REF!,#REF!,#REF!,#REF!,#REF!,#REF!,#REF!,#REF!,#REF!,#REF!</definedName>
    <definedName name="__APW_RESTORE_DATA2237__" hidden="1">#REF!,#REF!,#REF!,#REF!,#REF!,#REF!,#REF!,#REF!,#REF!,#REF!,#REF!,#REF!,#REF!,#REF!,#REF!,#REF!</definedName>
    <definedName name="__APW_RESTORE_DATA2238__" hidden="1">#REF!,#REF!,#REF!,#REF!,#REF!,#REF!,#REF!,#REF!,#REF!,#REF!,#REF!,#REF!,#REF!,#REF!,#REF!,#REF!</definedName>
    <definedName name="__APW_RESTORE_DATA2239__" hidden="1">#REF!,#REF!,#REF!,#REF!,#REF!,#REF!,#REF!,#REF!,#REF!,#REF!,#REF!,#REF!,#REF!,#REF!,#REF!,#REF!</definedName>
    <definedName name="__APW_RESTORE_DATA224__" hidden="1">#REF!,#REF!,#REF!,#REF!,#REF!,#REF!,#REF!,#REF!,#REF!,#REF!,#REF!,#REF!,#REF!,#REF!,#REF!</definedName>
    <definedName name="__APW_RESTORE_DATA2240__" hidden="1">#REF!,#REF!,#REF!,#REF!,#REF!,#REF!,#REF!,#REF!,#REF!,#REF!,#REF!,#REF!,#REF!,#REF!,#REF!,#REF!</definedName>
    <definedName name="__APW_RESTORE_DATA2241__" hidden="1">#REF!,#REF!,#REF!,#REF!,#REF!,#REF!,#REF!,#REF!,#REF!,#REF!,#REF!,#REF!,#REF!,#REF!,#REF!</definedName>
    <definedName name="__APW_RESTORE_DATA2242__" hidden="1">#REF!,#REF!,#REF!,#REF!,#REF!,#REF!,#REF!,#REF!,#REF!,#REF!,#REF!,#REF!,#REF!,#REF!,#REF!</definedName>
    <definedName name="__APW_RESTORE_DATA2243__" hidden="1">#REF!,#REF!,#REF!,#REF!,#REF!,#REF!,#REF!,#REF!,#REF!,#REF!,#REF!,#REF!,#REF!,#REF!,#REF!</definedName>
    <definedName name="__APW_RESTORE_DATA2244__" hidden="1">#REF!,#REF!,#REF!,#REF!,#REF!,#REF!,#REF!,#REF!,#REF!,#REF!,#REF!,#REF!,#REF!,#REF!,#REF!</definedName>
    <definedName name="__APW_RESTORE_DATA2245__" hidden="1">#REF!,#REF!,#REF!,#REF!,#REF!,#REF!,#REF!,#REF!,#REF!,#REF!,#REF!,#REF!,#REF!,#REF!,#REF!</definedName>
    <definedName name="__APW_RESTORE_DATA2246__" hidden="1">#REF!,#REF!,#REF!,#REF!,#REF!,#REF!,#REF!,#REF!,#REF!,#REF!,#REF!,#REF!,#REF!,#REF!,#REF!</definedName>
    <definedName name="__APW_RESTORE_DATA2247__" hidden="1">#REF!,#REF!,#REF!,#REF!,#REF!,#REF!,#REF!,#REF!,#REF!,#REF!,#REF!,#REF!,#REF!,#REF!,#REF!</definedName>
    <definedName name="__APW_RESTORE_DATA2248__" hidden="1">#REF!,#REF!,#REF!,#REF!,#REF!,#REF!,#REF!,#REF!,#REF!,#REF!,#REF!,#REF!,#REF!,#REF!,#REF!</definedName>
    <definedName name="__APW_RESTORE_DATA2249__" hidden="1">#REF!,#REF!,#REF!,#REF!,#REF!,#REF!,#REF!,#REF!,#REF!,#REF!,#REF!,#REF!,#REF!,#REF!,#REF!</definedName>
    <definedName name="__APW_RESTORE_DATA225__" hidden="1">#REF!,#REF!,#REF!,#REF!,#REF!,#REF!,#REF!,#REF!,#REF!,#REF!,#REF!,#REF!,#REF!,#REF!,#REF!</definedName>
    <definedName name="__APW_RESTORE_DATA2250__" hidden="1">#REF!,#REF!,#REF!,#REF!,#REF!,#REF!,#REF!,#REF!,#REF!,#REF!,#REF!,#REF!,#REF!,#REF!,#REF!</definedName>
    <definedName name="__APW_RESTORE_DATA2251__" hidden="1">#REF!,#REF!,#REF!,#REF!,#REF!,#REF!,#REF!,#REF!,#REF!,#REF!,#REF!,#REF!,#REF!,#REF!,#REF!</definedName>
    <definedName name="__APW_RESTORE_DATA2252__" hidden="1">#REF!,#REF!,#REF!,#REF!,#REF!,#REF!,#REF!,#REF!,#REF!,#REF!,#REF!,#REF!,#REF!,#REF!,#REF!</definedName>
    <definedName name="__APW_RESTORE_DATA2253__" hidden="1">#REF!,#REF!,#REF!,#REF!,#REF!,#REF!,#REF!,#REF!,#REF!,#REF!,#REF!,#REF!,#REF!,#REF!,#REF!</definedName>
    <definedName name="__APW_RESTORE_DATA2254__" hidden="1">#REF!,#REF!,#REF!,#REF!,#REF!,#REF!,#REF!,#REF!,#REF!,#REF!,#REF!,#REF!,#REF!,#REF!,#REF!</definedName>
    <definedName name="__APW_RESTORE_DATA2255__" hidden="1">#REF!,#REF!,#REF!,#REF!,#REF!,#REF!,#REF!,#REF!,#REF!,#REF!,#REF!,#REF!,#REF!,#REF!,#REF!</definedName>
    <definedName name="__APW_RESTORE_DATA2256__" hidden="1">#REF!,#REF!,#REF!,#REF!,#REF!,#REF!,#REF!,#REF!,#REF!,#REF!,#REF!,#REF!,#REF!,#REF!,#REF!</definedName>
    <definedName name="__APW_RESTORE_DATA2257__" hidden="1">#REF!,#REF!,#REF!,#REF!,#REF!,#REF!,#REF!,#REF!,#REF!,#REF!,#REF!,#REF!,#REF!,#REF!,#REF!</definedName>
    <definedName name="__APW_RESTORE_DATA2258__" hidden="1">#REF!,#REF!,#REF!,#REF!,#REF!,#REF!,#REF!,#REF!,#REF!,#REF!,#REF!,#REF!,#REF!,#REF!,#REF!</definedName>
    <definedName name="__APW_RESTORE_DATA2259__" hidden="1">#REF!,#REF!,#REF!,#REF!,#REF!,#REF!,#REF!,#REF!,#REF!,#REF!,#REF!,#REF!,#REF!,#REF!,#REF!</definedName>
    <definedName name="__APW_RESTORE_DATA226__" hidden="1">#REF!,#REF!,#REF!,#REF!,#REF!,#REF!,#REF!,#REF!,#REF!,#REF!,#REF!,#REF!,#REF!,#REF!,#REF!</definedName>
    <definedName name="__APW_RESTORE_DATA2260__" hidden="1">#REF!,#REF!,#REF!,#REF!,#REF!,#REF!,#REF!,#REF!,#REF!,#REF!,#REF!,#REF!,#REF!,#REF!,#REF!</definedName>
    <definedName name="__APW_RESTORE_DATA2261__" hidden="1">#REF!,#REF!,#REF!,#REF!,#REF!,#REF!,#REF!,#REF!,#REF!,#REF!,#REF!,#REF!,#REF!,#REF!,#REF!</definedName>
    <definedName name="__APW_RESTORE_DATA2262__" hidden="1">#REF!,#REF!,#REF!,#REF!,#REF!,#REF!,#REF!,#REF!,#REF!,#REF!,#REF!,#REF!,#REF!,#REF!,#REF!</definedName>
    <definedName name="__APW_RESTORE_DATA2263__" hidden="1">#REF!,#REF!,#REF!,#REF!,#REF!,#REF!,#REF!,#REF!,#REF!,#REF!,#REF!,#REF!,#REF!,#REF!,#REF!</definedName>
    <definedName name="__APW_RESTORE_DATA2264__" hidden="1">#REF!,#REF!,#REF!,#REF!,#REF!,#REF!,#REF!,#REF!,#REF!,#REF!,#REF!,#REF!,#REF!,#REF!,#REF!</definedName>
    <definedName name="__APW_RESTORE_DATA2265__" hidden="1">#REF!,#REF!,#REF!,#REF!,#REF!,#REF!,#REF!,#REF!,#REF!,#REF!,#REF!,#REF!,#REF!,#REF!,#REF!</definedName>
    <definedName name="__APW_RESTORE_DATA2266__" hidden="1">#REF!,#REF!,#REF!,#REF!,#REF!,#REF!,#REF!,#REF!,#REF!,#REF!,#REF!,#REF!,#REF!,#REF!,#REF!</definedName>
    <definedName name="__APW_RESTORE_DATA2267__" hidden="1">#REF!,#REF!,#REF!,#REF!,#REF!,#REF!,#REF!,#REF!,#REF!,#REF!,#REF!,#REF!,#REF!,#REF!,#REF!</definedName>
    <definedName name="__APW_RESTORE_DATA2268__" hidden="1">#REF!,#REF!,#REF!,#REF!,#REF!,#REF!,#REF!,#REF!,#REF!,#REF!,#REF!,#REF!,#REF!,#REF!,#REF!</definedName>
    <definedName name="__APW_RESTORE_DATA2269__" hidden="1">#REF!,#REF!,#REF!,#REF!,#REF!,#REF!</definedName>
    <definedName name="__APW_RESTORE_DATA227__" hidden="1">#REF!,#REF!,#REF!,#REF!,#REF!,#REF!,#REF!,#REF!,#REF!,#REF!,#REF!,#REF!,#REF!,#REF!,#REF!</definedName>
    <definedName name="__APW_RESTORE_DATA2270__" hidden="1">#REF!,#REF!,#REF!,#REF!,#REF!,#REF!,#REF!,#REF!,#REF!,#REF!,#REF!,#REF!,#REF!,#REF!,#REF!,#REF!</definedName>
    <definedName name="__APW_RESTORE_DATA2271__" hidden="1">#REF!,#REF!,#REF!,#REF!,#REF!,#REF!,#REF!,#REF!,#REF!,#REF!,#REF!,#REF!,#REF!,#REF!,#REF!,#REF!</definedName>
    <definedName name="__APW_RESTORE_DATA2272__" hidden="1">#REF!,#REF!,#REF!,#REF!,#REF!,#REF!,#REF!,#REF!,#REF!,#REF!,#REF!,#REF!,#REF!,#REF!,#REF!,#REF!</definedName>
    <definedName name="__APW_RESTORE_DATA2273__" hidden="1">#REF!,#REF!,#REF!,#REF!,#REF!,#REF!,#REF!,#REF!,#REF!,#REF!,#REF!,#REF!,#REF!,#REF!,#REF!,#REF!</definedName>
    <definedName name="__APW_RESTORE_DATA2274__" hidden="1">#REF!,#REF!,#REF!,#REF!,#REF!,#REF!,#REF!,#REF!,#REF!,#REF!,#REF!,#REF!,#REF!,#REF!,#REF!,#REF!</definedName>
    <definedName name="__APW_RESTORE_DATA2275__" hidden="1">#REF!,#REF!,#REF!,#REF!,#REF!,#REF!,#REF!,#REF!,#REF!,#REF!,#REF!,#REF!,#REF!,#REF!,#REF!,#REF!</definedName>
    <definedName name="__APW_RESTORE_DATA2276__" hidden="1">#REF!,#REF!,#REF!,#REF!,#REF!,#REF!,#REF!,#REF!,#REF!,#REF!,#REF!,#REF!,#REF!,#REF!,#REF!</definedName>
    <definedName name="__APW_RESTORE_DATA2277__" hidden="1">#REF!,#REF!,#REF!,#REF!,#REF!,#REF!,#REF!,#REF!,#REF!,#REF!,#REF!,#REF!,#REF!,#REF!,#REF!</definedName>
    <definedName name="__APW_RESTORE_DATA2278__" hidden="1">#REF!,#REF!,#REF!,#REF!,#REF!,#REF!,#REF!,#REF!,#REF!,#REF!,#REF!,#REF!,#REF!,#REF!,#REF!</definedName>
    <definedName name="__APW_RESTORE_DATA2279__" hidden="1">#REF!,#REF!,#REF!,#REF!,#REF!,#REF!,#REF!,#REF!,#REF!,#REF!,#REF!,#REF!,#REF!,#REF!,#REF!</definedName>
    <definedName name="__APW_RESTORE_DATA228__" hidden="1">#REF!,#REF!,#REF!,#REF!,#REF!,#REF!,#REF!,#REF!,#REF!,#REF!,#REF!,#REF!,#REF!,#REF!,#REF!</definedName>
    <definedName name="__APW_RESTORE_DATA2280__" hidden="1">#REF!,#REF!,#REF!,#REF!,#REF!,#REF!,#REF!,#REF!,#REF!,#REF!,#REF!,#REF!,#REF!,#REF!,#REF!</definedName>
    <definedName name="__APW_RESTORE_DATA2281__" hidden="1">#REF!,#REF!,#REF!,#REF!,#REF!,#REF!,#REF!,#REF!,#REF!,#REF!,#REF!,#REF!,#REF!,#REF!,#REF!</definedName>
    <definedName name="__APW_RESTORE_DATA2282__" hidden="1">#REF!,#REF!,#REF!,#REF!,#REF!,#REF!,#REF!,#REF!,#REF!,#REF!,#REF!,#REF!,#REF!,#REF!,#REF!</definedName>
    <definedName name="__APW_RESTORE_DATA2283__" hidden="1">#REF!,#REF!,#REF!,#REF!,#REF!,#REF!,#REF!,#REF!,#REF!,#REF!,#REF!,#REF!,#REF!,#REF!,#REF!</definedName>
    <definedName name="__APW_RESTORE_DATA2284__" hidden="1">#REF!,#REF!,#REF!,#REF!,#REF!,#REF!,#REF!,#REF!,#REF!,#REF!,#REF!,#REF!,#REF!,#REF!,#REF!</definedName>
    <definedName name="__APW_RESTORE_DATA2285__" hidden="1">#REF!,#REF!,#REF!,#REF!,#REF!,#REF!,#REF!,#REF!,#REF!,#REF!,#REF!,#REF!,#REF!,#REF!,#REF!</definedName>
    <definedName name="__APW_RESTORE_DATA2286__" hidden="1">#REF!,#REF!,#REF!,#REF!,#REF!,#REF!,#REF!,#REF!,#REF!,#REF!,#REF!,#REF!,#REF!,#REF!,#REF!</definedName>
    <definedName name="__APW_RESTORE_DATA2287__" hidden="1">#REF!,#REF!,#REF!,#REF!,#REF!,#REF!,#REF!,#REF!,#REF!,#REF!,#REF!,#REF!,#REF!,#REF!,#REF!</definedName>
    <definedName name="__APW_RESTORE_DATA2288__" hidden="1">#REF!,#REF!,#REF!,#REF!,#REF!,#REF!,#REF!,#REF!,#REF!,#REF!,#REF!,#REF!,#REF!,#REF!,#REF!</definedName>
    <definedName name="__APW_RESTORE_DATA2289__" hidden="1">#REF!,#REF!,#REF!,#REF!,#REF!,#REF!,#REF!,#REF!,#REF!,#REF!,#REF!,#REF!,#REF!,#REF!,#REF!</definedName>
    <definedName name="__APW_RESTORE_DATA229__" hidden="1">#REF!,#REF!,#REF!,#REF!,#REF!,#REF!,#REF!,#REF!,#REF!,#REF!,#REF!,#REF!,#REF!,#REF!,#REF!</definedName>
    <definedName name="__APW_RESTORE_DATA2290__" hidden="1">#REF!,#REF!,#REF!,#REF!,#REF!,#REF!,#REF!,#REF!,#REF!,#REF!,#REF!,#REF!,#REF!,#REF!,#REF!</definedName>
    <definedName name="__APW_RESTORE_DATA2291__" hidden="1">#REF!,#REF!,#REF!,#REF!,#REF!,#REF!,#REF!,#REF!,#REF!,#REF!,#REF!,#REF!,#REF!,#REF!,#REF!</definedName>
    <definedName name="__APW_RESTORE_DATA2292__" hidden="1">#REF!,#REF!,#REF!,#REF!,#REF!,#REF!,#REF!,#REF!,#REF!,#REF!,#REF!,#REF!,#REF!,#REF!,#REF!</definedName>
    <definedName name="__APW_RESTORE_DATA2293__" hidden="1">#REF!,#REF!,#REF!,#REF!,#REF!,#REF!,#REF!,#REF!,#REF!,#REF!,#REF!,#REF!,#REF!,#REF!,#REF!</definedName>
    <definedName name="__APW_RESTORE_DATA2294__" hidden="1">#REF!,#REF!,#REF!,#REF!,#REF!,#REF!,#REF!,#REF!,#REF!,#REF!,#REF!,#REF!,#REF!,#REF!,#REF!</definedName>
    <definedName name="__APW_RESTORE_DATA2295__" hidden="1">#REF!,#REF!,#REF!,#REF!,#REF!,#REF!,#REF!,#REF!,#REF!,#REF!,#REF!,#REF!,#REF!,#REF!,#REF!</definedName>
    <definedName name="__APW_RESTORE_DATA2296__" hidden="1">#REF!,#REF!,#REF!,#REF!,#REF!,#REF!,#REF!,#REF!,#REF!,#REF!,#REF!,#REF!,#REF!,#REF!,#REF!</definedName>
    <definedName name="__APW_RESTORE_DATA2297__" hidden="1">#REF!,#REF!,#REF!,#REF!,#REF!,#REF!,#REF!,#REF!,#REF!,#REF!,#REF!,#REF!,#REF!,#REF!,#REF!</definedName>
    <definedName name="__APW_RESTORE_DATA2298__" hidden="1">#REF!,#REF!,#REF!,#REF!,#REF!,#REF!,#REF!,#REF!,#REF!,#REF!,#REF!,#REF!,#REF!,#REF!,#REF!</definedName>
    <definedName name="__APW_RESTORE_DATA2299__" hidden="1">#REF!,#REF!,#REF!,#REF!,#REF!,#REF!,#REF!,#REF!,#REF!,#REF!,#REF!,#REF!,#REF!,#REF!,#REF!</definedName>
    <definedName name="__APW_RESTORE_DATA23__" hidden="1">#REF!,#REF!,#REF!,#REF!,#REF!,#REF!,#REF!,#REF!,#REF!,#REF!,#REF!,#REF!,#REF!,#REF!,#REF!</definedName>
    <definedName name="__APW_RESTORE_DATA230__" hidden="1">#REF!,#REF!,#REF!,#REF!,#REF!,#REF!,#REF!,#REF!,#REF!,#REF!,#REF!,#REF!,#REF!,#REF!,#REF!</definedName>
    <definedName name="__APW_RESTORE_DATA2300__" hidden="1">#REF!,#REF!,#REF!,#REF!,#REF!,#REF!,#REF!,#REF!,#REF!,#REF!,#REF!,#REF!,#REF!,#REF!,#REF!</definedName>
    <definedName name="__APW_RESTORE_DATA2301__" hidden="1">#REF!,#REF!,#REF!,#REF!,#REF!,#REF!,#REF!,#REF!,#REF!,#REF!,#REF!,#REF!,#REF!,#REF!,#REF!</definedName>
    <definedName name="__APW_RESTORE_DATA2302__" hidden="1">#REF!,#REF!,#REF!,#REF!,#REF!,#REF!,#REF!,#REF!,#REF!,#REF!,#REF!,#REF!,#REF!,#REF!,#REF!</definedName>
    <definedName name="__APW_RESTORE_DATA2303__" hidden="1">#REF!,#REF!,#REF!,#REF!,#REF!,#REF!,#REF!,#REF!,#REF!,#REF!,#REF!,#REF!,#REF!,#REF!,#REF!</definedName>
    <definedName name="__APW_RESTORE_DATA2304__" hidden="1">#REF!,#REF!,#REF!,#REF!,#REF!,#REF!</definedName>
    <definedName name="__APW_RESTORE_DATA2305__" hidden="1">#REF!</definedName>
    <definedName name="__APW_RESTORE_DATA2306__" hidden="1">#REF!</definedName>
    <definedName name="__APW_RESTORE_DATA2307__" hidden="1">#REF!</definedName>
    <definedName name="__APW_RESTORE_DATA2309__" hidden="1">#REF!</definedName>
    <definedName name="__APW_RESTORE_DATA231__" hidden="1">#REF!,#REF!,#REF!,#REF!,#REF!,#REF!,#REF!,#REF!,#REF!,#REF!,#REF!,#REF!,#REF!,#REF!,#REF!</definedName>
    <definedName name="__APW_RESTORE_DATA2310__" hidden="1">#REF!,#REF!,#REF!,#REF!,#REF!,#REF!,#REF!,#REF!,#REF!,#REF!,#REF!,#REF!,#REF!,#REF!,#REF!,#REF!</definedName>
    <definedName name="__APW_RESTORE_DATA2311__" hidden="1">#REF!,#REF!,#REF!,#REF!,#REF!,#REF!,#REF!,#REF!,#REF!,#REF!,#REF!,#REF!,#REF!,#REF!,#REF!,#REF!</definedName>
    <definedName name="__APW_RESTORE_DATA2312__" hidden="1">#REF!,#REF!,#REF!,#REF!,#REF!,#REF!,#REF!,#REF!,#REF!,#REF!,#REF!,#REF!,#REF!,#REF!,#REF!,#REF!</definedName>
    <definedName name="__APW_RESTORE_DATA2313__" hidden="1">#REF!,#REF!,#REF!,#REF!,#REF!,#REF!,#REF!,#REF!,#REF!,#REF!,#REF!,#REF!,#REF!,#REF!,#REF!,#REF!</definedName>
    <definedName name="__APW_RESTORE_DATA2314__" hidden="1">#REF!,#REF!,#REF!,#REF!,#REF!,#REF!,#REF!,#REF!,#REF!,#REF!,#REF!,#REF!,#REF!,#REF!,#REF!,#REF!</definedName>
    <definedName name="__APW_RESTORE_DATA2315__" hidden="1">#REF!,#REF!,#REF!,#REF!,#REF!,#REF!,#REF!,#REF!,#REF!,#REF!,#REF!,#REF!,#REF!,#REF!,#REF!,#REF!</definedName>
    <definedName name="__APW_RESTORE_DATA2316__" hidden="1">#REF!,#REF!,#REF!,#REF!,#REF!,#REF!,#REF!,#REF!,#REF!,#REF!,#REF!,#REF!,#REF!,#REF!,#REF!</definedName>
    <definedName name="__APW_RESTORE_DATA2317__" hidden="1">#REF!,#REF!,#REF!,#REF!,#REF!,#REF!,#REF!,#REF!,#REF!,#REF!,#REF!,#REF!,#REF!,#REF!,#REF!</definedName>
    <definedName name="__APW_RESTORE_DATA2318__" hidden="1">#REF!,#REF!,#REF!,#REF!,#REF!,#REF!,#REF!,#REF!,#REF!,#REF!,#REF!,#REF!,#REF!,#REF!,#REF!</definedName>
    <definedName name="__APW_RESTORE_DATA2319__" hidden="1">#REF!,#REF!,#REF!,#REF!,#REF!,#REF!,#REF!,#REF!,#REF!,#REF!,#REF!,#REF!,#REF!,#REF!,#REF!</definedName>
    <definedName name="__APW_RESTORE_DATA232__" hidden="1">#REF!,#REF!</definedName>
    <definedName name="__APW_RESTORE_DATA2320__" hidden="1">#REF!,#REF!,#REF!,#REF!,#REF!,#REF!,#REF!,#REF!,#REF!,#REF!,#REF!,#REF!,#REF!,#REF!,#REF!</definedName>
    <definedName name="__APW_RESTORE_DATA2321__" hidden="1">#REF!,#REF!,#REF!,#REF!,#REF!,#REF!,#REF!,#REF!,#REF!,#REF!,#REF!,#REF!,#REF!,#REF!,#REF!</definedName>
    <definedName name="__APW_RESTORE_DATA2322__" hidden="1">#REF!,#REF!,#REF!,#REF!,#REF!,#REF!,#REF!,#REF!,#REF!,#REF!,#REF!,#REF!,#REF!,#REF!,#REF!</definedName>
    <definedName name="__APW_RESTORE_DATA2323__" hidden="1">#REF!,#REF!,#REF!,#REF!,#REF!,#REF!,#REF!,#REF!,#REF!,#REF!,#REF!,#REF!,#REF!,#REF!,#REF!</definedName>
    <definedName name="__APW_RESTORE_DATA2324__" hidden="1">#REF!,#REF!,#REF!,#REF!,#REF!,#REF!,#REF!,#REF!,#REF!,#REF!,#REF!,#REF!,#REF!,#REF!,#REF!</definedName>
    <definedName name="__APW_RESTORE_DATA2325__" hidden="1">#REF!,#REF!,#REF!,#REF!,#REF!,#REF!,#REF!,#REF!,#REF!,#REF!,#REF!,#REF!,#REF!,#REF!,#REF!</definedName>
    <definedName name="__APW_RESTORE_DATA2326__" hidden="1">#REF!,#REF!,#REF!,#REF!,#REF!,#REF!,#REF!,#REF!,#REF!,#REF!,#REF!,#REF!,#REF!,#REF!,#REF!</definedName>
    <definedName name="__APW_RESTORE_DATA2327__" hidden="1">#REF!,#REF!,#REF!,#REF!,#REF!,#REF!,#REF!,#REF!,#REF!,#REF!,#REF!,#REF!,#REF!,#REF!,#REF!</definedName>
    <definedName name="__APW_RESTORE_DATA2328__" hidden="1">#REF!,#REF!,#REF!,#REF!,#REF!,#REF!,#REF!,#REF!,#REF!,#REF!,#REF!,#REF!,#REF!,#REF!,#REF!</definedName>
    <definedName name="__APW_RESTORE_DATA2329__" hidden="1">#REF!,#REF!,#REF!,#REF!,#REF!,#REF!,#REF!,#REF!,#REF!,#REF!,#REF!,#REF!,#REF!,#REF!,#REF!</definedName>
    <definedName name="__APW_RESTORE_DATA233__" hidden="1">#REF!,#REF!</definedName>
    <definedName name="__APW_RESTORE_DATA2330__" hidden="1">#REF!,#REF!,#REF!,#REF!,#REF!,#REF!,#REF!,#REF!,#REF!,#REF!,#REF!,#REF!,#REF!,#REF!,#REF!</definedName>
    <definedName name="__APW_RESTORE_DATA2331__" hidden="1">#REF!,#REF!,#REF!,#REF!,#REF!,#REF!,#REF!,#REF!,#REF!,#REF!,#REF!,#REF!,#REF!,#REF!,#REF!</definedName>
    <definedName name="__APW_RESTORE_DATA2332__" hidden="1">#REF!,#REF!,#REF!,#REF!,#REF!,#REF!,#REF!,#REF!,#REF!,#REF!,#REF!,#REF!,#REF!,#REF!,#REF!</definedName>
    <definedName name="__APW_RESTORE_DATA2333__" hidden="1">#REF!,#REF!,#REF!,#REF!,#REF!,#REF!,#REF!,#REF!,#REF!,#REF!,#REF!,#REF!,#REF!,#REF!,#REF!</definedName>
    <definedName name="__APW_RESTORE_DATA2334__" hidden="1">#REF!,#REF!,#REF!,#REF!,#REF!,#REF!,#REF!,#REF!,#REF!,#REF!,#REF!,#REF!,#REF!,#REF!,#REF!</definedName>
    <definedName name="__APW_RESTORE_DATA2335__" hidden="1">#REF!,#REF!,#REF!,#REF!,#REF!,#REF!,#REF!,#REF!,#REF!,#REF!,#REF!,#REF!,#REF!,#REF!,#REF!</definedName>
    <definedName name="__APW_RESTORE_DATA2336__" hidden="1">#REF!,#REF!,#REF!,#REF!,#REF!,#REF!,#REF!,#REF!,#REF!,#REF!,#REF!,#REF!,#REF!,#REF!,#REF!</definedName>
    <definedName name="__APW_RESTORE_DATA2337__" hidden="1">#REF!,#REF!,#REF!,#REF!,#REF!,#REF!,#REF!,#REF!,#REF!,#REF!,#REF!,#REF!,#REF!,#REF!,#REF!</definedName>
    <definedName name="__APW_RESTORE_DATA2338__" hidden="1">#REF!,#REF!,#REF!,#REF!,#REF!,#REF!,#REF!,#REF!,#REF!,#REF!,#REF!,#REF!,#REF!,#REF!,#REF!</definedName>
    <definedName name="__APW_RESTORE_DATA2339__" hidden="1">#REF!,#REF!,#REF!,#REF!,#REF!,#REF!,#REF!,#REF!,#REF!,#REF!,#REF!,#REF!,#REF!,#REF!,#REF!</definedName>
    <definedName name="__APW_RESTORE_DATA234__" hidden="1">#REF!,#REF!,#REF!,#REF!,#REF!,#REF!,#REF!,#REF!,#REF!,#REF!,#REF!,#REF!,#REF!,#REF!,#REF!</definedName>
    <definedName name="__APW_RESTORE_DATA2340__" hidden="1">#REF!,#REF!,#REF!,#REF!,#REF!,#REF!,#REF!,#REF!,#REF!,#REF!,#REF!,#REF!,#REF!,#REF!,#REF!</definedName>
    <definedName name="__APW_RESTORE_DATA2341__" hidden="1">#REF!,#REF!,#REF!,#REF!,#REF!,#REF!,#REF!,#REF!,#REF!,#REF!,#REF!,#REF!,#REF!,#REF!,#REF!</definedName>
    <definedName name="__APW_RESTORE_DATA2342__" hidden="1">#REF!,#REF!,#REF!,#REF!,#REF!,#REF!,#REF!,#REF!,#REF!,#REF!,#REF!,#REF!,#REF!,#REF!,#REF!</definedName>
    <definedName name="__APW_RESTORE_DATA2343__" hidden="1">#REF!,#REF!,#REF!,#REF!,#REF!,#REF!,#REF!,#REF!,#REF!,#REF!,#REF!,#REF!,#REF!,#REF!,#REF!</definedName>
    <definedName name="__APW_RESTORE_DATA2344__" hidden="1">#REF!,#REF!,#REF!,#REF!,#REF!,#REF!</definedName>
    <definedName name="__APW_RESTORE_DATA2345__" hidden="1">#REF!,#REF!,#REF!,#REF!,#REF!,#REF!,#REF!,#REF!,#REF!,#REF!,#REF!,#REF!,#REF!,#REF!,#REF!,#REF!</definedName>
    <definedName name="__APW_RESTORE_DATA2346__" hidden="1">#REF!,#REF!,#REF!,#REF!,#REF!,#REF!,#REF!,#REF!,#REF!,#REF!,#REF!,#REF!,#REF!,#REF!,#REF!,#REF!</definedName>
    <definedName name="__APW_RESTORE_DATA2347__" hidden="1">#REF!,#REF!,#REF!,#REF!,#REF!,#REF!,#REF!,#REF!,#REF!,#REF!,#REF!,#REF!,#REF!,#REF!,#REF!,#REF!</definedName>
    <definedName name="__APW_RESTORE_DATA2348__" hidden="1">#REF!,#REF!,#REF!,#REF!,#REF!,#REF!,#REF!,#REF!,#REF!,#REF!,#REF!,#REF!,#REF!,#REF!,#REF!,#REF!</definedName>
    <definedName name="__APW_RESTORE_DATA2349__" hidden="1">#REF!,#REF!,#REF!,#REF!,#REF!,#REF!,#REF!,#REF!,#REF!,#REF!,#REF!,#REF!,#REF!,#REF!,#REF!,#REF!</definedName>
    <definedName name="__APW_RESTORE_DATA235__" hidden="1">#REF!,#REF!,#REF!,#REF!,#REF!,#REF!,#REF!,#REF!,#REF!,#REF!,#REF!,#REF!,#REF!,#REF!,#REF!</definedName>
    <definedName name="__APW_RESTORE_DATA2350__" hidden="1">#REF!,#REF!,#REF!,#REF!,#REF!,#REF!,#REF!,#REF!,#REF!,#REF!,#REF!,#REF!,#REF!,#REF!,#REF!,#REF!</definedName>
    <definedName name="__APW_RESTORE_DATA2351__" hidden="1">#REF!,#REF!,#REF!,#REF!,#REF!,#REF!,#REF!,#REF!,#REF!,#REF!,#REF!,#REF!,#REF!,#REF!,#REF!</definedName>
    <definedName name="__APW_RESTORE_DATA2352__" hidden="1">#REF!,#REF!,#REF!,#REF!,#REF!,#REF!,#REF!,#REF!,#REF!,#REF!,#REF!,#REF!,#REF!,#REF!,#REF!</definedName>
    <definedName name="__APW_RESTORE_DATA2353__" hidden="1">#REF!,#REF!,#REF!,#REF!,#REF!,#REF!,#REF!,#REF!,#REF!,#REF!,#REF!,#REF!,#REF!,#REF!,#REF!</definedName>
    <definedName name="__APW_RESTORE_DATA2354__" hidden="1">#REF!,#REF!,#REF!,#REF!,#REF!,#REF!,#REF!,#REF!,#REF!,#REF!,#REF!,#REF!,#REF!,#REF!,#REF!</definedName>
    <definedName name="__APW_RESTORE_DATA2355__" hidden="1">#REF!,#REF!,#REF!,#REF!,#REF!,#REF!,#REF!,#REF!,#REF!,#REF!,#REF!,#REF!,#REF!,#REF!,#REF!</definedName>
    <definedName name="__APW_RESTORE_DATA2356__" hidden="1">#REF!,#REF!,#REF!,#REF!,#REF!,#REF!,#REF!,#REF!,#REF!,#REF!,#REF!,#REF!,#REF!,#REF!,#REF!</definedName>
    <definedName name="__APW_RESTORE_DATA2357__" hidden="1">#REF!,#REF!,#REF!,#REF!,#REF!,#REF!,#REF!,#REF!,#REF!,#REF!,#REF!,#REF!,#REF!,#REF!,#REF!</definedName>
    <definedName name="__APW_RESTORE_DATA2358__" hidden="1">#REF!,#REF!,#REF!,#REF!,#REF!,#REF!,#REF!,#REF!,#REF!,#REF!,#REF!,#REF!,#REF!,#REF!,#REF!</definedName>
    <definedName name="__APW_RESTORE_DATA2359__" hidden="1">#REF!,#REF!,#REF!,#REF!,#REF!,#REF!,#REF!,#REF!,#REF!,#REF!,#REF!,#REF!,#REF!,#REF!,#REF!</definedName>
    <definedName name="__APW_RESTORE_DATA236__" hidden="1">#REF!,#REF!,#REF!,#REF!,#REF!,#REF!,#REF!,#REF!,#REF!,#REF!,#REF!,#REF!,#REF!,#REF!,#REF!</definedName>
    <definedName name="__APW_RESTORE_DATA2360__" hidden="1">#REF!,#REF!,#REF!,#REF!,#REF!,#REF!,#REF!,#REF!,#REF!,#REF!,#REF!,#REF!,#REF!,#REF!,#REF!</definedName>
    <definedName name="__APW_RESTORE_DATA2361__" hidden="1">#REF!,#REF!,#REF!,#REF!,#REF!,#REF!,#REF!,#REF!,#REF!,#REF!,#REF!,#REF!,#REF!,#REF!,#REF!</definedName>
    <definedName name="__APW_RESTORE_DATA2362__" hidden="1">#REF!,#REF!,#REF!,#REF!,#REF!,#REF!,#REF!,#REF!,#REF!,#REF!,#REF!,#REF!,#REF!,#REF!,#REF!</definedName>
    <definedName name="__APW_RESTORE_DATA2363__" hidden="1">#REF!,#REF!,#REF!,#REF!,#REF!,#REF!,#REF!,#REF!,#REF!,#REF!,#REF!,#REF!,#REF!,#REF!,#REF!</definedName>
    <definedName name="__APW_RESTORE_DATA2364__" hidden="1">#REF!,#REF!,#REF!,#REF!,#REF!,#REF!,#REF!,#REF!,#REF!,#REF!,#REF!,#REF!,#REF!,#REF!,#REF!</definedName>
    <definedName name="__APW_RESTORE_DATA2365__" hidden="1">#REF!,#REF!,#REF!,#REF!,#REF!,#REF!,#REF!,#REF!,#REF!,#REF!,#REF!,#REF!,#REF!,#REF!,#REF!</definedName>
    <definedName name="__APW_RESTORE_DATA2366__" hidden="1">#REF!,#REF!,#REF!,#REF!,#REF!,#REF!,#REF!,#REF!,#REF!,#REF!,#REF!,#REF!,#REF!,#REF!,#REF!</definedName>
    <definedName name="__APW_RESTORE_DATA2367__" hidden="1">#REF!,#REF!,#REF!,#REF!,#REF!,#REF!,#REF!,#REF!,#REF!,#REF!,#REF!,#REF!,#REF!,#REF!,#REF!</definedName>
    <definedName name="__APW_RESTORE_DATA2368__" hidden="1">#REF!,#REF!,#REF!,#REF!,#REF!,#REF!,#REF!,#REF!,#REF!,#REF!,#REF!,#REF!,#REF!,#REF!,#REF!</definedName>
    <definedName name="__APW_RESTORE_DATA2369__" hidden="1">#REF!,#REF!,#REF!,#REF!,#REF!,#REF!,#REF!,#REF!,#REF!,#REF!,#REF!,#REF!,#REF!,#REF!,#REF!</definedName>
    <definedName name="__APW_RESTORE_DATA237__" hidden="1">#REF!,#REF!,#REF!,#REF!,#REF!,#REF!,#REF!,#REF!,#REF!,#REF!,#REF!,#REF!,#REF!,#REF!,#REF!</definedName>
    <definedName name="__APW_RESTORE_DATA2370__" hidden="1">#REF!,#REF!,#REF!,#REF!,#REF!,#REF!,#REF!,#REF!,#REF!,#REF!,#REF!,#REF!,#REF!,#REF!,#REF!</definedName>
    <definedName name="__APW_RESTORE_DATA2371__" hidden="1">#REF!,#REF!,#REF!,#REF!,#REF!,#REF!,#REF!,#REF!,#REF!,#REF!,#REF!,#REF!,#REF!,#REF!,#REF!</definedName>
    <definedName name="__APW_RESTORE_DATA2372__" hidden="1">#REF!,#REF!,#REF!,#REF!,#REF!,#REF!,#REF!,#REF!,#REF!,#REF!,#REF!,#REF!,#REF!,#REF!,#REF!</definedName>
    <definedName name="__APW_RESTORE_DATA2373__" hidden="1">#REF!,#REF!,#REF!,#REF!,#REF!,#REF!,#REF!,#REF!,#REF!,#REF!,#REF!,#REF!,#REF!,#REF!,#REF!</definedName>
    <definedName name="__APW_RESTORE_DATA2374__" hidden="1">#REF!,#REF!,#REF!,#REF!,#REF!,#REF!,#REF!,#REF!,#REF!,#REF!,#REF!,#REF!,#REF!,#REF!,#REF!</definedName>
    <definedName name="__APW_RESTORE_DATA2375__" hidden="1">#REF!,#REF!,#REF!,#REF!,#REF!,#REF!,#REF!,#REF!,#REF!,#REF!,#REF!,#REF!,#REF!,#REF!,#REF!</definedName>
    <definedName name="__APW_RESTORE_DATA2376__" hidden="1">#REF!,#REF!,#REF!,#REF!,#REF!,#REF!,#REF!,#REF!,#REF!,#REF!,#REF!,#REF!,#REF!,#REF!,#REF!</definedName>
    <definedName name="__APW_RESTORE_DATA2377__" hidden="1">#REF!,#REF!,#REF!,#REF!,#REF!,#REF!,#REF!,#REF!,#REF!,#REF!,#REF!,#REF!,#REF!,#REF!,#REF!</definedName>
    <definedName name="__APW_RESTORE_DATA2378__" hidden="1">#REF!,#REF!,#REF!,#REF!,#REF!,#REF!,#REF!,#REF!,#REF!,#REF!,#REF!,#REF!,#REF!,#REF!,#REF!</definedName>
    <definedName name="__APW_RESTORE_DATA2379__" hidden="1">#REF!,#REF!,#REF!,#REF!,#REF!,#REF!</definedName>
    <definedName name="__APW_RESTORE_DATA238__" hidden="1">#REF!,#REF!,#REF!,#REF!,#REF!,#REF!,#REF!,#REF!,#REF!,#REF!,#REF!,#REF!,#REF!,#REF!,#REF!</definedName>
    <definedName name="__APW_RESTORE_DATA2380__" hidden="1">#REF!,#REF!,#REF!,#REF!,#REF!,#REF!,#REF!,#REF!,#REF!,#REF!,#REF!,#REF!,#REF!,#REF!,#REF!,#REF!</definedName>
    <definedName name="__APW_RESTORE_DATA2381__" hidden="1">#REF!,#REF!,#REF!,#REF!,#REF!,#REF!,#REF!,#REF!,#REF!,#REF!,#REF!,#REF!,#REF!,#REF!,#REF!,#REF!</definedName>
    <definedName name="__APW_RESTORE_DATA2382__" hidden="1">#REF!,#REF!,#REF!,#REF!,#REF!,#REF!,#REF!,#REF!,#REF!,#REF!,#REF!,#REF!,#REF!,#REF!,#REF!,#REF!</definedName>
    <definedName name="__APW_RESTORE_DATA2383__" hidden="1">#REF!,#REF!,#REF!,#REF!,#REF!,#REF!,#REF!,#REF!,#REF!,#REF!,#REF!,#REF!,#REF!,#REF!,#REF!,#REF!</definedName>
    <definedName name="__APW_RESTORE_DATA2384__" hidden="1">#REF!,#REF!,#REF!,#REF!,#REF!,#REF!,#REF!,#REF!,#REF!,#REF!,#REF!,#REF!,#REF!,#REF!,#REF!,#REF!</definedName>
    <definedName name="__APW_RESTORE_DATA2385__" hidden="1">#REF!,#REF!,#REF!,#REF!,#REF!,#REF!,#REF!,#REF!,#REF!,#REF!,#REF!,#REF!,#REF!,#REF!,#REF!,#REF!</definedName>
    <definedName name="__APW_RESTORE_DATA2386__" hidden="1">#REF!,#REF!,#REF!,#REF!,#REF!,#REF!,#REF!,#REF!,#REF!,#REF!,#REF!,#REF!,#REF!,#REF!,#REF!</definedName>
    <definedName name="__APW_RESTORE_DATA2387__" hidden="1">#REF!,#REF!,#REF!,#REF!,#REF!,#REF!,#REF!,#REF!,#REF!,#REF!,#REF!,#REF!,#REF!,#REF!,#REF!</definedName>
    <definedName name="__APW_RESTORE_DATA2388__" hidden="1">#REF!,#REF!,#REF!,#REF!,#REF!,#REF!,#REF!,#REF!,#REF!,#REF!,#REF!,#REF!,#REF!,#REF!,#REF!</definedName>
    <definedName name="__APW_RESTORE_DATA2389__" hidden="1">#REF!,#REF!,#REF!,#REF!,#REF!,#REF!,#REF!,#REF!,#REF!,#REF!,#REF!,#REF!,#REF!,#REF!,#REF!</definedName>
    <definedName name="__APW_RESTORE_DATA239__" hidden="1">#REF!,#REF!,#REF!,#REF!,#REF!,#REF!,#REF!,#REF!,#REF!,#REF!,#REF!,#REF!,#REF!,#REF!,#REF!</definedName>
    <definedName name="__APW_RESTORE_DATA2390__" hidden="1">#REF!,#REF!,#REF!,#REF!,#REF!,#REF!,#REF!,#REF!,#REF!,#REF!,#REF!,#REF!,#REF!,#REF!,#REF!</definedName>
    <definedName name="__APW_RESTORE_DATA2391__" hidden="1">#REF!,#REF!,#REF!,#REF!,#REF!,#REF!,#REF!,#REF!,#REF!,#REF!,#REF!,#REF!,#REF!,#REF!,#REF!</definedName>
    <definedName name="__APW_RESTORE_DATA2392__" hidden="1">#REF!,#REF!,#REF!,#REF!,#REF!,#REF!,#REF!,#REF!,#REF!,#REF!,#REF!,#REF!,#REF!,#REF!,#REF!</definedName>
    <definedName name="__APW_RESTORE_DATA2393__" hidden="1">#REF!,#REF!,#REF!,#REF!,#REF!,#REF!,#REF!,#REF!,#REF!,#REF!,#REF!,#REF!,#REF!,#REF!,#REF!</definedName>
    <definedName name="__APW_RESTORE_DATA2394__" hidden="1">#REF!,#REF!,#REF!,#REF!,#REF!,#REF!,#REF!,#REF!,#REF!,#REF!,#REF!,#REF!,#REF!,#REF!,#REF!</definedName>
    <definedName name="__APW_RESTORE_DATA2395__" hidden="1">#REF!,#REF!,#REF!,#REF!,#REF!,#REF!,#REF!,#REF!,#REF!,#REF!,#REF!,#REF!,#REF!,#REF!,#REF!</definedName>
    <definedName name="__APW_RESTORE_DATA2396__" hidden="1">#REF!,#REF!,#REF!,#REF!,#REF!,#REF!,#REF!,#REF!,#REF!,#REF!,#REF!,#REF!,#REF!,#REF!,#REF!</definedName>
    <definedName name="__APW_RESTORE_DATA2397__" hidden="1">#REF!,#REF!,#REF!,#REF!,#REF!,#REF!,#REF!,#REF!,#REF!,#REF!,#REF!,#REF!,#REF!,#REF!,#REF!</definedName>
    <definedName name="__APW_RESTORE_DATA2398__" hidden="1">#REF!,#REF!,#REF!,#REF!,#REF!,#REF!,#REF!,#REF!,#REF!,#REF!,#REF!,#REF!,#REF!,#REF!,#REF!</definedName>
    <definedName name="__APW_RESTORE_DATA2399__" hidden="1">#REF!,#REF!,#REF!,#REF!,#REF!,#REF!,#REF!,#REF!,#REF!,#REF!,#REF!,#REF!,#REF!,#REF!,#REF!</definedName>
    <definedName name="__APW_RESTORE_DATA24__" hidden="1">#REF!,#REF!,#REF!,#REF!,#REF!,#REF!,#REF!,#REF!,#REF!,#REF!,#REF!,#REF!,#REF!,#REF!,#REF!,#REF!</definedName>
    <definedName name="__APW_RESTORE_DATA240__" hidden="1">#REF!,#REF!,#REF!,#REF!,#REF!,#REF!,#REF!,#REF!,#REF!,#REF!,#REF!,#REF!,#REF!,#REF!,#REF!</definedName>
    <definedName name="__APW_RESTORE_DATA2400__" hidden="1">#REF!,#REF!,#REF!,#REF!,#REF!,#REF!,#REF!,#REF!,#REF!,#REF!,#REF!,#REF!,#REF!,#REF!,#REF!</definedName>
    <definedName name="__APW_RESTORE_DATA2401__" hidden="1">#REF!,#REF!,#REF!,#REF!,#REF!,#REF!,#REF!,#REF!,#REF!,#REF!,#REF!,#REF!,#REF!,#REF!,#REF!</definedName>
    <definedName name="__APW_RESTORE_DATA2402__" hidden="1">#REF!,#REF!,#REF!,#REF!,#REF!,#REF!,#REF!,#REF!,#REF!,#REF!,#REF!,#REF!,#REF!,#REF!,#REF!</definedName>
    <definedName name="__APW_RESTORE_DATA2403__" hidden="1">#REF!,#REF!,#REF!,#REF!,#REF!,#REF!,#REF!,#REF!,#REF!,#REF!,#REF!,#REF!,#REF!,#REF!,#REF!</definedName>
    <definedName name="__APW_RESTORE_DATA2404__" hidden="1">#REF!,#REF!,#REF!,#REF!,#REF!,#REF!,#REF!,#REF!,#REF!,#REF!,#REF!,#REF!,#REF!,#REF!,#REF!</definedName>
    <definedName name="__APW_RESTORE_DATA2405__" hidden="1">#REF!,#REF!,#REF!,#REF!,#REF!,#REF!,#REF!,#REF!,#REF!,#REF!,#REF!,#REF!,#REF!,#REF!,#REF!</definedName>
    <definedName name="__APW_RESTORE_DATA2406__" hidden="1">#REF!,#REF!,#REF!,#REF!,#REF!,#REF!,#REF!,#REF!,#REF!,#REF!,#REF!,#REF!,#REF!,#REF!,#REF!</definedName>
    <definedName name="__APW_RESTORE_DATA2407__" hidden="1">#REF!,#REF!,#REF!,#REF!,#REF!,#REF!,#REF!,#REF!,#REF!,#REF!,#REF!,#REF!,#REF!,#REF!,#REF!</definedName>
    <definedName name="__APW_RESTORE_DATA2408__" hidden="1">#REF!,#REF!,#REF!,#REF!,#REF!,#REF!,#REF!,#REF!,#REF!,#REF!,#REF!,#REF!,#REF!,#REF!,#REF!</definedName>
    <definedName name="__APW_RESTORE_DATA2409__" hidden="1">#REF!,#REF!,#REF!,#REF!,#REF!,#REF!,#REF!,#REF!,#REF!,#REF!,#REF!,#REF!,#REF!,#REF!,#REF!</definedName>
    <definedName name="__APW_RESTORE_DATA241__" hidden="1">#REF!,#REF!,#REF!,#REF!,#REF!,#REF!,#REF!,#REF!,#REF!,#REF!,#REF!,#REF!,#REF!,#REF!,#REF!</definedName>
    <definedName name="__APW_RESTORE_DATA2410__" hidden="1">#REF!,#REF!,#REF!,#REF!,#REF!,#REF!,#REF!,#REF!,#REF!,#REF!,#REF!,#REF!,#REF!,#REF!,#REF!</definedName>
    <definedName name="__APW_RESTORE_DATA2411__" hidden="1">#REF!,#REF!,#REF!,#REF!,#REF!,#REF!,#REF!,#REF!,#REF!,#REF!,#REF!,#REF!,#REF!,#REF!,#REF!</definedName>
    <definedName name="__APW_RESTORE_DATA2412__" hidden="1">#REF!,#REF!,#REF!,#REF!,#REF!,#REF!,#REF!,#REF!,#REF!,#REF!,#REF!,#REF!,#REF!,#REF!,#REF!</definedName>
    <definedName name="__APW_RESTORE_DATA2413__" hidden="1">#REF!,#REF!,#REF!,#REF!,#REF!,#REF!,#REF!,#REF!,#REF!,#REF!,#REF!,#REF!,#REF!,#REF!,#REF!</definedName>
    <definedName name="__APW_RESTORE_DATA2414__" hidden="1">#REF!,#REF!,#REF!,#REF!,#REF!,#REF!</definedName>
    <definedName name="__APW_RESTORE_DATA2415__" hidden="1">#REF!,#REF!,#REF!,#REF!,#REF!,#REF!,#REF!,#REF!,#REF!,#REF!,#REF!,#REF!,#REF!,#REF!,#REF!,#REF!</definedName>
    <definedName name="__APW_RESTORE_DATA2416__" hidden="1">#REF!,#REF!,#REF!,#REF!,#REF!,#REF!,#REF!,#REF!,#REF!,#REF!,#REF!,#REF!,#REF!,#REF!,#REF!,#REF!</definedName>
    <definedName name="__APW_RESTORE_DATA2417__" hidden="1">#REF!,#REF!,#REF!,#REF!,#REF!,#REF!,#REF!,#REF!,#REF!,#REF!,#REF!,#REF!,#REF!,#REF!,#REF!,#REF!</definedName>
    <definedName name="__APW_RESTORE_DATA2418__" hidden="1">#REF!,#REF!,#REF!,#REF!,#REF!,#REF!,#REF!,#REF!,#REF!,#REF!,#REF!,#REF!,#REF!,#REF!,#REF!,#REF!</definedName>
    <definedName name="__APW_RESTORE_DATA2419__" hidden="1">#REF!,#REF!,#REF!,#REF!,#REF!,#REF!,#REF!,#REF!,#REF!,#REF!,#REF!,#REF!,#REF!,#REF!,#REF!,#REF!</definedName>
    <definedName name="__APW_RESTORE_DATA242__" hidden="1">#REF!,#REF!,#REF!,#REF!,#REF!,#REF!,#REF!,#REF!,#REF!,#REF!,#REF!,#REF!,#REF!,#REF!,#REF!</definedName>
    <definedName name="__APW_RESTORE_DATA2420__" hidden="1">#REF!,#REF!,#REF!,#REF!,#REF!,#REF!,#REF!,#REF!,#REF!,#REF!,#REF!,#REF!,#REF!,#REF!,#REF!,#REF!</definedName>
    <definedName name="__APW_RESTORE_DATA2421__" hidden="1">#REF!,#REF!,#REF!,#REF!,#REF!,#REF!,#REF!,#REF!,#REF!,#REF!,#REF!,#REF!,#REF!,#REF!,#REF!</definedName>
    <definedName name="__APW_RESTORE_DATA2422__" hidden="1">#REF!,#REF!,#REF!,#REF!,#REF!,#REF!,#REF!,#REF!,#REF!,#REF!,#REF!,#REF!,#REF!,#REF!,#REF!</definedName>
    <definedName name="__APW_RESTORE_DATA2423__" hidden="1">#REF!,#REF!,#REF!,#REF!,#REF!,#REF!,#REF!,#REF!,#REF!,#REF!,#REF!,#REF!,#REF!,#REF!,#REF!</definedName>
    <definedName name="__APW_RESTORE_DATA2424__" hidden="1">#REF!,#REF!,#REF!,#REF!,#REF!,#REF!,#REF!,#REF!,#REF!,#REF!,#REF!,#REF!,#REF!,#REF!,#REF!</definedName>
    <definedName name="__APW_RESTORE_DATA2425__" hidden="1">#REF!,#REF!,#REF!,#REF!,#REF!,#REF!,#REF!,#REF!,#REF!,#REF!,#REF!,#REF!,#REF!,#REF!,#REF!</definedName>
    <definedName name="__APW_RESTORE_DATA2426__" hidden="1">#REF!,#REF!,#REF!,#REF!,#REF!,#REF!,#REF!,#REF!,#REF!,#REF!,#REF!,#REF!,#REF!,#REF!,#REF!</definedName>
    <definedName name="__APW_RESTORE_DATA2427__" hidden="1">#REF!,#REF!,#REF!,#REF!,#REF!,#REF!,#REF!,#REF!,#REF!,#REF!,#REF!,#REF!,#REF!,#REF!,#REF!</definedName>
    <definedName name="__APW_RESTORE_DATA2428__" hidden="1">#REF!,#REF!,#REF!,#REF!,#REF!,#REF!,#REF!,#REF!,#REF!,#REF!,#REF!,#REF!,#REF!,#REF!,#REF!</definedName>
    <definedName name="__APW_RESTORE_DATA2429__" hidden="1">#REF!,#REF!,#REF!,#REF!,#REF!,#REF!,#REF!,#REF!,#REF!,#REF!,#REF!,#REF!,#REF!,#REF!,#REF!</definedName>
    <definedName name="__APW_RESTORE_DATA243__" hidden="1">#REF!,#REF!,#REF!,#REF!,#REF!,#REF!,#REF!,#REF!,#REF!,#REF!,#REF!,#REF!,#REF!,#REF!,#REF!</definedName>
    <definedName name="__APW_RESTORE_DATA2430__" hidden="1">#REF!,#REF!,#REF!,#REF!,#REF!,#REF!,#REF!,#REF!,#REF!,#REF!,#REF!,#REF!,#REF!,#REF!,#REF!</definedName>
    <definedName name="__APW_RESTORE_DATA2431__" hidden="1">#REF!,#REF!,#REF!,#REF!,#REF!,#REF!,#REF!,#REF!,#REF!,#REF!,#REF!,#REF!,#REF!,#REF!,#REF!</definedName>
    <definedName name="__APW_RESTORE_DATA2432__" hidden="1">#REF!,#REF!,#REF!,#REF!,#REF!,#REF!,#REF!,#REF!,#REF!,#REF!,#REF!,#REF!,#REF!,#REF!,#REF!</definedName>
    <definedName name="__APW_RESTORE_DATA2433__" hidden="1">#REF!,#REF!,#REF!,#REF!,#REF!,#REF!,#REF!,#REF!,#REF!,#REF!,#REF!,#REF!,#REF!,#REF!,#REF!</definedName>
    <definedName name="__APW_RESTORE_DATA2434__" hidden="1">#REF!,#REF!,#REF!,#REF!,#REF!,#REF!,#REF!,#REF!,#REF!,#REF!,#REF!,#REF!,#REF!,#REF!,#REF!</definedName>
    <definedName name="__APW_RESTORE_DATA2435__" hidden="1">#REF!,#REF!,#REF!,#REF!,#REF!,#REF!,#REF!,#REF!,#REF!,#REF!,#REF!,#REF!,#REF!,#REF!,#REF!</definedName>
    <definedName name="__APW_RESTORE_DATA2436__" hidden="1">#REF!,#REF!,#REF!,#REF!,#REF!,#REF!,#REF!,#REF!,#REF!,#REF!,#REF!,#REF!,#REF!,#REF!,#REF!</definedName>
    <definedName name="__APW_RESTORE_DATA2437__" hidden="1">#REF!,#REF!,#REF!,#REF!,#REF!,#REF!,#REF!,#REF!,#REF!,#REF!,#REF!,#REF!,#REF!,#REF!,#REF!</definedName>
    <definedName name="__APW_RESTORE_DATA2438__" hidden="1">#REF!,#REF!,#REF!,#REF!,#REF!,#REF!,#REF!,#REF!,#REF!,#REF!,#REF!,#REF!,#REF!,#REF!,#REF!</definedName>
    <definedName name="__APW_RESTORE_DATA2439__" hidden="1">#REF!,#REF!,#REF!,#REF!,#REF!,#REF!,#REF!,#REF!,#REF!,#REF!,#REF!,#REF!,#REF!,#REF!,#REF!</definedName>
    <definedName name="__APW_RESTORE_DATA244__" hidden="1">#REF!,#REF!,#REF!,#REF!,#REF!,#REF!,#REF!,#REF!,#REF!,#REF!,#REF!,#REF!,#REF!,#REF!,#REF!</definedName>
    <definedName name="__APW_RESTORE_DATA2440__" hidden="1">#REF!,#REF!,#REF!,#REF!,#REF!,#REF!,#REF!,#REF!,#REF!,#REF!,#REF!,#REF!,#REF!,#REF!,#REF!</definedName>
    <definedName name="__APW_RESTORE_DATA2441__" hidden="1">#REF!,#REF!,#REF!,#REF!,#REF!,#REF!,#REF!,#REF!,#REF!,#REF!,#REF!,#REF!,#REF!,#REF!,#REF!</definedName>
    <definedName name="__APW_RESTORE_DATA2442__" hidden="1">#REF!,#REF!,#REF!,#REF!,#REF!,#REF!,#REF!,#REF!,#REF!,#REF!,#REF!,#REF!,#REF!,#REF!,#REF!</definedName>
    <definedName name="__APW_RESTORE_DATA2443__" hidden="1">#REF!,#REF!,#REF!,#REF!,#REF!,#REF!,#REF!,#REF!,#REF!,#REF!,#REF!,#REF!,#REF!,#REF!,#REF!</definedName>
    <definedName name="__APW_RESTORE_DATA2444__" hidden="1">#REF!,#REF!,#REF!,#REF!,#REF!,#REF!,#REF!,#REF!,#REF!,#REF!,#REF!,#REF!,#REF!,#REF!,#REF!</definedName>
    <definedName name="__APW_RESTORE_DATA2445__" hidden="1">#REF!,#REF!,#REF!,#REF!,#REF!,#REF!,#REF!,#REF!,#REF!,#REF!,#REF!,#REF!,#REF!,#REF!,#REF!</definedName>
    <definedName name="__APW_RESTORE_DATA2446__" hidden="1">#REF!,#REF!,#REF!,#REF!,#REF!,#REF!,#REF!,#REF!,#REF!,#REF!,#REF!,#REF!,#REF!,#REF!,#REF!</definedName>
    <definedName name="__APW_RESTORE_DATA2447__" hidden="1">#REF!,#REF!,#REF!,#REF!,#REF!,#REF!,#REF!,#REF!,#REF!,#REF!,#REF!,#REF!,#REF!,#REF!,#REF!</definedName>
    <definedName name="__APW_RESTORE_DATA2448__" hidden="1">#REF!,#REF!,#REF!,#REF!,#REF!,#REF!,#REF!,#REF!,#REF!,#REF!,#REF!,#REF!,#REF!,#REF!,#REF!</definedName>
    <definedName name="__APW_RESTORE_DATA2449__" hidden="1">#REF!,#REF!,#REF!,#REF!,#REF!,#REF!</definedName>
    <definedName name="__APW_RESTORE_DATA245__" hidden="1">#REF!,#REF!,#REF!,#REF!,#REF!,#REF!,#REF!,#REF!,#REF!,#REF!,#REF!,#REF!,#REF!,#REF!,#REF!</definedName>
    <definedName name="__APW_RESTORE_DATA2450__" hidden="1">#REF!</definedName>
    <definedName name="__APW_RESTORE_DATA2451__" hidden="1">#REF!</definedName>
    <definedName name="__APW_RESTORE_DATA2452__" hidden="1">#REF!</definedName>
    <definedName name="__APW_RESTORE_DATA2454__" hidden="1">#REF!</definedName>
    <definedName name="__APW_RESTORE_DATA2455__" hidden="1">#REF!,#REF!,#REF!,#REF!,#REF!,#REF!,#REF!,#REF!,#REF!,#REF!,#REF!,#REF!,#REF!,#REF!,#REF!,#REF!</definedName>
    <definedName name="__APW_RESTORE_DATA2456__" hidden="1">#REF!,#REF!,#REF!,#REF!,#REF!,#REF!,#REF!,#REF!,#REF!,#REF!,#REF!,#REF!,#REF!,#REF!,#REF!,#REF!</definedName>
    <definedName name="__APW_RESTORE_DATA2457__" hidden="1">#REF!,#REF!,#REF!,#REF!,#REF!,#REF!,#REF!,#REF!,#REF!,#REF!,#REF!,#REF!,#REF!,#REF!,#REF!,#REF!</definedName>
    <definedName name="__APW_RESTORE_DATA2458__" hidden="1">#REF!,#REF!,#REF!,#REF!,#REF!,#REF!,#REF!,#REF!,#REF!,#REF!,#REF!,#REF!,#REF!,#REF!,#REF!,#REF!</definedName>
    <definedName name="__APW_RESTORE_DATA2459__" hidden="1">#REF!,#REF!,#REF!,#REF!,#REF!,#REF!,#REF!,#REF!,#REF!,#REF!,#REF!,#REF!,#REF!,#REF!,#REF!,#REF!</definedName>
    <definedName name="__APW_RESTORE_DATA246__" hidden="1">#REF!,#REF!,#REF!,#REF!,#REF!,#REF!,#REF!,#REF!,#REF!,#REF!,#REF!,#REF!,#REF!,#REF!,#REF!</definedName>
    <definedName name="__APW_RESTORE_DATA2460__" hidden="1">#REF!,#REF!,#REF!,#REF!,#REF!,#REF!,#REF!,#REF!,#REF!,#REF!,#REF!,#REF!,#REF!,#REF!,#REF!,#REF!</definedName>
    <definedName name="__APW_RESTORE_DATA2461__" hidden="1">#REF!,#REF!,#REF!,#REF!,#REF!,#REF!,#REF!,#REF!,#REF!,#REF!,#REF!,#REF!,#REF!,#REF!,#REF!</definedName>
    <definedName name="__APW_RESTORE_DATA2462__" hidden="1">#REF!,#REF!,#REF!,#REF!,#REF!,#REF!,#REF!,#REF!,#REF!,#REF!,#REF!,#REF!,#REF!,#REF!,#REF!</definedName>
    <definedName name="__APW_RESTORE_DATA2463__" hidden="1">#REF!,#REF!,#REF!,#REF!,#REF!,#REF!,#REF!,#REF!,#REF!,#REF!,#REF!,#REF!,#REF!,#REF!,#REF!</definedName>
    <definedName name="__APW_RESTORE_DATA2464__" hidden="1">#REF!,#REF!,#REF!,#REF!,#REF!,#REF!,#REF!,#REF!,#REF!,#REF!,#REF!,#REF!,#REF!,#REF!,#REF!</definedName>
    <definedName name="__APW_RESTORE_DATA2465__" hidden="1">#REF!,#REF!,#REF!,#REF!,#REF!,#REF!,#REF!,#REF!,#REF!,#REF!,#REF!,#REF!,#REF!,#REF!,#REF!</definedName>
    <definedName name="__APW_RESTORE_DATA2466__" hidden="1">#REF!,#REF!,#REF!,#REF!,#REF!,#REF!,#REF!,#REF!,#REF!,#REF!,#REF!,#REF!,#REF!,#REF!,#REF!</definedName>
    <definedName name="__APW_RESTORE_DATA2467__" hidden="1">#REF!,#REF!,#REF!,#REF!,#REF!,#REF!,#REF!,#REF!,#REF!,#REF!,#REF!,#REF!,#REF!,#REF!,#REF!</definedName>
    <definedName name="__APW_RESTORE_DATA2468__" hidden="1">#REF!,#REF!,#REF!,#REF!,#REF!,#REF!,#REF!,#REF!,#REF!,#REF!,#REF!,#REF!,#REF!,#REF!,#REF!</definedName>
    <definedName name="__APW_RESTORE_DATA2469__" hidden="1">#REF!,#REF!,#REF!,#REF!,#REF!,#REF!,#REF!,#REF!,#REF!,#REF!,#REF!,#REF!,#REF!,#REF!,#REF!</definedName>
    <definedName name="__APW_RESTORE_DATA247__" hidden="1">#REF!,#REF!,#REF!,#REF!,#REF!,#REF!,#REF!,#REF!,#REF!,#REF!,#REF!,#REF!,#REF!,#REF!,#REF!</definedName>
    <definedName name="__APW_RESTORE_DATA2470__" hidden="1">#REF!,#REF!,#REF!,#REF!,#REF!,#REF!,#REF!,#REF!,#REF!,#REF!,#REF!,#REF!,#REF!,#REF!,#REF!</definedName>
    <definedName name="__APW_RESTORE_DATA2471__" hidden="1">#REF!,#REF!,#REF!,#REF!,#REF!,#REF!,#REF!,#REF!,#REF!,#REF!,#REF!,#REF!,#REF!,#REF!,#REF!</definedName>
    <definedName name="__APW_RESTORE_DATA2472__" hidden="1">#REF!,#REF!,#REF!,#REF!,#REF!,#REF!,#REF!,#REF!,#REF!,#REF!,#REF!,#REF!,#REF!,#REF!,#REF!</definedName>
    <definedName name="__APW_RESTORE_DATA2473__" hidden="1">#REF!,#REF!,#REF!,#REF!,#REF!,#REF!,#REF!,#REF!,#REF!,#REF!,#REF!,#REF!,#REF!,#REF!,#REF!</definedName>
    <definedName name="__APW_RESTORE_DATA2474__" hidden="1">#REF!,#REF!,#REF!,#REF!,#REF!,#REF!,#REF!,#REF!,#REF!,#REF!,#REF!,#REF!,#REF!,#REF!,#REF!</definedName>
    <definedName name="__APW_RESTORE_DATA2475__" hidden="1">#REF!,#REF!,#REF!,#REF!,#REF!,#REF!,#REF!,#REF!,#REF!,#REF!,#REF!,#REF!,#REF!,#REF!,#REF!</definedName>
    <definedName name="__APW_RESTORE_DATA2476__" hidden="1">#REF!,#REF!,#REF!,#REF!,#REF!,#REF!,#REF!,#REF!,#REF!,#REF!,#REF!,#REF!,#REF!,#REF!,#REF!</definedName>
    <definedName name="__APW_RESTORE_DATA2477__" hidden="1">#REF!,#REF!,#REF!,#REF!,#REF!,#REF!,#REF!,#REF!,#REF!,#REF!,#REF!,#REF!,#REF!,#REF!,#REF!</definedName>
    <definedName name="__APW_RESTORE_DATA2478__" hidden="1">#REF!,#REF!,#REF!,#REF!,#REF!,#REF!,#REF!,#REF!,#REF!,#REF!,#REF!,#REF!,#REF!,#REF!,#REF!</definedName>
    <definedName name="__APW_RESTORE_DATA2479__" hidden="1">#REF!,#REF!,#REF!,#REF!,#REF!,#REF!,#REF!,#REF!,#REF!,#REF!,#REF!,#REF!,#REF!,#REF!,#REF!</definedName>
    <definedName name="__APW_RESTORE_DATA248__" hidden="1">#REF!,#REF!,#REF!,#REF!,#REF!,#REF!,#REF!,#REF!,#REF!,#REF!,#REF!,#REF!,#REF!,#REF!,#REF!</definedName>
    <definedName name="__APW_RESTORE_DATA2480__" hidden="1">#REF!,#REF!,#REF!,#REF!,#REF!,#REF!,#REF!,#REF!,#REF!,#REF!,#REF!,#REF!,#REF!,#REF!,#REF!</definedName>
    <definedName name="__APW_RESTORE_DATA2481__" hidden="1">#REF!,#REF!,#REF!,#REF!,#REF!,#REF!,#REF!,#REF!,#REF!,#REF!,#REF!,#REF!,#REF!,#REF!,#REF!</definedName>
    <definedName name="__APW_RESTORE_DATA2482__" hidden="1">#REF!,#REF!,#REF!,#REF!,#REF!,#REF!,#REF!,#REF!,#REF!,#REF!,#REF!,#REF!,#REF!,#REF!,#REF!</definedName>
    <definedName name="__APW_RESTORE_DATA2483__" hidden="1">#REF!,#REF!,#REF!,#REF!,#REF!,#REF!,#REF!,#REF!,#REF!,#REF!,#REF!,#REF!,#REF!,#REF!,#REF!</definedName>
    <definedName name="__APW_RESTORE_DATA2484__" hidden="1">#REF!,#REF!,#REF!,#REF!,#REF!,#REF!,#REF!,#REF!,#REF!,#REF!,#REF!,#REF!,#REF!,#REF!,#REF!</definedName>
    <definedName name="__APW_RESTORE_DATA2485__" hidden="1">#REF!,#REF!,#REF!,#REF!,#REF!,#REF!,#REF!,#REF!,#REF!,#REF!,#REF!,#REF!,#REF!,#REF!,#REF!</definedName>
    <definedName name="__APW_RESTORE_DATA2486__" hidden="1">#REF!,#REF!,#REF!,#REF!,#REF!,#REF!,#REF!,#REF!,#REF!,#REF!,#REF!,#REF!,#REF!,#REF!,#REF!</definedName>
    <definedName name="__APW_RESTORE_DATA2487__" hidden="1">#REF!,#REF!,#REF!,#REF!,#REF!,#REF!,#REF!,#REF!,#REF!,#REF!,#REF!,#REF!,#REF!,#REF!,#REF!</definedName>
    <definedName name="__APW_RESTORE_DATA2488__" hidden="1">#REF!,#REF!,#REF!,#REF!,#REF!,#REF!,#REF!,#REF!,#REF!,#REF!,#REF!,#REF!,#REF!,#REF!,#REF!</definedName>
    <definedName name="__APW_RESTORE_DATA2489__" hidden="1">#REF!,#REF!,#REF!,#REF!,#REF!,#REF!</definedName>
    <definedName name="__APW_RESTORE_DATA249__" hidden="1">#REF!,#REF!</definedName>
    <definedName name="__APW_RESTORE_DATA2490__" hidden="1">#REF!,#REF!,#REF!,#REF!,#REF!,#REF!,#REF!,#REF!,#REF!,#REF!,#REF!,#REF!,#REF!,#REF!,#REF!,#REF!</definedName>
    <definedName name="__APW_RESTORE_DATA2491__" hidden="1">#REF!,#REF!,#REF!,#REF!,#REF!,#REF!,#REF!,#REF!,#REF!,#REF!,#REF!,#REF!,#REF!,#REF!,#REF!,#REF!</definedName>
    <definedName name="__APW_RESTORE_DATA2492__" hidden="1">#REF!,#REF!,#REF!,#REF!,#REF!,#REF!,#REF!,#REF!,#REF!,#REF!,#REF!,#REF!,#REF!,#REF!,#REF!,#REF!</definedName>
    <definedName name="__APW_RESTORE_DATA2493__" hidden="1">#REF!,#REF!,#REF!,#REF!,#REF!,#REF!,#REF!,#REF!,#REF!,#REF!,#REF!,#REF!,#REF!,#REF!,#REF!,#REF!</definedName>
    <definedName name="__APW_RESTORE_DATA2494__" hidden="1">#REF!,#REF!,#REF!,#REF!,#REF!,#REF!,#REF!,#REF!,#REF!,#REF!,#REF!,#REF!,#REF!,#REF!,#REF!,#REF!</definedName>
    <definedName name="__APW_RESTORE_DATA2495__" hidden="1">#REF!,#REF!,#REF!,#REF!,#REF!,#REF!,#REF!,#REF!,#REF!,#REF!,#REF!,#REF!,#REF!,#REF!,#REF!,#REF!</definedName>
    <definedName name="__APW_RESTORE_DATA2496__" hidden="1">#REF!,#REF!,#REF!,#REF!,#REF!,#REF!,#REF!,#REF!,#REF!,#REF!,#REF!,#REF!,#REF!,#REF!,#REF!</definedName>
    <definedName name="__APW_RESTORE_DATA2497__" hidden="1">#REF!,#REF!,#REF!,#REF!,#REF!,#REF!,#REF!,#REF!,#REF!,#REF!,#REF!,#REF!,#REF!,#REF!,#REF!</definedName>
    <definedName name="__APW_RESTORE_DATA2498__" hidden="1">#REF!,#REF!,#REF!,#REF!,#REF!,#REF!,#REF!,#REF!,#REF!,#REF!,#REF!,#REF!,#REF!,#REF!,#REF!</definedName>
    <definedName name="__APW_RESTORE_DATA2499__" hidden="1">#REF!,#REF!,#REF!,#REF!,#REF!,#REF!,#REF!,#REF!,#REF!,#REF!,#REF!,#REF!,#REF!,#REF!,#REF!</definedName>
    <definedName name="__APW_RESTORE_DATA25__" hidden="1">#REF!,#REF!,#REF!,#REF!,#REF!,#REF!,#REF!,#REF!,#REF!,#REF!,#REF!,#REF!,#REF!,#REF!,#REF!</definedName>
    <definedName name="__APW_RESTORE_DATA250__" hidden="1">#REF!,#REF!,#REF!,#REF!,#REF!,#REF!,#REF!,#REF!,#REF!,#REF!,#REF!,#REF!,#REF!,#REF!,#REF!</definedName>
    <definedName name="__APW_RESTORE_DATA2500__" hidden="1">#REF!,#REF!,#REF!,#REF!,#REF!,#REF!,#REF!,#REF!,#REF!,#REF!,#REF!,#REF!,#REF!,#REF!,#REF!</definedName>
    <definedName name="__APW_RESTORE_DATA2501__" hidden="1">#REF!,#REF!,#REF!,#REF!,#REF!,#REF!,#REF!,#REF!,#REF!,#REF!,#REF!,#REF!,#REF!,#REF!,#REF!</definedName>
    <definedName name="__APW_RESTORE_DATA2502__" hidden="1">#REF!,#REF!,#REF!,#REF!,#REF!,#REF!,#REF!,#REF!,#REF!,#REF!,#REF!,#REF!,#REF!,#REF!,#REF!</definedName>
    <definedName name="__APW_RESTORE_DATA2503__" hidden="1">#REF!,#REF!,#REF!,#REF!,#REF!,#REF!,#REF!,#REF!,#REF!,#REF!,#REF!,#REF!,#REF!,#REF!,#REF!</definedName>
    <definedName name="__APW_RESTORE_DATA2504__" hidden="1">#REF!,#REF!,#REF!,#REF!,#REF!,#REF!,#REF!,#REF!,#REF!,#REF!,#REF!,#REF!,#REF!,#REF!,#REF!</definedName>
    <definedName name="__APW_RESTORE_DATA2505__" hidden="1">#REF!,#REF!,#REF!,#REF!,#REF!,#REF!,#REF!,#REF!,#REF!,#REF!,#REF!,#REF!,#REF!,#REF!,#REF!</definedName>
    <definedName name="__APW_RESTORE_DATA2506__" hidden="1">#REF!,#REF!,#REF!,#REF!,#REF!,#REF!,#REF!,#REF!,#REF!,#REF!,#REF!,#REF!,#REF!,#REF!,#REF!</definedName>
    <definedName name="__APW_RESTORE_DATA2507__" hidden="1">#REF!,#REF!,#REF!,#REF!,#REF!,#REF!,#REF!,#REF!,#REF!,#REF!,#REF!,#REF!,#REF!,#REF!,#REF!</definedName>
    <definedName name="__APW_RESTORE_DATA2508__" hidden="1">#REF!,#REF!,#REF!,#REF!,#REF!,#REF!,#REF!,#REF!,#REF!,#REF!,#REF!,#REF!,#REF!,#REF!,#REF!</definedName>
    <definedName name="__APW_RESTORE_DATA2509__" hidden="1">#REF!,#REF!,#REF!,#REF!,#REF!,#REF!,#REF!,#REF!,#REF!,#REF!,#REF!,#REF!,#REF!,#REF!,#REF!</definedName>
    <definedName name="__APW_RESTORE_DATA251__" hidden="1">#REF!,#REF!,#REF!,#REF!,#REF!,#REF!,#REF!,#REF!</definedName>
    <definedName name="__APW_RESTORE_DATA2510__" hidden="1">#REF!,#REF!,#REF!,#REF!,#REF!,#REF!,#REF!,#REF!,#REF!,#REF!,#REF!,#REF!,#REF!,#REF!,#REF!</definedName>
    <definedName name="__APW_RESTORE_DATA2511__" hidden="1">#REF!,#REF!,#REF!,#REF!,#REF!,#REF!,#REF!,#REF!,#REF!,#REF!,#REF!,#REF!,#REF!,#REF!,#REF!</definedName>
    <definedName name="__APW_RESTORE_DATA2512__" hidden="1">#REF!,#REF!,#REF!,#REF!,#REF!,#REF!,#REF!,#REF!,#REF!,#REF!,#REF!,#REF!,#REF!,#REF!,#REF!</definedName>
    <definedName name="__APW_RESTORE_DATA2513__" hidden="1">#REF!,#REF!,#REF!,#REF!,#REF!,#REF!,#REF!,#REF!,#REF!,#REF!,#REF!,#REF!,#REF!,#REF!,#REF!</definedName>
    <definedName name="__APW_RESTORE_DATA2514__" hidden="1">#REF!,#REF!,#REF!,#REF!,#REF!,#REF!,#REF!,#REF!,#REF!,#REF!,#REF!,#REF!,#REF!,#REF!,#REF!</definedName>
    <definedName name="__APW_RESTORE_DATA2515__" hidden="1">#REF!,#REF!,#REF!,#REF!,#REF!,#REF!,#REF!,#REF!,#REF!,#REF!,#REF!,#REF!,#REF!,#REF!,#REF!</definedName>
    <definedName name="__APW_RESTORE_DATA2516__" hidden="1">#REF!,#REF!,#REF!,#REF!,#REF!,#REF!,#REF!,#REF!,#REF!,#REF!,#REF!,#REF!,#REF!,#REF!,#REF!</definedName>
    <definedName name="__APW_RESTORE_DATA2517__" hidden="1">#REF!,#REF!,#REF!,#REF!,#REF!,#REF!,#REF!,#REF!,#REF!,#REF!,#REF!,#REF!,#REF!,#REF!,#REF!</definedName>
    <definedName name="__APW_RESTORE_DATA2518__" hidden="1">#REF!,#REF!,#REF!,#REF!,#REF!,#REF!,#REF!,#REF!,#REF!,#REF!,#REF!,#REF!,#REF!,#REF!,#REF!</definedName>
    <definedName name="__APW_RESTORE_DATA2519__" hidden="1">#REF!,#REF!,#REF!,#REF!,#REF!,#REF!,#REF!,#REF!,#REF!,#REF!,#REF!,#REF!,#REF!,#REF!,#REF!</definedName>
    <definedName name="__APW_RESTORE_DATA252__" hidden="1">#REF!,#REF!,#REF!,#REF!,#REF!,#REF!,#REF!,#REF!,#REF!,#REF!,#REF!,#REF!,#REF!,#REF!,#REF!,#REF!</definedName>
    <definedName name="__APW_RESTORE_DATA2520__" hidden="1">#REF!,#REF!,#REF!,#REF!,#REF!,#REF!,#REF!,#REF!,#REF!,#REF!,#REF!,#REF!,#REF!,#REF!,#REF!</definedName>
    <definedName name="__APW_RESTORE_DATA2521__" hidden="1">#REF!,#REF!,#REF!,#REF!,#REF!,#REF!,#REF!,#REF!,#REF!,#REF!,#REF!,#REF!,#REF!,#REF!,#REF!</definedName>
    <definedName name="__APW_RESTORE_DATA2522__" hidden="1">#REF!,#REF!,#REF!,#REF!,#REF!,#REF!,#REF!,#REF!,#REF!,#REF!,#REF!,#REF!,#REF!,#REF!,#REF!</definedName>
    <definedName name="__APW_RESTORE_DATA2523__" hidden="1">#REF!,#REF!,#REF!,#REF!,#REF!,#REF!,#REF!,#REF!,#REF!,#REF!,#REF!,#REF!,#REF!,#REF!,#REF!</definedName>
    <definedName name="__APW_RESTORE_DATA2524__" hidden="1">#REF!,#REF!,#REF!,#REF!,#REF!,#REF!</definedName>
    <definedName name="__APW_RESTORE_DATA2525__" hidden="1">#REF!,#REF!,#REF!,#REF!,#REF!,#REF!,#REF!,#REF!,#REF!,#REF!,#REF!,#REF!,#REF!,#REF!,#REF!,#REF!</definedName>
    <definedName name="__APW_RESTORE_DATA2526__" hidden="1">#REF!,#REF!,#REF!,#REF!,#REF!,#REF!,#REF!,#REF!,#REF!,#REF!,#REF!,#REF!,#REF!,#REF!,#REF!,#REF!</definedName>
    <definedName name="__APW_RESTORE_DATA2527__" hidden="1">#REF!,#REF!,#REF!,#REF!,#REF!,#REF!,#REF!,#REF!,#REF!,#REF!,#REF!,#REF!,#REF!,#REF!,#REF!,#REF!</definedName>
    <definedName name="__APW_RESTORE_DATA2528__" hidden="1">#REF!,#REF!,#REF!,#REF!,#REF!,#REF!,#REF!,#REF!,#REF!,#REF!,#REF!,#REF!,#REF!,#REF!,#REF!,#REF!</definedName>
    <definedName name="__APW_RESTORE_DATA2529__" hidden="1">#REF!,#REF!,#REF!,#REF!,#REF!,#REF!,#REF!,#REF!,#REF!,#REF!,#REF!,#REF!,#REF!,#REF!,#REF!,#REF!</definedName>
    <definedName name="__APW_RESTORE_DATA253__" hidden="1">#REF!,#REF!,#REF!,#REF!,#REF!,#REF!,#REF!,#REF!,#REF!,#REF!,#REF!,#REF!,#REF!,#REF!,#REF!,#REF!</definedName>
    <definedName name="__APW_RESTORE_DATA2530__" hidden="1">#REF!,#REF!,#REF!,#REF!,#REF!,#REF!,#REF!,#REF!,#REF!,#REF!,#REF!,#REF!,#REF!,#REF!,#REF!,#REF!</definedName>
    <definedName name="__APW_RESTORE_DATA2531__" hidden="1">#REF!,#REF!,#REF!,#REF!,#REF!,#REF!,#REF!,#REF!,#REF!,#REF!,#REF!,#REF!,#REF!,#REF!,#REF!</definedName>
    <definedName name="__APW_RESTORE_DATA2532__" hidden="1">#REF!,#REF!,#REF!,#REF!,#REF!,#REF!,#REF!,#REF!,#REF!,#REF!,#REF!,#REF!,#REF!,#REF!,#REF!</definedName>
    <definedName name="__APW_RESTORE_DATA2533__" hidden="1">#REF!,#REF!,#REF!,#REF!,#REF!,#REF!,#REF!,#REF!,#REF!,#REF!,#REF!,#REF!,#REF!,#REF!,#REF!</definedName>
    <definedName name="__APW_RESTORE_DATA2534__" hidden="1">#REF!,#REF!,#REF!,#REF!,#REF!,#REF!,#REF!,#REF!,#REF!,#REF!,#REF!,#REF!,#REF!,#REF!,#REF!</definedName>
    <definedName name="__APW_RESTORE_DATA2535__" hidden="1">#REF!,#REF!,#REF!,#REF!,#REF!,#REF!,#REF!,#REF!,#REF!,#REF!,#REF!,#REF!,#REF!,#REF!,#REF!</definedName>
    <definedName name="__APW_RESTORE_DATA2536__" hidden="1">#REF!,#REF!,#REF!,#REF!,#REF!,#REF!,#REF!,#REF!,#REF!,#REF!,#REF!,#REF!,#REF!,#REF!,#REF!</definedName>
    <definedName name="__APW_RESTORE_DATA2537__" hidden="1">#REF!,#REF!,#REF!,#REF!,#REF!,#REF!,#REF!,#REF!,#REF!,#REF!,#REF!,#REF!,#REF!,#REF!,#REF!</definedName>
    <definedName name="__APW_RESTORE_DATA2538__" hidden="1">#REF!,#REF!,#REF!,#REF!,#REF!,#REF!,#REF!,#REF!,#REF!,#REF!,#REF!,#REF!,#REF!,#REF!,#REF!</definedName>
    <definedName name="__APW_RESTORE_DATA2539__" hidden="1">#REF!,#REF!,#REF!,#REF!,#REF!,#REF!,#REF!,#REF!,#REF!,#REF!,#REF!,#REF!,#REF!,#REF!,#REF!</definedName>
    <definedName name="__APW_RESTORE_DATA254__" hidden="1">#REF!,#REF!</definedName>
    <definedName name="__APW_RESTORE_DATA2540__" hidden="1">#REF!,#REF!,#REF!,#REF!,#REF!,#REF!,#REF!,#REF!,#REF!,#REF!,#REF!,#REF!,#REF!,#REF!,#REF!</definedName>
    <definedName name="__APW_RESTORE_DATA2541__" hidden="1">#REF!,#REF!,#REF!,#REF!,#REF!,#REF!,#REF!,#REF!,#REF!,#REF!,#REF!,#REF!,#REF!,#REF!,#REF!</definedName>
    <definedName name="__APW_RESTORE_DATA2542__" hidden="1">#REF!,#REF!,#REF!,#REF!,#REF!,#REF!,#REF!,#REF!,#REF!,#REF!,#REF!,#REF!,#REF!,#REF!,#REF!</definedName>
    <definedName name="__APW_RESTORE_DATA2543__" hidden="1">#REF!,#REF!,#REF!,#REF!,#REF!,#REF!,#REF!,#REF!,#REF!,#REF!,#REF!,#REF!,#REF!,#REF!,#REF!</definedName>
    <definedName name="__APW_RESTORE_DATA2544__" hidden="1">#REF!,#REF!,#REF!,#REF!,#REF!,#REF!,#REF!,#REF!,#REF!,#REF!,#REF!,#REF!,#REF!,#REF!,#REF!</definedName>
    <definedName name="__APW_RESTORE_DATA2545__" hidden="1">#REF!,#REF!,#REF!,#REF!,#REF!,#REF!,#REF!,#REF!,#REF!,#REF!,#REF!,#REF!,#REF!,#REF!,#REF!</definedName>
    <definedName name="__APW_RESTORE_DATA2546__" hidden="1">#REF!,#REF!,#REF!,#REF!,#REF!,#REF!,#REF!,#REF!,#REF!,#REF!,#REF!,#REF!,#REF!,#REF!,#REF!</definedName>
    <definedName name="__APW_RESTORE_DATA2547__" hidden="1">#REF!,#REF!,#REF!,#REF!,#REF!,#REF!,#REF!,#REF!,#REF!,#REF!,#REF!,#REF!,#REF!,#REF!,#REF!</definedName>
    <definedName name="__APW_RESTORE_DATA2548__" hidden="1">#REF!,#REF!,#REF!,#REF!,#REF!,#REF!,#REF!,#REF!,#REF!,#REF!,#REF!,#REF!,#REF!,#REF!,#REF!</definedName>
    <definedName name="__APW_RESTORE_DATA2549__" hidden="1">#REF!,#REF!,#REF!,#REF!,#REF!,#REF!,#REF!,#REF!,#REF!,#REF!,#REF!,#REF!,#REF!,#REF!,#REF!</definedName>
    <definedName name="__APW_RESTORE_DATA255__" hidden="1">#REF!,#REF!,#REF!,#REF!,#REF!,#REF!,#REF!,#REF!,#REF!,#REF!,#REF!,#REF!,#REF!,#REF!,#REF!,#REF!</definedName>
    <definedName name="__APW_RESTORE_DATA2550__" hidden="1">#REF!,#REF!,#REF!,#REF!,#REF!,#REF!,#REF!,#REF!,#REF!,#REF!,#REF!,#REF!,#REF!,#REF!,#REF!</definedName>
    <definedName name="__APW_RESTORE_DATA2551__" hidden="1">#REF!,#REF!,#REF!,#REF!,#REF!,#REF!,#REF!,#REF!,#REF!,#REF!,#REF!,#REF!,#REF!,#REF!,#REF!</definedName>
    <definedName name="__APW_RESTORE_DATA2552__" hidden="1">#REF!,#REF!,#REF!,#REF!,#REF!,#REF!,#REF!,#REF!,#REF!,#REF!,#REF!,#REF!,#REF!,#REF!,#REF!</definedName>
    <definedName name="__APW_RESTORE_DATA2553__" hidden="1">#REF!,#REF!,#REF!,#REF!,#REF!,#REF!,#REF!,#REF!,#REF!,#REF!,#REF!,#REF!,#REF!,#REF!,#REF!</definedName>
    <definedName name="__APW_RESTORE_DATA2554__" hidden="1">#REF!,#REF!,#REF!,#REF!,#REF!,#REF!,#REF!,#REF!,#REF!,#REF!,#REF!,#REF!,#REF!,#REF!,#REF!</definedName>
    <definedName name="__APW_RESTORE_DATA2555__" hidden="1">#REF!,#REF!,#REF!,#REF!,#REF!,#REF!,#REF!,#REF!,#REF!,#REF!,#REF!,#REF!,#REF!,#REF!,#REF!</definedName>
    <definedName name="__APW_RESTORE_DATA2556__" hidden="1">#REF!,#REF!,#REF!,#REF!,#REF!,#REF!,#REF!,#REF!,#REF!,#REF!,#REF!,#REF!,#REF!,#REF!,#REF!</definedName>
    <definedName name="__APW_RESTORE_DATA2557__" hidden="1">#REF!,#REF!,#REF!,#REF!,#REF!,#REF!,#REF!,#REF!,#REF!,#REF!,#REF!,#REF!,#REF!,#REF!,#REF!</definedName>
    <definedName name="__APW_RESTORE_DATA2558__" hidden="1">#REF!,#REF!,#REF!,#REF!,#REF!,#REF!,#REF!,#REF!,#REF!,#REF!,#REF!,#REF!,#REF!,#REF!,#REF!</definedName>
    <definedName name="__APW_RESTORE_DATA2559__" hidden="1">#REF!,#REF!,#REF!,#REF!,#REF!,#REF!</definedName>
    <definedName name="__APW_RESTORE_DATA256__" hidden="1">#REF!,#REF!,#REF!,#REF!,#REF!,#REF!,#REF!,#REF!,#REF!,#REF!,#REF!,#REF!,#REF!,#REF!,#REF!,#REF!</definedName>
    <definedName name="__APW_RESTORE_DATA2560__" hidden="1">#REF!,#REF!,#REF!,#REF!,#REF!,#REF!,#REF!,#REF!,#REF!,#REF!,#REF!,#REF!,#REF!,#REF!,#REF!,#REF!</definedName>
    <definedName name="__APW_RESTORE_DATA2561__" hidden="1">#REF!,#REF!,#REF!,#REF!,#REF!,#REF!,#REF!,#REF!,#REF!,#REF!,#REF!,#REF!,#REF!,#REF!,#REF!,#REF!</definedName>
    <definedName name="__APW_RESTORE_DATA2562__" hidden="1">#REF!,#REF!,#REF!,#REF!,#REF!,#REF!,#REF!,#REF!,#REF!,#REF!,#REF!,#REF!,#REF!,#REF!,#REF!,#REF!</definedName>
    <definedName name="__APW_RESTORE_DATA2563__" hidden="1">#REF!,#REF!,#REF!,#REF!,#REF!,#REF!,#REF!,#REF!,#REF!,#REF!,#REF!,#REF!,#REF!,#REF!,#REF!,#REF!</definedName>
    <definedName name="__APW_RESTORE_DATA2564__" hidden="1">#REF!,#REF!,#REF!,#REF!,#REF!,#REF!,#REF!,#REF!,#REF!,#REF!,#REF!,#REF!,#REF!,#REF!,#REF!,#REF!</definedName>
    <definedName name="__APW_RESTORE_DATA2565__" hidden="1">#REF!,#REF!,#REF!,#REF!,#REF!,#REF!,#REF!,#REF!,#REF!,#REF!,#REF!,#REF!,#REF!,#REF!,#REF!,#REF!</definedName>
    <definedName name="__APW_RESTORE_DATA2566__" hidden="1">#REF!,#REF!,#REF!,#REF!,#REF!,#REF!,#REF!,#REF!,#REF!,#REF!,#REF!,#REF!,#REF!,#REF!,#REF!</definedName>
    <definedName name="__APW_RESTORE_DATA2567__" hidden="1">#REF!,#REF!,#REF!,#REF!,#REF!,#REF!,#REF!,#REF!,#REF!,#REF!,#REF!,#REF!,#REF!,#REF!,#REF!</definedName>
    <definedName name="__APW_RESTORE_DATA2568__" hidden="1">#REF!,#REF!,#REF!,#REF!,#REF!,#REF!,#REF!,#REF!,#REF!,#REF!,#REF!,#REF!,#REF!,#REF!,#REF!</definedName>
    <definedName name="__APW_RESTORE_DATA2569__" hidden="1">#REF!,#REF!,#REF!,#REF!,#REF!,#REF!,#REF!,#REF!,#REF!,#REF!,#REF!,#REF!,#REF!,#REF!,#REF!</definedName>
    <definedName name="__APW_RESTORE_DATA257__" hidden="1">#REF!,#REF!,#REF!,#REF!,#REF!,#REF!,#REF!,#REF!,#REF!,#REF!,#REF!,#REF!,#REF!,#REF!,#REF!,#REF!</definedName>
    <definedName name="__APW_RESTORE_DATA2570__" hidden="1">#REF!,#REF!,#REF!,#REF!,#REF!,#REF!,#REF!,#REF!,#REF!,#REF!,#REF!,#REF!,#REF!,#REF!,#REF!</definedName>
    <definedName name="__APW_RESTORE_DATA2571__" hidden="1">#REF!,#REF!,#REF!,#REF!,#REF!,#REF!,#REF!,#REF!,#REF!,#REF!,#REF!,#REF!,#REF!,#REF!,#REF!</definedName>
    <definedName name="__APW_RESTORE_DATA2572__" hidden="1">#REF!,#REF!,#REF!,#REF!,#REF!,#REF!,#REF!,#REF!,#REF!,#REF!,#REF!,#REF!,#REF!,#REF!,#REF!</definedName>
    <definedName name="__APW_RESTORE_DATA2573__" hidden="1">#REF!,#REF!,#REF!,#REF!,#REF!,#REF!,#REF!,#REF!,#REF!,#REF!,#REF!,#REF!,#REF!,#REF!,#REF!</definedName>
    <definedName name="__APW_RESTORE_DATA2574__" hidden="1">#REF!,#REF!,#REF!,#REF!,#REF!,#REF!,#REF!,#REF!,#REF!,#REF!,#REF!,#REF!,#REF!,#REF!,#REF!</definedName>
    <definedName name="__APW_RESTORE_DATA2575__" hidden="1">#REF!,#REF!,#REF!,#REF!,#REF!,#REF!,#REF!,#REF!,#REF!,#REF!,#REF!,#REF!,#REF!,#REF!,#REF!</definedName>
    <definedName name="__APW_RESTORE_DATA2576__" hidden="1">#REF!,#REF!,#REF!,#REF!,#REF!,#REF!,#REF!,#REF!,#REF!,#REF!,#REF!,#REF!,#REF!,#REF!,#REF!</definedName>
    <definedName name="__APW_RESTORE_DATA2577__" hidden="1">#REF!,#REF!,#REF!,#REF!,#REF!,#REF!,#REF!,#REF!,#REF!,#REF!,#REF!,#REF!,#REF!,#REF!,#REF!</definedName>
    <definedName name="__APW_RESTORE_DATA2578__" hidden="1">#REF!,#REF!,#REF!,#REF!,#REF!,#REF!,#REF!,#REF!,#REF!,#REF!,#REF!,#REF!,#REF!,#REF!,#REF!</definedName>
    <definedName name="__APW_RESTORE_DATA2579__" hidden="1">#REF!,#REF!,#REF!,#REF!,#REF!,#REF!,#REF!,#REF!,#REF!,#REF!,#REF!,#REF!,#REF!,#REF!,#REF!</definedName>
    <definedName name="__APW_RESTORE_DATA258__" hidden="1">#REF!,#REF!,#REF!,#REF!,#REF!,#REF!,#REF!,#REF!,#REF!,#REF!,#REF!,#REF!,#REF!,#REF!,#REF!</definedName>
    <definedName name="__APW_RESTORE_DATA2580__" hidden="1">#REF!,#REF!,#REF!,#REF!,#REF!,#REF!,#REF!,#REF!,#REF!,#REF!,#REF!,#REF!,#REF!,#REF!,#REF!</definedName>
    <definedName name="__APW_RESTORE_DATA2581__" hidden="1">#REF!,#REF!,#REF!,#REF!,#REF!,#REF!,#REF!,#REF!,#REF!,#REF!,#REF!,#REF!,#REF!,#REF!,#REF!</definedName>
    <definedName name="__APW_RESTORE_DATA2582__" hidden="1">#REF!,#REF!,#REF!,#REF!,#REF!,#REF!,#REF!,#REF!,#REF!,#REF!,#REF!,#REF!,#REF!,#REF!,#REF!</definedName>
    <definedName name="__APW_RESTORE_DATA2583__" hidden="1">#REF!,#REF!,#REF!,#REF!,#REF!,#REF!,#REF!,#REF!,#REF!,#REF!,#REF!,#REF!,#REF!,#REF!,#REF!</definedName>
    <definedName name="__APW_RESTORE_DATA2584__" hidden="1">#REF!,#REF!,#REF!,#REF!,#REF!,#REF!,#REF!,#REF!,#REF!,#REF!,#REF!,#REF!,#REF!,#REF!,#REF!</definedName>
    <definedName name="__APW_RESTORE_DATA2585__" hidden="1">#REF!,#REF!,#REF!,#REF!,#REF!,#REF!,#REF!,#REF!,#REF!,#REF!,#REF!,#REF!,#REF!,#REF!,#REF!</definedName>
    <definedName name="__APW_RESTORE_DATA2586__" hidden="1">#REF!,#REF!,#REF!,#REF!,#REF!,#REF!,#REF!,#REF!,#REF!,#REF!,#REF!,#REF!,#REF!,#REF!,#REF!</definedName>
    <definedName name="__APW_RESTORE_DATA2587__" hidden="1">#REF!,#REF!,#REF!,#REF!,#REF!,#REF!,#REF!,#REF!,#REF!,#REF!,#REF!,#REF!,#REF!,#REF!,#REF!</definedName>
    <definedName name="__APW_RESTORE_DATA2588__" hidden="1">#REF!,#REF!,#REF!,#REF!,#REF!,#REF!,#REF!,#REF!,#REF!,#REF!,#REF!,#REF!,#REF!,#REF!,#REF!</definedName>
    <definedName name="__APW_RESTORE_DATA2589__" hidden="1">#REF!,#REF!,#REF!,#REF!,#REF!,#REF!,#REF!,#REF!,#REF!,#REF!,#REF!,#REF!,#REF!,#REF!,#REF!</definedName>
    <definedName name="__APW_RESTORE_DATA259__" hidden="1">#REF!,#REF!</definedName>
    <definedName name="__APW_RESTORE_DATA2590__" hidden="1">#REF!,#REF!,#REF!,#REF!,#REF!,#REF!,#REF!,#REF!,#REF!,#REF!,#REF!,#REF!,#REF!,#REF!,#REF!</definedName>
    <definedName name="__APW_RESTORE_DATA2591__" hidden="1">#REF!,#REF!,#REF!,#REF!,#REF!,#REF!,#REF!,#REF!,#REF!,#REF!,#REF!,#REF!,#REF!,#REF!,#REF!</definedName>
    <definedName name="__APW_RESTORE_DATA2592__" hidden="1">#REF!,#REF!,#REF!,#REF!,#REF!,#REF!,#REF!,#REF!,#REF!,#REF!,#REF!,#REF!,#REF!,#REF!,#REF!</definedName>
    <definedName name="__APW_RESTORE_DATA2593__" hidden="1">#REF!,#REF!,#REF!,#REF!,#REF!,#REF!,#REF!,#REF!,#REF!,#REF!,#REF!,#REF!,#REF!,#REF!,#REF!</definedName>
    <definedName name="__APW_RESTORE_DATA2594__" hidden="1">#REF!,#REF!,#REF!,#REF!,#REF!,#REF!</definedName>
    <definedName name="__APW_RESTORE_DATA2595__" hidden="1">#REF!</definedName>
    <definedName name="__APW_RESTORE_DATA2596__" hidden="1">#REF!</definedName>
    <definedName name="__APW_RESTORE_DATA2597__" hidden="1">#REF!</definedName>
    <definedName name="__APW_RESTORE_DATA2599__" hidden="1">#REF!</definedName>
    <definedName name="__APW_RESTORE_DATA26__" hidden="1">#REF!</definedName>
    <definedName name="__APW_RESTORE_DATA260__" hidden="1">#REF!,#REF!,#REF!,#REF!,#REF!,#REF!,#REF!,#REF!,#REF!,#REF!,#REF!,#REF!,#REF!,#REF!,#REF!</definedName>
    <definedName name="__APW_RESTORE_DATA2600__" hidden="1">#REF!,#REF!,#REF!,#REF!,#REF!,#REF!,#REF!,#REF!,#REF!,#REF!,#REF!,#REF!,#REF!,#REF!,#REF!,#REF!</definedName>
    <definedName name="__APW_RESTORE_DATA2601__" hidden="1">#REF!,#REF!,#REF!,#REF!,#REF!,#REF!,#REF!,#REF!,#REF!,#REF!,#REF!,#REF!,#REF!,#REF!,#REF!,#REF!</definedName>
    <definedName name="__APW_RESTORE_DATA2602__" hidden="1">#REF!,#REF!,#REF!,#REF!,#REF!,#REF!,#REF!,#REF!,#REF!,#REF!,#REF!,#REF!,#REF!,#REF!,#REF!,#REF!</definedName>
    <definedName name="__APW_RESTORE_DATA2603__" hidden="1">#REF!,#REF!,#REF!,#REF!,#REF!,#REF!,#REF!,#REF!,#REF!,#REF!,#REF!,#REF!,#REF!,#REF!,#REF!,#REF!</definedName>
    <definedName name="__APW_RESTORE_DATA2604__" hidden="1">#REF!,#REF!,#REF!,#REF!,#REF!,#REF!,#REF!,#REF!,#REF!,#REF!,#REF!,#REF!,#REF!,#REF!,#REF!,#REF!</definedName>
    <definedName name="__APW_RESTORE_DATA2605__" hidden="1">#REF!,#REF!,#REF!,#REF!,#REF!,#REF!,#REF!,#REF!,#REF!,#REF!,#REF!,#REF!,#REF!,#REF!,#REF!,#REF!</definedName>
    <definedName name="__APW_RESTORE_DATA2606__" hidden="1">#REF!,#REF!,#REF!,#REF!,#REF!,#REF!,#REF!,#REF!,#REF!,#REF!,#REF!,#REF!,#REF!,#REF!,#REF!</definedName>
    <definedName name="__APW_RESTORE_DATA2607__" hidden="1">#REF!,#REF!,#REF!,#REF!,#REF!,#REF!,#REF!,#REF!,#REF!,#REF!,#REF!,#REF!,#REF!,#REF!,#REF!</definedName>
    <definedName name="__APW_RESTORE_DATA2608__" hidden="1">#REF!,#REF!,#REF!,#REF!,#REF!,#REF!,#REF!,#REF!,#REF!,#REF!,#REF!,#REF!,#REF!,#REF!,#REF!</definedName>
    <definedName name="__APW_RESTORE_DATA2609__" hidden="1">#REF!,#REF!,#REF!,#REF!,#REF!,#REF!,#REF!,#REF!,#REF!,#REF!,#REF!,#REF!,#REF!,#REF!,#REF!</definedName>
    <definedName name="__APW_RESTORE_DATA261__" hidden="1">#REF!,#REF!,#REF!,#REF!,#REF!,#REF!,#REF!,#REF!,#REF!,#REF!,#REF!,#REF!,#REF!,#REF!,#REF!</definedName>
    <definedName name="__APW_RESTORE_DATA2610__" hidden="1">#REF!,#REF!,#REF!,#REF!,#REF!,#REF!,#REF!,#REF!,#REF!,#REF!,#REF!,#REF!,#REF!,#REF!,#REF!</definedName>
    <definedName name="__APW_RESTORE_DATA2611__" hidden="1">#REF!,#REF!,#REF!,#REF!,#REF!,#REF!,#REF!,#REF!,#REF!,#REF!,#REF!,#REF!,#REF!,#REF!,#REF!</definedName>
    <definedName name="__APW_RESTORE_DATA2612__" hidden="1">#REF!,#REF!,#REF!,#REF!,#REF!,#REF!,#REF!,#REF!,#REF!,#REF!,#REF!,#REF!,#REF!,#REF!,#REF!</definedName>
    <definedName name="__APW_RESTORE_DATA2613__" hidden="1">#REF!,#REF!,#REF!,#REF!,#REF!,#REF!,#REF!,#REF!,#REF!,#REF!,#REF!,#REF!,#REF!,#REF!,#REF!</definedName>
    <definedName name="__APW_RESTORE_DATA2614__" hidden="1">#REF!,#REF!,#REF!,#REF!,#REF!,#REF!,#REF!,#REF!,#REF!,#REF!,#REF!,#REF!,#REF!,#REF!,#REF!</definedName>
    <definedName name="__APW_RESTORE_DATA2615__" hidden="1">#REF!,#REF!,#REF!,#REF!,#REF!,#REF!,#REF!,#REF!,#REF!,#REF!,#REF!,#REF!,#REF!,#REF!,#REF!</definedName>
    <definedName name="__APW_RESTORE_DATA2616__" hidden="1">#REF!,#REF!,#REF!,#REF!,#REF!,#REF!,#REF!,#REF!,#REF!,#REF!,#REF!,#REF!,#REF!,#REF!,#REF!</definedName>
    <definedName name="__APW_RESTORE_DATA2617__" hidden="1">#REF!,#REF!,#REF!,#REF!,#REF!,#REF!,#REF!,#REF!,#REF!,#REF!,#REF!,#REF!,#REF!,#REF!,#REF!</definedName>
    <definedName name="__APW_RESTORE_DATA2618__" hidden="1">#REF!,#REF!,#REF!,#REF!,#REF!,#REF!,#REF!,#REF!,#REF!,#REF!,#REF!,#REF!,#REF!,#REF!,#REF!</definedName>
    <definedName name="__APW_RESTORE_DATA2619__" hidden="1">#REF!,#REF!,#REF!,#REF!,#REF!,#REF!,#REF!,#REF!,#REF!,#REF!,#REF!,#REF!,#REF!,#REF!,#REF!</definedName>
    <definedName name="__APW_RESTORE_DATA262__" hidden="1">#REF!,#REF!,#REF!,#REF!,#REF!,#REF!,#REF!,#REF!,#REF!,#REF!,#REF!,#REF!,#REF!,#REF!,#REF!</definedName>
    <definedName name="__APW_RESTORE_DATA2620__" hidden="1">#REF!,#REF!,#REF!,#REF!,#REF!,#REF!,#REF!,#REF!,#REF!,#REF!,#REF!,#REF!,#REF!,#REF!,#REF!</definedName>
    <definedName name="__APW_RESTORE_DATA2621__" hidden="1">#REF!,#REF!,#REF!,#REF!,#REF!,#REF!,#REF!,#REF!,#REF!,#REF!,#REF!,#REF!,#REF!,#REF!,#REF!</definedName>
    <definedName name="__APW_RESTORE_DATA2622__" hidden="1">#REF!,#REF!,#REF!,#REF!,#REF!,#REF!,#REF!,#REF!,#REF!,#REF!,#REF!,#REF!,#REF!,#REF!,#REF!</definedName>
    <definedName name="__APW_RESTORE_DATA2623__" hidden="1">#REF!,#REF!,#REF!,#REF!,#REF!,#REF!,#REF!,#REF!,#REF!,#REF!,#REF!,#REF!,#REF!,#REF!,#REF!</definedName>
    <definedName name="__APW_RESTORE_DATA2624__" hidden="1">#REF!,#REF!,#REF!,#REF!,#REF!,#REF!,#REF!,#REF!,#REF!,#REF!,#REF!,#REF!,#REF!,#REF!,#REF!</definedName>
    <definedName name="__APW_RESTORE_DATA2625__" hidden="1">#REF!,#REF!,#REF!,#REF!,#REF!,#REF!,#REF!,#REF!,#REF!,#REF!,#REF!,#REF!,#REF!,#REF!,#REF!</definedName>
    <definedName name="__APW_RESTORE_DATA2626__" hidden="1">#REF!,#REF!,#REF!,#REF!,#REF!,#REF!,#REF!,#REF!,#REF!,#REF!,#REF!,#REF!,#REF!,#REF!,#REF!</definedName>
    <definedName name="__APW_RESTORE_DATA2627__" hidden="1">#REF!,#REF!,#REF!,#REF!,#REF!,#REF!,#REF!,#REF!,#REF!,#REF!,#REF!,#REF!,#REF!,#REF!,#REF!</definedName>
    <definedName name="__APW_RESTORE_DATA2628__" hidden="1">#REF!,#REF!,#REF!,#REF!,#REF!,#REF!,#REF!,#REF!,#REF!,#REF!,#REF!,#REF!,#REF!,#REF!,#REF!</definedName>
    <definedName name="__APW_RESTORE_DATA2629__" hidden="1">#REF!,#REF!,#REF!,#REF!,#REF!,#REF!,#REF!,#REF!,#REF!,#REF!,#REF!,#REF!,#REF!,#REF!,#REF!</definedName>
    <definedName name="__APW_RESTORE_DATA263__" hidden="1">#REF!,#REF!,#REF!,#REF!,#REF!,#REF!,#REF!,#REF!,#REF!,#REF!,#REF!,#REF!,#REF!,#REF!,#REF!</definedName>
    <definedName name="__APW_RESTORE_DATA2630__" hidden="1">#REF!,#REF!,#REF!,#REF!,#REF!,#REF!,#REF!,#REF!,#REF!,#REF!,#REF!,#REF!,#REF!,#REF!,#REF!</definedName>
    <definedName name="__APW_RESTORE_DATA2631__" hidden="1">#REF!,#REF!,#REF!,#REF!,#REF!,#REF!,#REF!,#REF!,#REF!,#REF!,#REF!,#REF!,#REF!,#REF!,#REF!</definedName>
    <definedName name="__APW_RESTORE_DATA2632__" hidden="1">#REF!,#REF!,#REF!,#REF!,#REF!,#REF!,#REF!,#REF!,#REF!,#REF!,#REF!,#REF!,#REF!,#REF!,#REF!</definedName>
    <definedName name="__APW_RESTORE_DATA2633__" hidden="1">#REF!,#REF!,#REF!,#REF!,#REF!,#REF!,#REF!,#REF!,#REF!,#REF!,#REF!,#REF!,#REF!,#REF!,#REF!</definedName>
    <definedName name="__APW_RESTORE_DATA2634__" hidden="1">#REF!,#REF!,#REF!,#REF!,#REF!,#REF!</definedName>
    <definedName name="__APW_RESTORE_DATA2635__" hidden="1">#REF!,#REF!,#REF!,#REF!,#REF!,#REF!,#REF!,#REF!,#REF!,#REF!,#REF!,#REF!,#REF!,#REF!,#REF!,#REF!</definedName>
    <definedName name="__APW_RESTORE_DATA2636__" hidden="1">#REF!,#REF!,#REF!,#REF!,#REF!,#REF!,#REF!,#REF!,#REF!,#REF!,#REF!,#REF!,#REF!,#REF!,#REF!,#REF!</definedName>
    <definedName name="__APW_RESTORE_DATA2637__" hidden="1">#REF!,#REF!,#REF!,#REF!,#REF!,#REF!,#REF!,#REF!,#REF!,#REF!,#REF!,#REF!,#REF!,#REF!,#REF!,#REF!</definedName>
    <definedName name="__APW_RESTORE_DATA2638__" hidden="1">#REF!,#REF!,#REF!,#REF!,#REF!,#REF!,#REF!,#REF!,#REF!,#REF!,#REF!,#REF!,#REF!,#REF!,#REF!,#REF!</definedName>
    <definedName name="__APW_RESTORE_DATA2639__" hidden="1">#REF!,#REF!,#REF!,#REF!,#REF!,#REF!,#REF!,#REF!,#REF!,#REF!,#REF!,#REF!,#REF!,#REF!,#REF!,#REF!</definedName>
    <definedName name="__APW_RESTORE_DATA264__" hidden="1">#REF!,#REF!,#REF!,#REF!,#REF!,#REF!,#REF!,#REF!,#REF!,#REF!,#REF!,#REF!,#REF!,#REF!,#REF!</definedName>
    <definedName name="__APW_RESTORE_DATA2640__" hidden="1">#REF!,#REF!,#REF!,#REF!,#REF!,#REF!,#REF!,#REF!,#REF!,#REF!,#REF!,#REF!,#REF!,#REF!,#REF!,#REF!</definedName>
    <definedName name="__APW_RESTORE_DATA2641__" hidden="1">#REF!,#REF!,#REF!,#REF!,#REF!,#REF!,#REF!,#REF!,#REF!,#REF!,#REF!,#REF!,#REF!,#REF!,#REF!</definedName>
    <definedName name="__APW_RESTORE_DATA2642__" hidden="1">#REF!,#REF!,#REF!,#REF!,#REF!,#REF!,#REF!,#REF!,#REF!,#REF!,#REF!,#REF!,#REF!,#REF!,#REF!</definedName>
    <definedName name="__APW_RESTORE_DATA2643__" hidden="1">#REF!,#REF!,#REF!,#REF!,#REF!,#REF!,#REF!,#REF!,#REF!,#REF!,#REF!,#REF!,#REF!,#REF!,#REF!</definedName>
    <definedName name="__APW_RESTORE_DATA2644__" hidden="1">#REF!,#REF!,#REF!,#REF!,#REF!,#REF!,#REF!,#REF!,#REF!,#REF!,#REF!,#REF!,#REF!,#REF!,#REF!</definedName>
    <definedName name="__APW_RESTORE_DATA2645__" hidden="1">#REF!,#REF!,#REF!,#REF!,#REF!,#REF!,#REF!,#REF!,#REF!,#REF!,#REF!,#REF!,#REF!,#REF!,#REF!</definedName>
    <definedName name="__APW_RESTORE_DATA2646__" hidden="1">#REF!,#REF!,#REF!,#REF!,#REF!,#REF!,#REF!,#REF!,#REF!,#REF!,#REF!,#REF!,#REF!,#REF!,#REF!</definedName>
    <definedName name="__APW_RESTORE_DATA2647__" hidden="1">#REF!,#REF!,#REF!,#REF!,#REF!,#REF!,#REF!,#REF!,#REF!,#REF!,#REF!,#REF!,#REF!,#REF!,#REF!</definedName>
    <definedName name="__APW_RESTORE_DATA2648__" hidden="1">#REF!,#REF!,#REF!,#REF!,#REF!,#REF!,#REF!,#REF!,#REF!,#REF!,#REF!,#REF!,#REF!,#REF!,#REF!</definedName>
    <definedName name="__APW_RESTORE_DATA2649__" hidden="1">#REF!,#REF!,#REF!,#REF!,#REF!,#REF!,#REF!,#REF!,#REF!,#REF!,#REF!,#REF!,#REF!,#REF!,#REF!</definedName>
    <definedName name="__APW_RESTORE_DATA265__" hidden="1">#REF!,#REF!,#REF!,#REF!,#REF!,#REF!,#REF!,#REF!,#REF!,#REF!,#REF!,#REF!,#REF!,#REF!,#REF!</definedName>
    <definedName name="__APW_RESTORE_DATA2650__" hidden="1">#REF!,#REF!,#REF!,#REF!,#REF!,#REF!,#REF!,#REF!,#REF!,#REF!,#REF!,#REF!,#REF!,#REF!,#REF!</definedName>
    <definedName name="__APW_RESTORE_DATA2651__" hidden="1">#REF!,#REF!,#REF!,#REF!,#REF!,#REF!,#REF!,#REF!,#REF!,#REF!,#REF!,#REF!,#REF!,#REF!,#REF!</definedName>
    <definedName name="__APW_RESTORE_DATA2652__" hidden="1">#REF!,#REF!,#REF!,#REF!,#REF!,#REF!,#REF!,#REF!,#REF!,#REF!,#REF!,#REF!,#REF!,#REF!,#REF!</definedName>
    <definedName name="__APW_RESTORE_DATA2653__" hidden="1">#REF!,#REF!,#REF!,#REF!,#REF!,#REF!,#REF!,#REF!,#REF!,#REF!,#REF!,#REF!,#REF!,#REF!,#REF!</definedName>
    <definedName name="__APW_RESTORE_DATA2654__" hidden="1">#REF!,#REF!,#REF!,#REF!,#REF!,#REF!,#REF!,#REF!,#REF!,#REF!,#REF!,#REF!,#REF!,#REF!,#REF!</definedName>
    <definedName name="__APW_RESTORE_DATA2655__" hidden="1">#REF!,#REF!,#REF!,#REF!,#REF!,#REF!,#REF!,#REF!,#REF!,#REF!,#REF!,#REF!,#REF!,#REF!,#REF!</definedName>
    <definedName name="__APW_RESTORE_DATA2656__" hidden="1">#REF!,#REF!,#REF!,#REF!,#REF!,#REF!,#REF!,#REF!,#REF!,#REF!,#REF!,#REF!,#REF!,#REF!,#REF!</definedName>
    <definedName name="__APW_RESTORE_DATA2657__" hidden="1">#REF!,#REF!,#REF!,#REF!,#REF!,#REF!,#REF!,#REF!,#REF!,#REF!,#REF!,#REF!,#REF!,#REF!,#REF!</definedName>
    <definedName name="__APW_RESTORE_DATA2658__" hidden="1">#REF!,#REF!,#REF!,#REF!,#REF!,#REF!,#REF!,#REF!,#REF!,#REF!,#REF!,#REF!,#REF!,#REF!,#REF!</definedName>
    <definedName name="__APW_RESTORE_DATA2659__" hidden="1">#REF!,#REF!,#REF!,#REF!,#REF!,#REF!,#REF!,#REF!,#REF!,#REF!,#REF!,#REF!,#REF!,#REF!,#REF!</definedName>
    <definedName name="__APW_RESTORE_DATA266__" hidden="1">#REF!,#REF!,#REF!,#REF!,#REF!,#REF!,#REF!,#REF!,#REF!,#REF!,#REF!,#REF!,#REF!,#REF!,#REF!</definedName>
    <definedName name="__APW_RESTORE_DATA2660__" hidden="1">#REF!,#REF!,#REF!,#REF!,#REF!,#REF!,#REF!,#REF!,#REF!,#REF!,#REF!,#REF!,#REF!,#REF!,#REF!</definedName>
    <definedName name="__APW_RESTORE_DATA2661__" hidden="1">#REF!,#REF!,#REF!,#REF!,#REF!,#REF!,#REF!,#REF!,#REF!,#REF!,#REF!,#REF!,#REF!,#REF!,#REF!</definedName>
    <definedName name="__APW_RESTORE_DATA2662__" hidden="1">#REF!,#REF!,#REF!,#REF!,#REF!,#REF!,#REF!,#REF!,#REF!,#REF!,#REF!,#REF!,#REF!,#REF!,#REF!</definedName>
    <definedName name="__APW_RESTORE_DATA2663__" hidden="1">#REF!,#REF!,#REF!,#REF!,#REF!,#REF!,#REF!,#REF!,#REF!,#REF!,#REF!,#REF!,#REF!,#REF!,#REF!</definedName>
    <definedName name="__APW_RESTORE_DATA2664__" hidden="1">#REF!,#REF!,#REF!,#REF!,#REF!,#REF!,#REF!,#REF!,#REF!,#REF!,#REF!,#REF!,#REF!,#REF!,#REF!</definedName>
    <definedName name="__APW_RESTORE_DATA2665__" hidden="1">#REF!,#REF!,#REF!,#REF!,#REF!,#REF!,#REF!,#REF!,#REF!,#REF!,#REF!,#REF!,#REF!,#REF!,#REF!</definedName>
    <definedName name="__APW_RESTORE_DATA2666__" hidden="1">#REF!,#REF!,#REF!,#REF!,#REF!,#REF!,#REF!,#REF!,#REF!,#REF!,#REF!,#REF!,#REF!,#REF!,#REF!</definedName>
    <definedName name="__APW_RESTORE_DATA2667__" hidden="1">#REF!,#REF!,#REF!,#REF!,#REF!,#REF!,#REF!,#REF!,#REF!,#REF!,#REF!,#REF!,#REF!,#REF!,#REF!</definedName>
    <definedName name="__APW_RESTORE_DATA2668__" hidden="1">#REF!,#REF!,#REF!,#REF!,#REF!,#REF!,#REF!,#REF!,#REF!,#REF!,#REF!,#REF!,#REF!,#REF!,#REF!</definedName>
    <definedName name="__APW_RESTORE_DATA2669__" hidden="1">#REF!,#REF!,#REF!,#REF!,#REF!,#REF!</definedName>
    <definedName name="__APW_RESTORE_DATA267__" hidden="1">#REF!,#REF!,#REF!,#REF!,#REF!,#REF!,#REF!,#REF!,#REF!,#REF!,#REF!,#REF!,#REF!,#REF!,#REF!</definedName>
    <definedName name="__APW_RESTORE_DATA2670__" hidden="1">#REF!,#REF!,#REF!,#REF!,#REF!,#REF!,#REF!,#REF!,#REF!,#REF!,#REF!,#REF!,#REF!,#REF!,#REF!,#REF!</definedName>
    <definedName name="__APW_RESTORE_DATA2671__" hidden="1">#REF!,#REF!,#REF!,#REF!,#REF!,#REF!,#REF!,#REF!,#REF!,#REF!,#REF!,#REF!,#REF!,#REF!,#REF!,#REF!</definedName>
    <definedName name="__APW_RESTORE_DATA2672__" hidden="1">#REF!,#REF!,#REF!,#REF!,#REF!,#REF!,#REF!,#REF!,#REF!,#REF!,#REF!,#REF!,#REF!,#REF!,#REF!,#REF!</definedName>
    <definedName name="__APW_RESTORE_DATA2673__" hidden="1">#REF!,#REF!,#REF!,#REF!,#REF!,#REF!,#REF!,#REF!,#REF!,#REF!,#REF!,#REF!,#REF!,#REF!,#REF!,#REF!</definedName>
    <definedName name="__APW_RESTORE_DATA2674__" hidden="1">#REF!,#REF!,#REF!,#REF!,#REF!,#REF!,#REF!,#REF!,#REF!,#REF!,#REF!,#REF!,#REF!,#REF!,#REF!,#REF!</definedName>
    <definedName name="__APW_RESTORE_DATA2675__" hidden="1">#REF!,#REF!,#REF!,#REF!,#REF!,#REF!,#REF!,#REF!,#REF!,#REF!,#REF!,#REF!,#REF!,#REF!,#REF!,#REF!</definedName>
    <definedName name="__APW_RESTORE_DATA2676__" hidden="1">#REF!,#REF!,#REF!,#REF!,#REF!,#REF!,#REF!,#REF!,#REF!,#REF!,#REF!,#REF!,#REF!,#REF!,#REF!</definedName>
    <definedName name="__APW_RESTORE_DATA2677__" hidden="1">#REF!,#REF!,#REF!,#REF!,#REF!,#REF!,#REF!,#REF!,#REF!,#REF!,#REF!,#REF!,#REF!,#REF!,#REF!</definedName>
    <definedName name="__APW_RESTORE_DATA2678__" hidden="1">#REF!,#REF!,#REF!,#REF!,#REF!,#REF!,#REF!,#REF!,#REF!,#REF!,#REF!,#REF!,#REF!,#REF!,#REF!</definedName>
    <definedName name="__APW_RESTORE_DATA2679__" hidden="1">#REF!,#REF!,#REF!,#REF!,#REF!,#REF!,#REF!,#REF!,#REF!,#REF!,#REF!,#REF!,#REF!,#REF!,#REF!</definedName>
    <definedName name="__APW_RESTORE_DATA268__" hidden="1">#REF!,#REF!,#REF!,#REF!,#REF!,#REF!,#REF!,#REF!,#REF!,#REF!,#REF!,#REF!,#REF!,#REF!,#REF!</definedName>
    <definedName name="__APW_RESTORE_DATA2680__" hidden="1">#REF!,#REF!,#REF!,#REF!,#REF!,#REF!,#REF!,#REF!,#REF!,#REF!,#REF!,#REF!,#REF!,#REF!,#REF!</definedName>
    <definedName name="__APW_RESTORE_DATA2681__" hidden="1">#REF!,#REF!,#REF!,#REF!,#REF!,#REF!,#REF!,#REF!,#REF!,#REF!,#REF!,#REF!,#REF!,#REF!,#REF!</definedName>
    <definedName name="__APW_RESTORE_DATA2682__" hidden="1">#REF!,#REF!,#REF!,#REF!,#REF!,#REF!,#REF!,#REF!,#REF!,#REF!,#REF!,#REF!,#REF!,#REF!,#REF!</definedName>
    <definedName name="__APW_RESTORE_DATA2683__" hidden="1">#REF!,#REF!,#REF!,#REF!,#REF!,#REF!,#REF!,#REF!,#REF!,#REF!,#REF!,#REF!,#REF!,#REF!,#REF!</definedName>
    <definedName name="__APW_RESTORE_DATA2684__" hidden="1">#REF!,#REF!,#REF!,#REF!,#REF!,#REF!,#REF!,#REF!,#REF!,#REF!,#REF!,#REF!,#REF!,#REF!,#REF!</definedName>
    <definedName name="__APW_RESTORE_DATA2685__" hidden="1">#REF!,#REF!,#REF!,#REF!,#REF!,#REF!,#REF!,#REF!,#REF!,#REF!,#REF!,#REF!,#REF!,#REF!,#REF!</definedName>
    <definedName name="__APW_RESTORE_DATA2686__" hidden="1">#REF!,#REF!,#REF!,#REF!,#REF!,#REF!,#REF!,#REF!,#REF!,#REF!,#REF!,#REF!,#REF!,#REF!,#REF!</definedName>
    <definedName name="__APW_RESTORE_DATA2687__" hidden="1">#REF!,#REF!,#REF!,#REF!,#REF!,#REF!,#REF!,#REF!,#REF!,#REF!,#REF!,#REF!,#REF!,#REF!,#REF!</definedName>
    <definedName name="__APW_RESTORE_DATA2688__" hidden="1">#REF!,#REF!,#REF!,#REF!,#REF!,#REF!,#REF!,#REF!,#REF!,#REF!,#REF!,#REF!,#REF!,#REF!,#REF!</definedName>
    <definedName name="__APW_RESTORE_DATA2689__" hidden="1">#REF!,#REF!,#REF!,#REF!,#REF!,#REF!,#REF!,#REF!,#REF!,#REF!,#REF!,#REF!,#REF!,#REF!,#REF!</definedName>
    <definedName name="__APW_RESTORE_DATA269__" hidden="1">#REF!,#REF!,#REF!,#REF!,#REF!,#REF!,#REF!,#REF!,#REF!,#REF!,#REF!,#REF!,#REF!,#REF!,#REF!</definedName>
    <definedName name="__APW_RESTORE_DATA2690__" hidden="1">#REF!,#REF!,#REF!,#REF!,#REF!,#REF!,#REF!,#REF!,#REF!,#REF!,#REF!,#REF!,#REF!,#REF!,#REF!</definedName>
    <definedName name="__APW_RESTORE_DATA2691__" hidden="1">#REF!,#REF!,#REF!,#REF!,#REF!,#REF!,#REF!,#REF!,#REF!,#REF!,#REF!,#REF!,#REF!,#REF!,#REF!</definedName>
    <definedName name="__APW_RESTORE_DATA2692__" hidden="1">#REF!,#REF!,#REF!,#REF!,#REF!,#REF!,#REF!,#REF!,#REF!,#REF!,#REF!,#REF!,#REF!,#REF!,#REF!</definedName>
    <definedName name="__APW_RESTORE_DATA2693__" hidden="1">#REF!,#REF!,#REF!,#REF!,#REF!,#REF!,#REF!,#REF!,#REF!,#REF!,#REF!,#REF!,#REF!,#REF!,#REF!</definedName>
    <definedName name="__APW_RESTORE_DATA2694__" hidden="1">#REF!,#REF!,#REF!,#REF!,#REF!,#REF!,#REF!,#REF!,#REF!,#REF!,#REF!,#REF!,#REF!,#REF!,#REF!</definedName>
    <definedName name="__APW_RESTORE_DATA2695__" hidden="1">#REF!,#REF!,#REF!,#REF!,#REF!,#REF!,#REF!,#REF!,#REF!,#REF!,#REF!,#REF!,#REF!,#REF!,#REF!</definedName>
    <definedName name="__APW_RESTORE_DATA2696__" hidden="1">#REF!,#REF!,#REF!,#REF!,#REF!,#REF!,#REF!,#REF!,#REF!,#REF!,#REF!,#REF!,#REF!,#REF!,#REF!</definedName>
    <definedName name="__APW_RESTORE_DATA2697__" hidden="1">#REF!,#REF!,#REF!,#REF!,#REF!,#REF!,#REF!,#REF!,#REF!,#REF!,#REF!,#REF!,#REF!,#REF!,#REF!</definedName>
    <definedName name="__APW_RESTORE_DATA2698__" hidden="1">#REF!,#REF!,#REF!,#REF!,#REF!,#REF!,#REF!,#REF!,#REF!,#REF!,#REF!,#REF!,#REF!,#REF!,#REF!</definedName>
    <definedName name="__APW_RESTORE_DATA2699__" hidden="1">#REF!,#REF!,#REF!,#REF!,#REF!,#REF!,#REF!,#REF!,#REF!,#REF!,#REF!,#REF!,#REF!,#REF!,#REF!</definedName>
    <definedName name="__APW_RESTORE_DATA27__" hidden="1">#REF!</definedName>
    <definedName name="__APW_RESTORE_DATA270__" hidden="1">#REF!,#REF!,#REF!,#REF!,#REF!,#REF!,#REF!,#REF!,#REF!,#REF!,#REF!,#REF!,#REF!,#REF!,#REF!</definedName>
    <definedName name="__APW_RESTORE_DATA2700__" hidden="1">#REF!,#REF!,#REF!,#REF!,#REF!,#REF!,#REF!,#REF!,#REF!,#REF!,#REF!,#REF!,#REF!,#REF!,#REF!</definedName>
    <definedName name="__APW_RESTORE_DATA2701__" hidden="1">#REF!,#REF!,#REF!,#REF!,#REF!,#REF!,#REF!,#REF!,#REF!,#REF!,#REF!,#REF!,#REF!,#REF!,#REF!</definedName>
    <definedName name="__APW_RESTORE_DATA2702__" hidden="1">#REF!,#REF!,#REF!,#REF!,#REF!,#REF!,#REF!,#REF!,#REF!,#REF!,#REF!,#REF!,#REF!,#REF!,#REF!</definedName>
    <definedName name="__APW_RESTORE_DATA2703__" hidden="1">#REF!,#REF!,#REF!,#REF!,#REF!,#REF!,#REF!,#REF!,#REF!,#REF!,#REF!,#REF!,#REF!,#REF!,#REF!</definedName>
    <definedName name="__APW_RESTORE_DATA2704__" hidden="1">#REF!,#REF!,#REF!,#REF!,#REF!,#REF!</definedName>
    <definedName name="__APW_RESTORE_DATA2705__" hidden="1">#REF!,#REF!,#REF!,#REF!,#REF!,#REF!,#REF!,#REF!,#REF!,#REF!,#REF!,#REF!,#REF!,#REF!,#REF!,#REF!</definedName>
    <definedName name="__APW_RESTORE_DATA2706__" hidden="1">#REF!,#REF!,#REF!,#REF!,#REF!,#REF!,#REF!,#REF!,#REF!,#REF!,#REF!,#REF!,#REF!,#REF!,#REF!,#REF!</definedName>
    <definedName name="__APW_RESTORE_DATA2707__" hidden="1">#REF!,#REF!,#REF!,#REF!,#REF!,#REF!,#REF!,#REF!,#REF!,#REF!,#REF!,#REF!,#REF!,#REF!,#REF!,#REF!</definedName>
    <definedName name="__APW_RESTORE_DATA2708__" hidden="1">#REF!,#REF!,#REF!,#REF!,#REF!,#REF!,#REF!,#REF!,#REF!,#REF!,#REF!,#REF!,#REF!,#REF!,#REF!,#REF!</definedName>
    <definedName name="__APW_RESTORE_DATA2709__" hidden="1">#REF!,#REF!,#REF!,#REF!,#REF!,#REF!,#REF!,#REF!,#REF!,#REF!,#REF!,#REF!,#REF!,#REF!,#REF!,#REF!</definedName>
    <definedName name="__APW_RESTORE_DATA271__" hidden="1">#REF!,#REF!,#REF!,#REF!,#REF!,#REF!,#REF!,#REF!,#REF!,#REF!,#REF!,#REF!,#REF!,#REF!,#REF!</definedName>
    <definedName name="__APW_RESTORE_DATA2710__" hidden="1">#REF!,#REF!,#REF!,#REF!,#REF!,#REF!,#REF!,#REF!,#REF!,#REF!,#REF!,#REF!,#REF!,#REF!,#REF!,#REF!</definedName>
    <definedName name="__APW_RESTORE_DATA2711__" hidden="1">#REF!,#REF!,#REF!,#REF!,#REF!,#REF!,#REF!,#REF!,#REF!,#REF!,#REF!,#REF!,#REF!,#REF!,#REF!</definedName>
    <definedName name="__APW_RESTORE_DATA2712__" hidden="1">#REF!,#REF!,#REF!,#REF!,#REF!,#REF!,#REF!,#REF!,#REF!,#REF!,#REF!,#REF!,#REF!,#REF!,#REF!</definedName>
    <definedName name="__APW_RESTORE_DATA2713__" hidden="1">#REF!,#REF!,#REF!,#REF!,#REF!,#REF!,#REF!,#REF!,#REF!,#REF!,#REF!,#REF!,#REF!,#REF!,#REF!</definedName>
    <definedName name="__APW_RESTORE_DATA2714__" hidden="1">#REF!,#REF!,#REF!,#REF!,#REF!,#REF!,#REF!,#REF!,#REF!,#REF!,#REF!,#REF!,#REF!,#REF!,#REF!</definedName>
    <definedName name="__APW_RESTORE_DATA2715__" hidden="1">#REF!,#REF!,#REF!,#REF!,#REF!,#REF!,#REF!,#REF!,#REF!,#REF!,#REF!,#REF!,#REF!,#REF!,#REF!</definedName>
    <definedName name="__APW_RESTORE_DATA2716__" hidden="1">#REF!,#REF!,#REF!,#REF!,#REF!,#REF!,#REF!,#REF!,#REF!,#REF!,#REF!,#REF!,#REF!,#REF!,#REF!</definedName>
    <definedName name="__APW_RESTORE_DATA2717__" hidden="1">#REF!,#REF!,#REF!,#REF!,#REF!,#REF!,#REF!,#REF!,#REF!,#REF!,#REF!,#REF!,#REF!,#REF!,#REF!</definedName>
    <definedName name="__APW_RESTORE_DATA2718__" hidden="1">#REF!,#REF!,#REF!,#REF!,#REF!,#REF!,#REF!,#REF!,#REF!,#REF!,#REF!,#REF!,#REF!,#REF!,#REF!</definedName>
    <definedName name="__APW_RESTORE_DATA2719__" hidden="1">#REF!,#REF!,#REF!,#REF!,#REF!,#REF!,#REF!,#REF!,#REF!,#REF!,#REF!,#REF!,#REF!,#REF!,#REF!</definedName>
    <definedName name="__APW_RESTORE_DATA272__" hidden="1">#REF!,#REF!,#REF!,#REF!,#REF!,#REF!,#REF!,#REF!,#REF!,#REF!,#REF!,#REF!,#REF!,#REF!,#REF!</definedName>
    <definedName name="__APW_RESTORE_DATA2720__" hidden="1">#REF!,#REF!,#REF!,#REF!,#REF!,#REF!,#REF!,#REF!,#REF!,#REF!,#REF!,#REF!,#REF!,#REF!,#REF!</definedName>
    <definedName name="__APW_RESTORE_DATA2721__" hidden="1">#REF!,#REF!,#REF!,#REF!,#REF!,#REF!,#REF!,#REF!,#REF!,#REF!,#REF!,#REF!,#REF!,#REF!,#REF!</definedName>
    <definedName name="__APW_RESTORE_DATA2722__" hidden="1">#REF!,#REF!,#REF!,#REF!,#REF!,#REF!,#REF!,#REF!,#REF!,#REF!,#REF!,#REF!,#REF!,#REF!,#REF!</definedName>
    <definedName name="__APW_RESTORE_DATA2723__" hidden="1">#REF!,#REF!,#REF!,#REF!,#REF!,#REF!,#REF!,#REF!,#REF!,#REF!,#REF!,#REF!,#REF!,#REF!,#REF!</definedName>
    <definedName name="__APW_RESTORE_DATA2724__" hidden="1">#REF!,#REF!,#REF!,#REF!,#REF!,#REF!,#REF!,#REF!,#REF!,#REF!,#REF!,#REF!,#REF!,#REF!,#REF!</definedName>
    <definedName name="__APW_RESTORE_DATA2725__" hidden="1">#REF!,#REF!,#REF!,#REF!,#REF!,#REF!,#REF!,#REF!,#REF!,#REF!,#REF!,#REF!,#REF!,#REF!,#REF!</definedName>
    <definedName name="__APW_RESTORE_DATA2726__" hidden="1">#REF!,#REF!,#REF!,#REF!,#REF!,#REF!,#REF!,#REF!,#REF!,#REF!,#REF!,#REF!,#REF!,#REF!,#REF!</definedName>
    <definedName name="__APW_RESTORE_DATA2727__" hidden="1">#REF!,#REF!,#REF!,#REF!,#REF!,#REF!,#REF!,#REF!,#REF!,#REF!,#REF!,#REF!,#REF!,#REF!,#REF!</definedName>
    <definedName name="__APW_RESTORE_DATA2728__" hidden="1">#REF!,#REF!,#REF!,#REF!,#REF!,#REF!,#REF!,#REF!,#REF!,#REF!,#REF!,#REF!,#REF!,#REF!,#REF!</definedName>
    <definedName name="__APW_RESTORE_DATA2729__" hidden="1">#REF!,#REF!,#REF!,#REF!,#REF!,#REF!,#REF!,#REF!,#REF!,#REF!,#REF!,#REF!,#REF!,#REF!,#REF!</definedName>
    <definedName name="__APW_RESTORE_DATA273__" hidden="1">#REF!,#REF!,#REF!,#REF!,#REF!,#REF!,#REF!,#REF!,#REF!,#REF!,#REF!,#REF!,#REF!,#REF!,#REF!</definedName>
    <definedName name="__APW_RESTORE_DATA2730__" hidden="1">#REF!,#REF!,#REF!,#REF!,#REF!,#REF!,#REF!,#REF!,#REF!,#REF!,#REF!,#REF!,#REF!,#REF!,#REF!</definedName>
    <definedName name="__APW_RESTORE_DATA2731__" hidden="1">#REF!,#REF!,#REF!,#REF!,#REF!,#REF!,#REF!,#REF!,#REF!,#REF!,#REF!,#REF!,#REF!,#REF!,#REF!</definedName>
    <definedName name="__APW_RESTORE_DATA2732__" hidden="1">#REF!,#REF!,#REF!,#REF!,#REF!,#REF!,#REF!,#REF!,#REF!,#REF!,#REF!,#REF!,#REF!,#REF!,#REF!</definedName>
    <definedName name="__APW_RESTORE_DATA2733__" hidden="1">#REF!,#REF!,#REF!,#REF!,#REF!,#REF!,#REF!,#REF!,#REF!,#REF!,#REF!,#REF!,#REF!,#REF!,#REF!</definedName>
    <definedName name="__APW_RESTORE_DATA2734__" hidden="1">#REF!,#REF!,#REF!,#REF!,#REF!,#REF!,#REF!,#REF!,#REF!,#REF!,#REF!,#REF!,#REF!,#REF!,#REF!</definedName>
    <definedName name="__APW_RESTORE_DATA2735__" hidden="1">#REF!,#REF!,#REF!,#REF!,#REF!,#REF!,#REF!,#REF!,#REF!,#REF!,#REF!,#REF!,#REF!,#REF!,#REF!</definedName>
    <definedName name="__APW_RESTORE_DATA2736__" hidden="1">#REF!,#REF!,#REF!,#REF!,#REF!,#REF!,#REF!,#REF!,#REF!,#REF!,#REF!,#REF!,#REF!,#REF!,#REF!</definedName>
    <definedName name="__APW_RESTORE_DATA2737__" hidden="1">#REF!,#REF!,#REF!,#REF!,#REF!,#REF!,#REF!,#REF!,#REF!,#REF!,#REF!,#REF!,#REF!,#REF!,#REF!</definedName>
    <definedName name="__APW_RESTORE_DATA2738__" hidden="1">#REF!,#REF!,#REF!,#REF!,#REF!,#REF!,#REF!,#REF!,#REF!,#REF!,#REF!,#REF!,#REF!,#REF!,#REF!</definedName>
    <definedName name="__APW_RESTORE_DATA2739__" hidden="1">#REF!,#REF!,#REF!,#REF!,#REF!,#REF!</definedName>
    <definedName name="__APW_RESTORE_DATA274__" hidden="1">#REF!,#REF!</definedName>
    <definedName name="__APW_RESTORE_DATA2740__" hidden="1">#REF!</definedName>
    <definedName name="__APW_RESTORE_DATA2741__" hidden="1">#REF!</definedName>
    <definedName name="__APW_RESTORE_DATA2742__" hidden="1">#REF!</definedName>
    <definedName name="__APW_RESTORE_DATA2744__" hidden="1">#REF!</definedName>
    <definedName name="__APW_RESTORE_DATA2745__" hidden="1">#REF!,#REF!,#REF!,#REF!,#REF!,#REF!,#REF!,#REF!,#REF!,#REF!,#REF!,#REF!,#REF!,#REF!,#REF!,#REF!</definedName>
    <definedName name="__APW_RESTORE_DATA2746__" hidden="1">#REF!,#REF!,#REF!,#REF!,#REF!,#REF!,#REF!,#REF!,#REF!,#REF!,#REF!,#REF!,#REF!,#REF!,#REF!,#REF!</definedName>
    <definedName name="__APW_RESTORE_DATA2747__" hidden="1">#REF!,#REF!,#REF!,#REF!,#REF!,#REF!,#REF!,#REF!,#REF!,#REF!,#REF!,#REF!,#REF!,#REF!,#REF!,#REF!</definedName>
    <definedName name="__APW_RESTORE_DATA2748__" hidden="1">#REF!,#REF!,#REF!,#REF!,#REF!,#REF!,#REF!,#REF!,#REF!,#REF!,#REF!,#REF!,#REF!,#REF!,#REF!,#REF!</definedName>
    <definedName name="__APW_RESTORE_DATA2749__" hidden="1">#REF!,#REF!,#REF!,#REF!,#REF!,#REF!,#REF!,#REF!,#REF!,#REF!,#REF!,#REF!,#REF!,#REF!,#REF!,#REF!</definedName>
    <definedName name="__APW_RESTORE_DATA275__" hidden="1">#REF!,#REF!</definedName>
    <definedName name="__APW_RESTORE_DATA2750__" hidden="1">#REF!,#REF!,#REF!,#REF!,#REF!,#REF!,#REF!,#REF!,#REF!,#REF!,#REF!,#REF!,#REF!,#REF!,#REF!,#REF!</definedName>
    <definedName name="__APW_RESTORE_DATA2751__" hidden="1">#REF!,#REF!,#REF!,#REF!,#REF!,#REF!,#REF!,#REF!,#REF!,#REF!,#REF!,#REF!,#REF!,#REF!,#REF!</definedName>
    <definedName name="__APW_RESTORE_DATA2752__" hidden="1">#REF!,#REF!,#REF!,#REF!,#REF!,#REF!,#REF!,#REF!,#REF!,#REF!,#REF!,#REF!,#REF!,#REF!,#REF!</definedName>
    <definedName name="__APW_RESTORE_DATA2753__" hidden="1">#REF!,#REF!,#REF!,#REF!,#REF!,#REF!,#REF!,#REF!,#REF!,#REF!,#REF!,#REF!,#REF!,#REF!,#REF!</definedName>
    <definedName name="__APW_RESTORE_DATA2754__" hidden="1">#REF!,#REF!,#REF!,#REF!,#REF!,#REF!,#REF!,#REF!,#REF!,#REF!,#REF!,#REF!,#REF!,#REF!,#REF!</definedName>
    <definedName name="__APW_RESTORE_DATA2755__" hidden="1">#REF!,#REF!,#REF!,#REF!,#REF!,#REF!,#REF!,#REF!,#REF!,#REF!,#REF!,#REF!,#REF!,#REF!,#REF!</definedName>
    <definedName name="__APW_RESTORE_DATA2756__" hidden="1">#REF!,#REF!,#REF!,#REF!,#REF!,#REF!,#REF!,#REF!,#REF!,#REF!,#REF!,#REF!,#REF!,#REF!,#REF!</definedName>
    <definedName name="__APW_RESTORE_DATA2757__" hidden="1">#REF!,#REF!,#REF!,#REF!,#REF!,#REF!,#REF!,#REF!,#REF!,#REF!,#REF!,#REF!,#REF!,#REF!,#REF!</definedName>
    <definedName name="__APW_RESTORE_DATA2758__" hidden="1">#REF!,#REF!,#REF!,#REF!,#REF!,#REF!,#REF!,#REF!,#REF!,#REF!,#REF!,#REF!,#REF!,#REF!,#REF!</definedName>
    <definedName name="__APW_RESTORE_DATA2759__" hidden="1">#REF!,#REF!,#REF!,#REF!,#REF!,#REF!,#REF!,#REF!,#REF!,#REF!,#REF!,#REF!,#REF!,#REF!,#REF!</definedName>
    <definedName name="__APW_RESTORE_DATA276__" hidden="1">#REF!,#REF!,#REF!,#REF!,#REF!,#REF!,#REF!,#REF!,#REF!,#REF!,#REF!,#REF!,#REF!,#REF!,#REF!</definedName>
    <definedName name="__APW_RESTORE_DATA2760__" hidden="1">#REF!,#REF!,#REF!,#REF!,#REF!,#REF!,#REF!,#REF!,#REF!,#REF!,#REF!,#REF!,#REF!,#REF!,#REF!</definedName>
    <definedName name="__APW_RESTORE_DATA2761__" hidden="1">#REF!,#REF!,#REF!,#REF!,#REF!,#REF!,#REF!,#REF!,#REF!,#REF!,#REF!,#REF!,#REF!,#REF!,#REF!</definedName>
    <definedName name="__APW_RESTORE_DATA2762__" hidden="1">#REF!,#REF!,#REF!,#REF!,#REF!,#REF!,#REF!,#REF!,#REF!,#REF!,#REF!,#REF!,#REF!,#REF!,#REF!</definedName>
    <definedName name="__APW_RESTORE_DATA2763__" hidden="1">#REF!,#REF!,#REF!,#REF!,#REF!,#REF!,#REF!,#REF!,#REF!,#REF!,#REF!,#REF!,#REF!,#REF!,#REF!</definedName>
    <definedName name="__APW_RESTORE_DATA2764__" hidden="1">#REF!,#REF!,#REF!,#REF!,#REF!,#REF!,#REF!,#REF!,#REF!,#REF!,#REF!,#REF!,#REF!,#REF!,#REF!</definedName>
    <definedName name="__APW_RESTORE_DATA2765__" hidden="1">#REF!,#REF!,#REF!,#REF!,#REF!,#REF!,#REF!,#REF!,#REF!,#REF!,#REF!,#REF!,#REF!,#REF!,#REF!</definedName>
    <definedName name="__APW_RESTORE_DATA2766__" hidden="1">#REF!,#REF!,#REF!,#REF!,#REF!,#REF!,#REF!,#REF!,#REF!,#REF!,#REF!,#REF!,#REF!,#REF!,#REF!</definedName>
    <definedName name="__APW_RESTORE_DATA2767__" hidden="1">#REF!,#REF!,#REF!,#REF!,#REF!,#REF!,#REF!,#REF!,#REF!,#REF!,#REF!,#REF!,#REF!,#REF!,#REF!</definedName>
    <definedName name="__APW_RESTORE_DATA2768__" hidden="1">#REF!,#REF!,#REF!,#REF!,#REF!,#REF!,#REF!,#REF!,#REF!,#REF!,#REF!,#REF!,#REF!,#REF!,#REF!</definedName>
    <definedName name="__APW_RESTORE_DATA2769__" hidden="1">#REF!,#REF!,#REF!,#REF!,#REF!,#REF!,#REF!,#REF!,#REF!,#REF!,#REF!,#REF!,#REF!,#REF!,#REF!</definedName>
    <definedName name="__APW_RESTORE_DATA277__" hidden="1">#REF!,#REF!,#REF!,#REF!,#REF!,#REF!,#REF!,#REF!,#REF!,#REF!,#REF!,#REF!,#REF!,#REF!,#REF!</definedName>
    <definedName name="__APW_RESTORE_DATA2770__" hidden="1">#REF!,#REF!,#REF!,#REF!,#REF!,#REF!,#REF!,#REF!,#REF!,#REF!,#REF!,#REF!,#REF!,#REF!,#REF!</definedName>
    <definedName name="__APW_RESTORE_DATA2771__" hidden="1">#REF!,#REF!,#REF!,#REF!,#REF!,#REF!,#REF!,#REF!,#REF!,#REF!,#REF!,#REF!,#REF!,#REF!,#REF!</definedName>
    <definedName name="__APW_RESTORE_DATA2772__" hidden="1">#REF!,#REF!,#REF!,#REF!,#REF!,#REF!,#REF!,#REF!,#REF!,#REF!,#REF!,#REF!,#REF!,#REF!,#REF!</definedName>
    <definedName name="__APW_RESTORE_DATA2773__" hidden="1">#REF!,#REF!,#REF!,#REF!,#REF!,#REF!,#REF!,#REF!,#REF!,#REF!,#REF!,#REF!,#REF!,#REF!,#REF!</definedName>
    <definedName name="__APW_RESTORE_DATA2774__" hidden="1">#REF!,#REF!,#REF!,#REF!,#REF!,#REF!,#REF!,#REF!,#REF!,#REF!,#REF!,#REF!,#REF!,#REF!,#REF!</definedName>
    <definedName name="__APW_RESTORE_DATA2775__" hidden="1">#REF!,#REF!,#REF!,#REF!,#REF!,#REF!,#REF!,#REF!,#REF!,#REF!,#REF!,#REF!,#REF!,#REF!,#REF!</definedName>
    <definedName name="__APW_RESTORE_DATA2776__" hidden="1">#REF!,#REF!,#REF!,#REF!,#REF!,#REF!,#REF!,#REF!,#REF!,#REF!,#REF!,#REF!,#REF!,#REF!,#REF!</definedName>
    <definedName name="__APW_RESTORE_DATA2777__" hidden="1">#REF!,#REF!,#REF!,#REF!,#REF!,#REF!,#REF!,#REF!,#REF!,#REF!,#REF!,#REF!,#REF!,#REF!,#REF!</definedName>
    <definedName name="__APW_RESTORE_DATA2778__" hidden="1">#REF!,#REF!,#REF!,#REF!,#REF!,#REF!,#REF!,#REF!,#REF!,#REF!,#REF!,#REF!,#REF!,#REF!,#REF!</definedName>
    <definedName name="__APW_RESTORE_DATA2779__" hidden="1">#REF!,#REF!,#REF!,#REF!,#REF!,#REF!</definedName>
    <definedName name="__APW_RESTORE_DATA278__" hidden="1">#REF!,#REF!,#REF!,#REF!,#REF!,#REF!,#REF!,#REF!,#REF!,#REF!,#REF!,#REF!,#REF!,#REF!,#REF!</definedName>
    <definedName name="__APW_RESTORE_DATA2780__" hidden="1">#REF!,#REF!,#REF!,#REF!,#REF!,#REF!,#REF!,#REF!,#REF!,#REF!,#REF!,#REF!,#REF!,#REF!,#REF!,#REF!</definedName>
    <definedName name="__APW_RESTORE_DATA2781__" hidden="1">#REF!,#REF!,#REF!,#REF!,#REF!,#REF!,#REF!,#REF!,#REF!,#REF!,#REF!,#REF!,#REF!,#REF!,#REF!,#REF!</definedName>
    <definedName name="__APW_RESTORE_DATA2782__" hidden="1">#REF!,#REF!,#REF!,#REF!,#REF!,#REF!,#REF!,#REF!,#REF!,#REF!,#REF!,#REF!,#REF!,#REF!,#REF!,#REF!</definedName>
    <definedName name="__APW_RESTORE_DATA2783__" hidden="1">#REF!,#REF!,#REF!,#REF!,#REF!,#REF!,#REF!,#REF!,#REF!,#REF!,#REF!,#REF!,#REF!,#REF!,#REF!,#REF!</definedName>
    <definedName name="__APW_RESTORE_DATA2784__" hidden="1">#REF!,#REF!,#REF!,#REF!,#REF!,#REF!,#REF!,#REF!,#REF!,#REF!,#REF!,#REF!,#REF!,#REF!,#REF!,#REF!</definedName>
    <definedName name="__APW_RESTORE_DATA2785__" hidden="1">#REF!,#REF!,#REF!,#REF!,#REF!,#REF!,#REF!,#REF!,#REF!,#REF!,#REF!,#REF!,#REF!,#REF!,#REF!,#REF!</definedName>
    <definedName name="__APW_RESTORE_DATA2786__" hidden="1">#REF!,#REF!,#REF!,#REF!,#REF!,#REF!,#REF!,#REF!,#REF!,#REF!,#REF!,#REF!,#REF!,#REF!,#REF!</definedName>
    <definedName name="__APW_RESTORE_DATA2787__" hidden="1">#REF!,#REF!,#REF!,#REF!,#REF!,#REF!,#REF!,#REF!,#REF!,#REF!,#REF!,#REF!,#REF!,#REF!,#REF!</definedName>
    <definedName name="__APW_RESTORE_DATA2788__" hidden="1">#REF!,#REF!,#REF!,#REF!,#REF!,#REF!,#REF!,#REF!,#REF!,#REF!,#REF!,#REF!,#REF!,#REF!,#REF!</definedName>
    <definedName name="__APW_RESTORE_DATA2789__" hidden="1">#REF!,#REF!,#REF!,#REF!,#REF!,#REF!,#REF!,#REF!,#REF!,#REF!,#REF!,#REF!,#REF!,#REF!,#REF!</definedName>
    <definedName name="__APW_RESTORE_DATA279__" hidden="1">#REF!,#REF!,#REF!,#REF!,#REF!,#REF!,#REF!,#REF!,#REF!,#REF!,#REF!,#REF!,#REF!,#REF!,#REF!</definedName>
    <definedName name="__APW_RESTORE_DATA2790__" hidden="1">#REF!,#REF!,#REF!,#REF!,#REF!,#REF!,#REF!,#REF!,#REF!,#REF!,#REF!,#REF!,#REF!,#REF!,#REF!</definedName>
    <definedName name="__APW_RESTORE_DATA2791__" hidden="1">#REF!,#REF!,#REF!,#REF!,#REF!,#REF!,#REF!,#REF!,#REF!,#REF!,#REF!,#REF!,#REF!,#REF!,#REF!</definedName>
    <definedName name="__APW_RESTORE_DATA2792__" hidden="1">#REF!,#REF!,#REF!,#REF!,#REF!,#REF!,#REF!,#REF!,#REF!,#REF!,#REF!,#REF!,#REF!,#REF!,#REF!</definedName>
    <definedName name="__APW_RESTORE_DATA2793__" hidden="1">#REF!,#REF!,#REF!,#REF!,#REF!,#REF!,#REF!,#REF!,#REF!,#REF!,#REF!,#REF!,#REF!,#REF!,#REF!</definedName>
    <definedName name="__APW_RESTORE_DATA2794__" hidden="1">#REF!,#REF!,#REF!,#REF!,#REF!,#REF!,#REF!,#REF!,#REF!,#REF!,#REF!,#REF!,#REF!,#REF!,#REF!</definedName>
    <definedName name="__APW_RESTORE_DATA2795__" hidden="1">#REF!,#REF!,#REF!,#REF!,#REF!,#REF!,#REF!,#REF!,#REF!,#REF!,#REF!,#REF!,#REF!,#REF!,#REF!</definedName>
    <definedName name="__APW_RESTORE_DATA2796__" hidden="1">#REF!,#REF!,#REF!,#REF!,#REF!,#REF!,#REF!,#REF!,#REF!,#REF!,#REF!,#REF!,#REF!,#REF!,#REF!</definedName>
    <definedName name="__APW_RESTORE_DATA2797__" hidden="1">#REF!,#REF!,#REF!,#REF!,#REF!,#REF!,#REF!,#REF!,#REF!,#REF!,#REF!,#REF!,#REF!,#REF!,#REF!</definedName>
    <definedName name="__APW_RESTORE_DATA2798__" hidden="1">#REF!,#REF!,#REF!,#REF!,#REF!,#REF!,#REF!,#REF!,#REF!,#REF!,#REF!,#REF!,#REF!,#REF!,#REF!</definedName>
    <definedName name="__APW_RESTORE_DATA2799__" hidden="1">#REF!,#REF!,#REF!,#REF!,#REF!,#REF!,#REF!,#REF!,#REF!,#REF!,#REF!,#REF!,#REF!,#REF!,#REF!</definedName>
    <definedName name="__APW_RESTORE_DATA28__" hidden="1">#REF!,#REF!,#REF!,#REF!,#REF!,#REF!,#REF!,#REF!,#REF!,#REF!,#REF!,#REF!,#REF!,#REF!,#REF!,#REF!</definedName>
    <definedName name="__APW_RESTORE_DATA280__" hidden="1">#REF!,#REF!,#REF!,#REF!,#REF!,#REF!,#REF!,#REF!,#REF!,#REF!,#REF!,#REF!,#REF!,#REF!,#REF!</definedName>
    <definedName name="__APW_RESTORE_DATA2800__" hidden="1">#REF!,#REF!,#REF!,#REF!,#REF!,#REF!,#REF!,#REF!,#REF!,#REF!,#REF!,#REF!,#REF!,#REF!,#REF!</definedName>
    <definedName name="__APW_RESTORE_DATA2801__" hidden="1">#REF!,#REF!,#REF!,#REF!,#REF!,#REF!,#REF!,#REF!,#REF!,#REF!,#REF!,#REF!,#REF!,#REF!,#REF!</definedName>
    <definedName name="__APW_RESTORE_DATA2802__" hidden="1">#REF!,#REF!,#REF!,#REF!,#REF!,#REF!,#REF!,#REF!,#REF!,#REF!,#REF!,#REF!,#REF!,#REF!,#REF!</definedName>
    <definedName name="__APW_RESTORE_DATA2803__" hidden="1">#REF!,#REF!,#REF!,#REF!,#REF!,#REF!,#REF!,#REF!,#REF!,#REF!,#REF!,#REF!,#REF!,#REF!,#REF!</definedName>
    <definedName name="__APW_RESTORE_DATA2804__" hidden="1">#REF!,#REF!,#REF!,#REF!,#REF!,#REF!,#REF!,#REF!,#REF!,#REF!,#REF!,#REF!,#REF!,#REF!,#REF!</definedName>
    <definedName name="__APW_RESTORE_DATA2805__" hidden="1">#REF!,#REF!,#REF!,#REF!,#REF!,#REF!,#REF!,#REF!,#REF!,#REF!,#REF!,#REF!,#REF!,#REF!,#REF!</definedName>
    <definedName name="__APW_RESTORE_DATA2806__" hidden="1">#REF!,#REF!,#REF!,#REF!,#REF!,#REF!,#REF!,#REF!,#REF!,#REF!,#REF!,#REF!,#REF!,#REF!,#REF!</definedName>
    <definedName name="__APW_RESTORE_DATA2807__" hidden="1">#REF!,#REF!,#REF!,#REF!,#REF!,#REF!,#REF!,#REF!,#REF!,#REF!,#REF!,#REF!,#REF!,#REF!,#REF!</definedName>
    <definedName name="__APW_RESTORE_DATA2808__" hidden="1">#REF!,#REF!,#REF!,#REF!,#REF!,#REF!,#REF!,#REF!,#REF!,#REF!,#REF!,#REF!,#REF!,#REF!,#REF!</definedName>
    <definedName name="__APW_RESTORE_DATA2809__" hidden="1">#REF!,#REF!,#REF!,#REF!,#REF!,#REF!,#REF!,#REF!,#REF!,#REF!,#REF!,#REF!,#REF!,#REF!,#REF!</definedName>
    <definedName name="__APW_RESTORE_DATA281__" hidden="1">#REF!,#REF!,#REF!,#REF!,#REF!,#REF!,#REF!,#REF!,#REF!,#REF!,#REF!,#REF!,#REF!,#REF!,#REF!</definedName>
    <definedName name="__APW_RESTORE_DATA2810__" hidden="1">#REF!,#REF!,#REF!,#REF!,#REF!,#REF!,#REF!,#REF!,#REF!,#REF!,#REF!,#REF!,#REF!,#REF!,#REF!</definedName>
    <definedName name="__APW_RESTORE_DATA2811__" hidden="1">#REF!,#REF!,#REF!,#REF!,#REF!,#REF!,#REF!,#REF!,#REF!,#REF!,#REF!,#REF!,#REF!,#REF!,#REF!</definedName>
    <definedName name="__APW_RESTORE_DATA2812__" hidden="1">#REF!,#REF!,#REF!,#REF!,#REF!,#REF!,#REF!,#REF!,#REF!,#REF!,#REF!,#REF!,#REF!,#REF!,#REF!</definedName>
    <definedName name="__APW_RESTORE_DATA2813__" hidden="1">#REF!,#REF!,#REF!,#REF!,#REF!,#REF!,#REF!,#REF!,#REF!,#REF!,#REF!,#REF!,#REF!,#REF!,#REF!</definedName>
    <definedName name="__APW_RESTORE_DATA2814__" hidden="1">#REF!,#REF!,#REF!,#REF!,#REF!,#REF!</definedName>
    <definedName name="__APW_RESTORE_DATA2815__" hidden="1">#REF!,#REF!,#REF!,#REF!,#REF!,#REF!,#REF!,#REF!,#REF!,#REF!,#REF!,#REF!,#REF!,#REF!,#REF!,#REF!</definedName>
    <definedName name="__APW_RESTORE_DATA2816__" hidden="1">#REF!,#REF!,#REF!,#REF!,#REF!,#REF!,#REF!,#REF!,#REF!,#REF!,#REF!,#REF!,#REF!,#REF!,#REF!,#REF!</definedName>
    <definedName name="__APW_RESTORE_DATA2817__" hidden="1">#REF!,#REF!,#REF!,#REF!,#REF!,#REF!,#REF!,#REF!,#REF!,#REF!,#REF!,#REF!,#REF!,#REF!,#REF!,#REF!</definedName>
    <definedName name="__APW_RESTORE_DATA2818__" hidden="1">#REF!,#REF!,#REF!,#REF!,#REF!,#REF!,#REF!,#REF!,#REF!,#REF!,#REF!,#REF!,#REF!,#REF!,#REF!,#REF!</definedName>
    <definedName name="__APW_RESTORE_DATA2819__" hidden="1">#REF!,#REF!,#REF!,#REF!,#REF!,#REF!,#REF!,#REF!,#REF!,#REF!,#REF!,#REF!,#REF!,#REF!,#REF!,#REF!</definedName>
    <definedName name="__APW_RESTORE_DATA282__" hidden="1">#REF!,#REF!,#REF!,#REF!,#REF!,#REF!,#REF!,#REF!,#REF!,#REF!,#REF!,#REF!,#REF!,#REF!,#REF!</definedName>
    <definedName name="__APW_RESTORE_DATA2820__" hidden="1">#REF!,#REF!,#REF!,#REF!,#REF!,#REF!,#REF!,#REF!,#REF!,#REF!,#REF!,#REF!,#REF!,#REF!,#REF!,#REF!</definedName>
    <definedName name="__APW_RESTORE_DATA2821__" hidden="1">#REF!,#REF!,#REF!,#REF!,#REF!,#REF!,#REF!,#REF!,#REF!,#REF!,#REF!,#REF!,#REF!,#REF!,#REF!</definedName>
    <definedName name="__APW_RESTORE_DATA2822__" hidden="1">#REF!,#REF!,#REF!,#REF!,#REF!,#REF!,#REF!,#REF!,#REF!,#REF!,#REF!,#REF!,#REF!,#REF!,#REF!</definedName>
    <definedName name="__APW_RESTORE_DATA2823__" hidden="1">#REF!,#REF!,#REF!,#REF!,#REF!,#REF!,#REF!,#REF!,#REF!,#REF!,#REF!,#REF!,#REF!,#REF!,#REF!</definedName>
    <definedName name="__APW_RESTORE_DATA2824__" hidden="1">#REF!,#REF!,#REF!,#REF!,#REF!,#REF!,#REF!,#REF!,#REF!,#REF!,#REF!,#REF!,#REF!,#REF!,#REF!</definedName>
    <definedName name="__APW_RESTORE_DATA2825__" hidden="1">#REF!,#REF!,#REF!,#REF!,#REF!,#REF!,#REF!,#REF!,#REF!,#REF!,#REF!,#REF!,#REF!,#REF!,#REF!</definedName>
    <definedName name="__APW_RESTORE_DATA2826__" hidden="1">#REF!,#REF!,#REF!,#REF!,#REF!,#REF!,#REF!,#REF!,#REF!,#REF!,#REF!,#REF!,#REF!,#REF!,#REF!</definedName>
    <definedName name="__APW_RESTORE_DATA2827__" hidden="1">#REF!,#REF!,#REF!,#REF!,#REF!,#REF!,#REF!,#REF!,#REF!,#REF!,#REF!,#REF!,#REF!,#REF!,#REF!</definedName>
    <definedName name="__APW_RESTORE_DATA2828__" hidden="1">#REF!,#REF!,#REF!,#REF!,#REF!,#REF!,#REF!,#REF!,#REF!,#REF!,#REF!,#REF!,#REF!,#REF!,#REF!</definedName>
    <definedName name="__APW_RESTORE_DATA2829__" hidden="1">#REF!,#REF!,#REF!,#REF!,#REF!,#REF!,#REF!,#REF!,#REF!,#REF!,#REF!,#REF!,#REF!,#REF!,#REF!</definedName>
    <definedName name="__APW_RESTORE_DATA283__" hidden="1">#REF!,#REF!,#REF!,#REF!,#REF!,#REF!,#REF!,#REF!,#REF!,#REF!,#REF!,#REF!,#REF!,#REF!,#REF!</definedName>
    <definedName name="__APW_RESTORE_DATA2830__" hidden="1">#REF!,#REF!,#REF!,#REF!,#REF!,#REF!,#REF!,#REF!,#REF!,#REF!,#REF!,#REF!,#REF!,#REF!,#REF!</definedName>
    <definedName name="__APW_RESTORE_DATA2831__" hidden="1">#REF!,#REF!,#REF!,#REF!,#REF!,#REF!,#REF!,#REF!,#REF!,#REF!,#REF!,#REF!,#REF!,#REF!,#REF!</definedName>
    <definedName name="__APW_RESTORE_DATA2832__" hidden="1">#REF!,#REF!,#REF!,#REF!,#REF!,#REF!,#REF!,#REF!,#REF!,#REF!,#REF!,#REF!,#REF!,#REF!,#REF!</definedName>
    <definedName name="__APW_RESTORE_DATA2833__" hidden="1">#REF!,#REF!,#REF!,#REF!,#REF!,#REF!,#REF!,#REF!,#REF!,#REF!,#REF!,#REF!,#REF!,#REF!,#REF!</definedName>
    <definedName name="__APW_RESTORE_DATA2834__" hidden="1">#REF!,#REF!,#REF!,#REF!,#REF!,#REF!,#REF!,#REF!,#REF!,#REF!,#REF!,#REF!,#REF!,#REF!,#REF!</definedName>
    <definedName name="__APW_RESTORE_DATA2835__" hidden="1">#REF!,#REF!,#REF!,#REF!,#REF!,#REF!,#REF!,#REF!,#REF!,#REF!,#REF!,#REF!,#REF!,#REF!,#REF!</definedName>
    <definedName name="__APW_RESTORE_DATA2836__" hidden="1">#REF!,#REF!,#REF!,#REF!,#REF!,#REF!,#REF!,#REF!,#REF!,#REF!,#REF!,#REF!,#REF!,#REF!,#REF!</definedName>
    <definedName name="__APW_RESTORE_DATA2837__" hidden="1">#REF!,#REF!,#REF!,#REF!,#REF!,#REF!,#REF!,#REF!,#REF!,#REF!,#REF!,#REF!,#REF!,#REF!,#REF!</definedName>
    <definedName name="__APW_RESTORE_DATA2838__" hidden="1">#REF!,#REF!,#REF!,#REF!,#REF!,#REF!,#REF!,#REF!,#REF!,#REF!,#REF!,#REF!,#REF!,#REF!,#REF!</definedName>
    <definedName name="__APW_RESTORE_DATA2839__" hidden="1">#REF!,#REF!,#REF!,#REF!,#REF!,#REF!,#REF!,#REF!,#REF!,#REF!,#REF!,#REF!,#REF!,#REF!,#REF!</definedName>
    <definedName name="__APW_RESTORE_DATA284__" hidden="1">#REF!,#REF!,#REF!,#REF!,#REF!,#REF!,#REF!,#REF!,#REF!,#REF!,#REF!,#REF!,#REF!,#REF!,#REF!</definedName>
    <definedName name="__APW_RESTORE_DATA2840__" hidden="1">#REF!,#REF!,#REF!,#REF!,#REF!,#REF!,#REF!,#REF!,#REF!,#REF!,#REF!,#REF!,#REF!,#REF!,#REF!</definedName>
    <definedName name="__APW_RESTORE_DATA2841__" hidden="1">#REF!,#REF!,#REF!,#REF!,#REF!,#REF!,#REF!,#REF!,#REF!,#REF!,#REF!,#REF!,#REF!,#REF!,#REF!</definedName>
    <definedName name="__APW_RESTORE_DATA2842__" hidden="1">#REF!,#REF!,#REF!,#REF!,#REF!,#REF!,#REF!,#REF!,#REF!,#REF!,#REF!,#REF!,#REF!,#REF!,#REF!</definedName>
    <definedName name="__APW_RESTORE_DATA2843__" hidden="1">#REF!,#REF!,#REF!,#REF!,#REF!,#REF!,#REF!,#REF!,#REF!,#REF!,#REF!,#REF!,#REF!,#REF!,#REF!</definedName>
    <definedName name="__APW_RESTORE_DATA2844__" hidden="1">#REF!,#REF!,#REF!,#REF!,#REF!,#REF!,#REF!,#REF!,#REF!,#REF!,#REF!,#REF!,#REF!,#REF!,#REF!</definedName>
    <definedName name="__APW_RESTORE_DATA2845__" hidden="1">#REF!,#REF!,#REF!,#REF!,#REF!,#REF!,#REF!,#REF!,#REF!,#REF!,#REF!,#REF!,#REF!,#REF!,#REF!</definedName>
    <definedName name="__APW_RESTORE_DATA2846__" hidden="1">#REF!,#REF!,#REF!,#REF!,#REF!,#REF!,#REF!,#REF!,#REF!,#REF!,#REF!,#REF!,#REF!,#REF!,#REF!</definedName>
    <definedName name="__APW_RESTORE_DATA2847__" hidden="1">#REF!,#REF!,#REF!,#REF!,#REF!,#REF!,#REF!,#REF!,#REF!,#REF!,#REF!,#REF!,#REF!,#REF!,#REF!</definedName>
    <definedName name="__APW_RESTORE_DATA2848__" hidden="1">#REF!,#REF!,#REF!,#REF!,#REF!,#REF!,#REF!,#REF!,#REF!,#REF!,#REF!,#REF!,#REF!,#REF!,#REF!</definedName>
    <definedName name="__APW_RESTORE_DATA2849__" hidden="1">#REF!,#REF!,#REF!,#REF!,#REF!,#REF!</definedName>
    <definedName name="__APW_RESTORE_DATA285__" hidden="1">#REF!,#REF!,#REF!,#REF!,#REF!,#REF!,#REF!,#REF!,#REF!,#REF!,#REF!,#REF!,#REF!,#REF!,#REF!</definedName>
    <definedName name="__APW_RESTORE_DATA2850__" hidden="1">#REF!,#REF!,#REF!,#REF!,#REF!,#REF!,#REF!,#REF!,#REF!,#REF!,#REF!,#REF!,#REF!,#REF!,#REF!,#REF!</definedName>
    <definedName name="__APW_RESTORE_DATA2851__" hidden="1">#REF!,#REF!,#REF!,#REF!,#REF!,#REF!,#REF!,#REF!,#REF!,#REF!,#REF!,#REF!,#REF!,#REF!,#REF!,#REF!</definedName>
    <definedName name="__APW_RESTORE_DATA2852__" hidden="1">#REF!,#REF!,#REF!,#REF!,#REF!,#REF!,#REF!,#REF!,#REF!,#REF!,#REF!,#REF!,#REF!,#REF!,#REF!,#REF!</definedName>
    <definedName name="__APW_RESTORE_DATA2853__" hidden="1">#REF!,#REF!,#REF!,#REF!,#REF!,#REF!,#REF!,#REF!,#REF!,#REF!,#REF!,#REF!,#REF!,#REF!,#REF!,#REF!</definedName>
    <definedName name="__APW_RESTORE_DATA2854__" hidden="1">#REF!,#REF!,#REF!,#REF!,#REF!,#REF!,#REF!,#REF!,#REF!,#REF!,#REF!,#REF!,#REF!,#REF!,#REF!,#REF!</definedName>
    <definedName name="__APW_RESTORE_DATA2855__" hidden="1">#REF!,#REF!,#REF!,#REF!,#REF!,#REF!,#REF!,#REF!,#REF!,#REF!,#REF!,#REF!,#REF!,#REF!,#REF!,#REF!</definedName>
    <definedName name="__APW_RESTORE_DATA2856__" hidden="1">#REF!,#REF!,#REF!,#REF!,#REF!,#REF!,#REF!,#REF!,#REF!,#REF!,#REF!,#REF!,#REF!,#REF!,#REF!</definedName>
    <definedName name="__APW_RESTORE_DATA2857__" hidden="1">#REF!,#REF!,#REF!,#REF!,#REF!,#REF!,#REF!,#REF!,#REF!,#REF!,#REF!,#REF!,#REF!,#REF!,#REF!</definedName>
    <definedName name="__APW_RESTORE_DATA2858__" hidden="1">#REF!,#REF!,#REF!,#REF!,#REF!,#REF!,#REF!,#REF!,#REF!,#REF!,#REF!,#REF!,#REF!,#REF!,#REF!</definedName>
    <definedName name="__APW_RESTORE_DATA2859__" hidden="1">#REF!,#REF!,#REF!,#REF!,#REF!,#REF!,#REF!,#REF!,#REF!,#REF!,#REF!,#REF!,#REF!,#REF!,#REF!</definedName>
    <definedName name="__APW_RESTORE_DATA286__" hidden="1">#REF!,#REF!,#REF!,#REF!,#REF!,#REF!,#REF!,#REF!</definedName>
    <definedName name="__APW_RESTORE_DATA2860__" hidden="1">#REF!,#REF!,#REF!,#REF!,#REF!,#REF!,#REF!,#REF!,#REF!,#REF!,#REF!,#REF!,#REF!,#REF!,#REF!</definedName>
    <definedName name="__APW_RESTORE_DATA2861__" hidden="1">#REF!,#REF!,#REF!,#REF!,#REF!,#REF!,#REF!,#REF!,#REF!,#REF!,#REF!,#REF!,#REF!,#REF!,#REF!</definedName>
    <definedName name="__APW_RESTORE_DATA2862__" hidden="1">#REF!,#REF!,#REF!,#REF!,#REF!,#REF!,#REF!,#REF!,#REF!,#REF!,#REF!,#REF!,#REF!,#REF!,#REF!</definedName>
    <definedName name="__APW_RESTORE_DATA2863__" hidden="1">#REF!,#REF!,#REF!,#REF!,#REF!,#REF!,#REF!,#REF!,#REF!,#REF!,#REF!,#REF!,#REF!,#REF!,#REF!</definedName>
    <definedName name="__APW_RESTORE_DATA2864__" hidden="1">#REF!,#REF!,#REF!,#REF!,#REF!,#REF!,#REF!,#REF!,#REF!,#REF!,#REF!,#REF!,#REF!,#REF!,#REF!</definedName>
    <definedName name="__APW_RESTORE_DATA2865__" hidden="1">#REF!,#REF!,#REF!,#REF!,#REF!,#REF!,#REF!,#REF!,#REF!,#REF!,#REF!,#REF!,#REF!,#REF!,#REF!</definedName>
    <definedName name="__APW_RESTORE_DATA2866__" hidden="1">#REF!,#REF!,#REF!,#REF!,#REF!,#REF!,#REF!,#REF!,#REF!,#REF!,#REF!,#REF!,#REF!,#REF!,#REF!</definedName>
    <definedName name="__APW_RESTORE_DATA2867__" hidden="1">#REF!,#REF!,#REF!,#REF!,#REF!,#REF!,#REF!,#REF!,#REF!,#REF!,#REF!,#REF!,#REF!,#REF!,#REF!</definedName>
    <definedName name="__APW_RESTORE_DATA2868__" hidden="1">#REF!,#REF!,#REF!,#REF!,#REF!,#REF!,#REF!,#REF!,#REF!,#REF!,#REF!,#REF!,#REF!,#REF!,#REF!</definedName>
    <definedName name="__APW_RESTORE_DATA2869__" hidden="1">#REF!,#REF!,#REF!,#REF!,#REF!,#REF!,#REF!,#REF!,#REF!,#REF!,#REF!,#REF!,#REF!,#REF!,#REF!</definedName>
    <definedName name="__APW_RESTORE_DATA287__" hidden="1">#REF!</definedName>
    <definedName name="__APW_RESTORE_DATA2870__" hidden="1">#REF!,#REF!,#REF!,#REF!,#REF!,#REF!,#REF!,#REF!,#REF!,#REF!,#REF!,#REF!,#REF!,#REF!,#REF!</definedName>
    <definedName name="__APW_RESTORE_DATA2871__" hidden="1">#REF!,#REF!,#REF!,#REF!,#REF!,#REF!,#REF!,#REF!,#REF!,#REF!,#REF!,#REF!,#REF!,#REF!,#REF!</definedName>
    <definedName name="__APW_RESTORE_DATA2872__" hidden="1">#REF!,#REF!,#REF!,#REF!,#REF!,#REF!,#REF!,#REF!,#REF!,#REF!,#REF!,#REF!,#REF!,#REF!,#REF!</definedName>
    <definedName name="__APW_RESTORE_DATA2873__" hidden="1">#REF!,#REF!,#REF!,#REF!,#REF!,#REF!,#REF!,#REF!,#REF!,#REF!,#REF!,#REF!,#REF!,#REF!,#REF!</definedName>
    <definedName name="__APW_RESTORE_DATA2874__" hidden="1">#REF!,#REF!,#REF!,#REF!,#REF!,#REF!,#REF!,#REF!,#REF!,#REF!,#REF!,#REF!,#REF!,#REF!,#REF!</definedName>
    <definedName name="__APW_RESTORE_DATA2875__" hidden="1">#REF!,#REF!,#REF!,#REF!,#REF!,#REF!,#REF!,#REF!,#REF!,#REF!,#REF!,#REF!,#REF!,#REF!,#REF!</definedName>
    <definedName name="__APW_RESTORE_DATA2876__" hidden="1">#REF!,#REF!,#REF!,#REF!,#REF!,#REF!,#REF!,#REF!,#REF!,#REF!,#REF!,#REF!,#REF!,#REF!,#REF!</definedName>
    <definedName name="__APW_RESTORE_DATA2877__" hidden="1">#REF!,#REF!,#REF!,#REF!,#REF!,#REF!,#REF!,#REF!,#REF!,#REF!,#REF!,#REF!,#REF!,#REF!,#REF!</definedName>
    <definedName name="__APW_RESTORE_DATA2878__" hidden="1">#REF!,#REF!,#REF!,#REF!,#REF!,#REF!,#REF!,#REF!,#REF!,#REF!,#REF!,#REF!,#REF!,#REF!,#REF!</definedName>
    <definedName name="__APW_RESTORE_DATA2879__" hidden="1">#REF!,#REF!,#REF!,#REF!,#REF!,#REF!,#REF!,#REF!,#REF!,#REF!,#REF!,#REF!,#REF!,#REF!,#REF!</definedName>
    <definedName name="__APW_RESTORE_DATA288__" hidden="1">#REF!,#REF!</definedName>
    <definedName name="__APW_RESTORE_DATA2880__" hidden="1">#REF!,#REF!,#REF!,#REF!,#REF!,#REF!,#REF!,#REF!,#REF!,#REF!,#REF!,#REF!,#REF!,#REF!,#REF!</definedName>
    <definedName name="__APW_RESTORE_DATA2881__" hidden="1">#REF!,#REF!,#REF!,#REF!,#REF!,#REF!,#REF!,#REF!,#REF!,#REF!,#REF!,#REF!,#REF!,#REF!,#REF!</definedName>
    <definedName name="__APW_RESTORE_DATA2882__" hidden="1">#REF!,#REF!,#REF!,#REF!,#REF!,#REF!,#REF!,#REF!,#REF!,#REF!,#REF!,#REF!,#REF!,#REF!,#REF!</definedName>
    <definedName name="__APW_RESTORE_DATA2883__" hidden="1">#REF!,#REF!,#REF!,#REF!,#REF!,#REF!,#REF!,#REF!,#REF!,#REF!,#REF!,#REF!,#REF!,#REF!,#REF!</definedName>
    <definedName name="__APW_RESTORE_DATA2884__" hidden="1">#REF!,#REF!,#REF!,#REF!,#REF!,#REF!</definedName>
    <definedName name="__APW_RESTORE_DATA2885__" hidden="1">#REF!</definedName>
    <definedName name="__APW_RESTORE_DATA2886__" hidden="1">#REF!</definedName>
    <definedName name="__APW_RESTORE_DATA2887__" hidden="1">#REF!</definedName>
    <definedName name="__APW_RESTORE_DATA2889__" hidden="1">#REF!</definedName>
    <definedName name="__APW_RESTORE_DATA289__" hidden="1">#REF!</definedName>
    <definedName name="__APW_RESTORE_DATA2890__" hidden="1">#REF!,#REF!,#REF!,#REF!,#REF!,#REF!,#REF!,#REF!,#REF!,#REF!,#REF!,#REF!,#REF!,#REF!,#REF!,#REF!</definedName>
    <definedName name="__APW_RESTORE_DATA2891__" hidden="1">#REF!,#REF!,#REF!,#REF!,#REF!,#REF!,#REF!,#REF!,#REF!,#REF!,#REF!,#REF!,#REF!,#REF!,#REF!,#REF!</definedName>
    <definedName name="__APW_RESTORE_DATA2892__" hidden="1">#REF!,#REF!,#REF!,#REF!,#REF!,#REF!,#REF!,#REF!,#REF!,#REF!,#REF!,#REF!,#REF!,#REF!,#REF!,#REF!</definedName>
    <definedName name="__APW_RESTORE_DATA2893__" hidden="1">#REF!,#REF!,#REF!,#REF!,#REF!,#REF!,#REF!,#REF!,#REF!,#REF!,#REF!,#REF!,#REF!,#REF!,#REF!,#REF!</definedName>
    <definedName name="__APW_RESTORE_DATA2894__" hidden="1">#REF!,#REF!,#REF!,#REF!,#REF!,#REF!,#REF!,#REF!,#REF!,#REF!,#REF!,#REF!,#REF!,#REF!,#REF!,#REF!</definedName>
    <definedName name="__APW_RESTORE_DATA2895__" hidden="1">#REF!,#REF!,#REF!,#REF!,#REF!,#REF!,#REF!,#REF!,#REF!,#REF!,#REF!,#REF!,#REF!,#REF!,#REF!,#REF!</definedName>
    <definedName name="__APW_RESTORE_DATA2896__" hidden="1">#REF!,#REF!,#REF!,#REF!,#REF!,#REF!,#REF!,#REF!,#REF!,#REF!,#REF!,#REF!,#REF!,#REF!,#REF!</definedName>
    <definedName name="__APW_RESTORE_DATA2897__" hidden="1">#REF!,#REF!,#REF!,#REF!,#REF!,#REF!,#REF!,#REF!,#REF!,#REF!,#REF!,#REF!,#REF!,#REF!,#REF!</definedName>
    <definedName name="__APW_RESTORE_DATA2898__" hidden="1">#REF!,#REF!,#REF!,#REF!,#REF!,#REF!,#REF!,#REF!,#REF!,#REF!,#REF!,#REF!,#REF!,#REF!,#REF!</definedName>
    <definedName name="__APW_RESTORE_DATA2899__" hidden="1">#REF!,#REF!,#REF!,#REF!,#REF!,#REF!,#REF!,#REF!,#REF!,#REF!,#REF!,#REF!,#REF!,#REF!,#REF!</definedName>
    <definedName name="__APW_RESTORE_DATA29__" hidden="1">#REF!,#REF!,#REF!,#REF!,#REF!,#REF!,#REF!,#REF!,#REF!,#REF!,#REF!,#REF!,#REF!,#REF!,#REF!</definedName>
    <definedName name="__APW_RESTORE_DATA290__" hidden="1">#REF!</definedName>
    <definedName name="__APW_RESTORE_DATA2900__" hidden="1">#REF!,#REF!,#REF!,#REF!,#REF!,#REF!,#REF!,#REF!,#REF!,#REF!,#REF!,#REF!,#REF!,#REF!,#REF!</definedName>
    <definedName name="__APW_RESTORE_DATA2901__" hidden="1">#REF!,#REF!,#REF!,#REF!,#REF!,#REF!,#REF!,#REF!,#REF!,#REF!,#REF!,#REF!,#REF!,#REF!,#REF!</definedName>
    <definedName name="__APW_RESTORE_DATA2902__" hidden="1">#REF!,#REF!,#REF!,#REF!,#REF!,#REF!,#REF!,#REF!,#REF!,#REF!,#REF!,#REF!,#REF!,#REF!,#REF!</definedName>
    <definedName name="__APW_RESTORE_DATA2903__" hidden="1">#REF!,#REF!,#REF!,#REF!,#REF!,#REF!,#REF!,#REF!,#REF!,#REF!,#REF!,#REF!,#REF!,#REF!,#REF!</definedName>
    <definedName name="__APW_RESTORE_DATA2904__" hidden="1">#REF!,#REF!,#REF!,#REF!,#REF!,#REF!,#REF!,#REF!,#REF!,#REF!,#REF!,#REF!,#REF!,#REF!,#REF!</definedName>
    <definedName name="__APW_RESTORE_DATA2905__" hidden="1">#REF!,#REF!,#REF!,#REF!,#REF!,#REF!,#REF!,#REF!,#REF!,#REF!,#REF!,#REF!,#REF!,#REF!,#REF!</definedName>
    <definedName name="__APW_RESTORE_DATA2906__" hidden="1">#REF!,#REF!,#REF!,#REF!,#REF!,#REF!,#REF!,#REF!,#REF!,#REF!,#REF!,#REF!,#REF!,#REF!,#REF!</definedName>
    <definedName name="__APW_RESTORE_DATA2907__" hidden="1">#REF!,#REF!,#REF!,#REF!,#REF!,#REF!,#REF!,#REF!,#REF!,#REF!,#REF!,#REF!,#REF!,#REF!,#REF!</definedName>
    <definedName name="__APW_RESTORE_DATA2908__" hidden="1">#REF!,#REF!,#REF!,#REF!,#REF!,#REF!,#REF!,#REF!,#REF!,#REF!,#REF!,#REF!,#REF!,#REF!,#REF!</definedName>
    <definedName name="__APW_RESTORE_DATA2909__" hidden="1">#REF!,#REF!,#REF!,#REF!,#REF!,#REF!,#REF!,#REF!,#REF!,#REF!,#REF!,#REF!,#REF!,#REF!,#REF!</definedName>
    <definedName name="__APW_RESTORE_DATA291__" hidden="1">#REF!,#REF!</definedName>
    <definedName name="__APW_RESTORE_DATA2910__" hidden="1">#REF!,#REF!,#REF!,#REF!,#REF!,#REF!,#REF!,#REF!,#REF!,#REF!,#REF!,#REF!,#REF!,#REF!,#REF!</definedName>
    <definedName name="__APW_RESTORE_DATA2911__" hidden="1">#REF!,#REF!,#REF!,#REF!,#REF!,#REF!,#REF!,#REF!,#REF!,#REF!,#REF!,#REF!,#REF!,#REF!,#REF!</definedName>
    <definedName name="__APW_RESTORE_DATA2912__" hidden="1">#REF!,#REF!,#REF!,#REF!,#REF!,#REF!,#REF!,#REF!,#REF!,#REF!,#REF!,#REF!,#REF!,#REF!,#REF!</definedName>
    <definedName name="__APW_RESTORE_DATA2913__" hidden="1">#REF!,#REF!,#REF!,#REF!,#REF!,#REF!,#REF!,#REF!,#REF!,#REF!,#REF!,#REF!,#REF!,#REF!,#REF!</definedName>
    <definedName name="__APW_RESTORE_DATA2914__" hidden="1">#REF!,#REF!,#REF!,#REF!,#REF!,#REF!,#REF!,#REF!,#REF!,#REF!,#REF!,#REF!,#REF!,#REF!,#REF!</definedName>
    <definedName name="__APW_RESTORE_DATA2915__" hidden="1">#REF!,#REF!,#REF!,#REF!,#REF!,#REF!,#REF!,#REF!,#REF!,#REF!,#REF!,#REF!,#REF!,#REF!,#REF!</definedName>
    <definedName name="__APW_RESTORE_DATA2916__" hidden="1">#REF!,#REF!,#REF!,#REF!,#REF!,#REF!,#REF!,#REF!,#REF!,#REF!,#REF!,#REF!,#REF!,#REF!,#REF!</definedName>
    <definedName name="__APW_RESTORE_DATA2917__" hidden="1">#REF!,#REF!,#REF!,#REF!,#REF!,#REF!,#REF!,#REF!,#REF!,#REF!,#REF!,#REF!,#REF!,#REF!,#REF!</definedName>
    <definedName name="__APW_RESTORE_DATA2918__" hidden="1">#REF!,#REF!,#REF!,#REF!,#REF!,#REF!,#REF!,#REF!,#REF!,#REF!,#REF!,#REF!,#REF!,#REF!,#REF!</definedName>
    <definedName name="__APW_RESTORE_DATA2919__" hidden="1">#REF!,#REF!,#REF!,#REF!,#REF!,#REF!,#REF!,#REF!,#REF!,#REF!,#REF!,#REF!,#REF!,#REF!,#REF!</definedName>
    <definedName name="__APW_RESTORE_DATA292__" hidden="1">#REF!</definedName>
    <definedName name="__APW_RESTORE_DATA2920__" hidden="1">#REF!,#REF!,#REF!,#REF!,#REF!,#REF!,#REF!,#REF!,#REF!,#REF!,#REF!,#REF!,#REF!,#REF!,#REF!</definedName>
    <definedName name="__APW_RESTORE_DATA2921__" hidden="1">#REF!,#REF!,#REF!,#REF!,#REF!,#REF!,#REF!,#REF!,#REF!,#REF!,#REF!,#REF!,#REF!,#REF!,#REF!</definedName>
    <definedName name="__APW_RESTORE_DATA2922__" hidden="1">#REF!,#REF!,#REF!,#REF!,#REF!,#REF!,#REF!,#REF!,#REF!,#REF!,#REF!,#REF!,#REF!,#REF!,#REF!</definedName>
    <definedName name="__APW_RESTORE_DATA2923__" hidden="1">#REF!,#REF!,#REF!,#REF!,#REF!,#REF!,#REF!,#REF!,#REF!,#REF!,#REF!,#REF!,#REF!,#REF!,#REF!</definedName>
    <definedName name="__APW_RESTORE_DATA2924__" hidden="1">#REF!,#REF!,#REF!,#REF!,#REF!,#REF!</definedName>
    <definedName name="__APW_RESTORE_DATA2925__" hidden="1">#REF!,#REF!,#REF!,#REF!,#REF!,#REF!,#REF!,#REF!,#REF!,#REF!,#REF!,#REF!,#REF!,#REF!,#REF!,#REF!</definedName>
    <definedName name="__APW_RESTORE_DATA2926__" hidden="1">#REF!,#REF!,#REF!,#REF!,#REF!,#REF!,#REF!,#REF!,#REF!,#REF!,#REF!,#REF!,#REF!,#REF!,#REF!,#REF!</definedName>
    <definedName name="__APW_RESTORE_DATA2927__" hidden="1">#REF!,#REF!,#REF!,#REF!,#REF!,#REF!,#REF!,#REF!,#REF!,#REF!,#REF!,#REF!,#REF!,#REF!,#REF!,#REF!</definedName>
    <definedName name="__APW_RESTORE_DATA2928__" hidden="1">#REF!,#REF!,#REF!,#REF!,#REF!,#REF!,#REF!,#REF!,#REF!,#REF!,#REF!,#REF!,#REF!,#REF!,#REF!,#REF!</definedName>
    <definedName name="__APW_RESTORE_DATA2929__" hidden="1">#REF!,#REF!,#REF!,#REF!,#REF!,#REF!,#REF!,#REF!,#REF!,#REF!,#REF!,#REF!,#REF!,#REF!,#REF!,#REF!</definedName>
    <definedName name="__APW_RESTORE_DATA293__" hidden="1">#REF!,#REF!</definedName>
    <definedName name="__APW_RESTORE_DATA2930__" hidden="1">#REF!,#REF!,#REF!,#REF!,#REF!,#REF!,#REF!,#REF!,#REF!,#REF!,#REF!,#REF!,#REF!,#REF!,#REF!,#REF!</definedName>
    <definedName name="__APW_RESTORE_DATA2931__" hidden="1">#REF!,#REF!,#REF!,#REF!,#REF!,#REF!,#REF!,#REF!,#REF!,#REF!,#REF!,#REF!,#REF!,#REF!,#REF!</definedName>
    <definedName name="__APW_RESTORE_DATA2932__" hidden="1">#REF!,#REF!,#REF!,#REF!,#REF!,#REF!,#REF!,#REF!,#REF!,#REF!,#REF!,#REF!,#REF!,#REF!,#REF!</definedName>
    <definedName name="__APW_RESTORE_DATA2933__" hidden="1">#REF!,#REF!,#REF!,#REF!,#REF!,#REF!,#REF!,#REF!,#REF!,#REF!,#REF!,#REF!,#REF!,#REF!,#REF!</definedName>
    <definedName name="__APW_RESTORE_DATA2934__" hidden="1">#REF!,#REF!,#REF!,#REF!,#REF!,#REF!,#REF!,#REF!,#REF!,#REF!,#REF!,#REF!,#REF!,#REF!,#REF!</definedName>
    <definedName name="__APW_RESTORE_DATA2935__" hidden="1">#REF!,#REF!,#REF!,#REF!,#REF!,#REF!,#REF!,#REF!,#REF!,#REF!,#REF!,#REF!,#REF!,#REF!,#REF!</definedName>
    <definedName name="__APW_RESTORE_DATA2936__" hidden="1">#REF!,#REF!,#REF!,#REF!,#REF!,#REF!,#REF!,#REF!,#REF!,#REF!,#REF!,#REF!,#REF!,#REF!,#REF!</definedName>
    <definedName name="__APW_RESTORE_DATA2937__" hidden="1">#REF!,#REF!,#REF!,#REF!,#REF!,#REF!,#REF!,#REF!,#REF!,#REF!,#REF!,#REF!,#REF!,#REF!,#REF!</definedName>
    <definedName name="__APW_RESTORE_DATA2938__" hidden="1">#REF!,#REF!,#REF!,#REF!,#REF!,#REF!,#REF!,#REF!,#REF!,#REF!,#REF!,#REF!,#REF!,#REF!,#REF!</definedName>
    <definedName name="__APW_RESTORE_DATA2939__" hidden="1">#REF!,#REF!,#REF!,#REF!,#REF!,#REF!,#REF!,#REF!,#REF!,#REF!,#REF!,#REF!,#REF!,#REF!,#REF!</definedName>
    <definedName name="__APW_RESTORE_DATA294__" hidden="1">#REF!,#REF!,#REF!,#REF!,#REF!,#REF!,#REF!,#REF!,#REF!,#REF!,#REF!,#REF!,#REF!,#REF!,#REF!,#REF!</definedName>
    <definedName name="__APW_RESTORE_DATA2940__" hidden="1">#REF!,#REF!,#REF!,#REF!,#REF!,#REF!,#REF!,#REF!,#REF!,#REF!,#REF!,#REF!,#REF!,#REF!,#REF!</definedName>
    <definedName name="__APW_RESTORE_DATA2941__" hidden="1">#REF!,#REF!,#REF!,#REF!,#REF!,#REF!,#REF!,#REF!,#REF!,#REF!,#REF!,#REF!,#REF!,#REF!,#REF!</definedName>
    <definedName name="__APW_RESTORE_DATA2942__" hidden="1">#REF!,#REF!,#REF!,#REF!,#REF!,#REF!,#REF!,#REF!,#REF!,#REF!,#REF!,#REF!,#REF!,#REF!,#REF!</definedName>
    <definedName name="__APW_RESTORE_DATA2943__" hidden="1">#REF!,#REF!,#REF!,#REF!,#REF!,#REF!,#REF!,#REF!,#REF!,#REF!,#REF!,#REF!,#REF!,#REF!,#REF!</definedName>
    <definedName name="__APW_RESTORE_DATA2944__" hidden="1">#REF!,#REF!,#REF!,#REF!,#REF!,#REF!,#REF!,#REF!,#REF!,#REF!,#REF!,#REF!,#REF!,#REF!,#REF!</definedName>
    <definedName name="__APW_RESTORE_DATA2945__" hidden="1">#REF!,#REF!,#REF!,#REF!,#REF!,#REF!,#REF!,#REF!,#REF!,#REF!,#REF!,#REF!,#REF!,#REF!,#REF!</definedName>
    <definedName name="__APW_RESTORE_DATA2946__" hidden="1">#REF!,#REF!,#REF!,#REF!,#REF!,#REF!,#REF!,#REF!,#REF!,#REF!,#REF!,#REF!,#REF!,#REF!,#REF!</definedName>
    <definedName name="__APW_RESTORE_DATA2947__" hidden="1">#REF!,#REF!,#REF!,#REF!,#REF!,#REF!,#REF!,#REF!,#REF!,#REF!,#REF!,#REF!,#REF!,#REF!,#REF!</definedName>
    <definedName name="__APW_RESTORE_DATA2948__" hidden="1">#REF!,#REF!,#REF!,#REF!,#REF!,#REF!,#REF!,#REF!,#REF!,#REF!,#REF!,#REF!,#REF!,#REF!,#REF!</definedName>
    <definedName name="__APW_RESTORE_DATA2949__" hidden="1">#REF!,#REF!,#REF!,#REF!,#REF!,#REF!,#REF!,#REF!,#REF!,#REF!,#REF!,#REF!,#REF!,#REF!,#REF!</definedName>
    <definedName name="__APW_RESTORE_DATA295__" hidden="1">#REF!,#REF!,#REF!,#REF!,#REF!,#REF!,#REF!,#REF!,#REF!,#REF!,#REF!,#REF!,#REF!,#REF!,#REF!,#REF!</definedName>
    <definedName name="__APW_RESTORE_DATA2950__" hidden="1">#REF!,#REF!,#REF!,#REF!,#REF!,#REF!,#REF!,#REF!,#REF!,#REF!,#REF!,#REF!,#REF!,#REF!,#REF!</definedName>
    <definedName name="__APW_RESTORE_DATA2951__" hidden="1">#REF!,#REF!,#REF!,#REF!,#REF!,#REF!,#REF!,#REF!,#REF!,#REF!,#REF!,#REF!,#REF!,#REF!,#REF!</definedName>
    <definedName name="__APW_RESTORE_DATA2952__" hidden="1">#REF!,#REF!,#REF!,#REF!,#REF!,#REF!,#REF!,#REF!,#REF!,#REF!,#REF!,#REF!,#REF!,#REF!,#REF!</definedName>
    <definedName name="__APW_RESTORE_DATA2953__" hidden="1">#REF!,#REF!,#REF!,#REF!,#REF!,#REF!,#REF!,#REF!,#REF!,#REF!,#REF!,#REF!,#REF!,#REF!,#REF!</definedName>
    <definedName name="__APW_RESTORE_DATA2954__" hidden="1">#REF!,#REF!,#REF!,#REF!,#REF!,#REF!,#REF!,#REF!,#REF!,#REF!,#REF!,#REF!,#REF!,#REF!,#REF!</definedName>
    <definedName name="__APW_RESTORE_DATA2955__" hidden="1">#REF!,#REF!,#REF!,#REF!,#REF!,#REF!,#REF!,#REF!,#REF!,#REF!,#REF!,#REF!,#REF!,#REF!,#REF!</definedName>
    <definedName name="__APW_RESTORE_DATA2956__" hidden="1">#REF!,#REF!,#REF!,#REF!,#REF!,#REF!,#REF!,#REF!,#REF!,#REF!,#REF!,#REF!,#REF!,#REF!,#REF!</definedName>
    <definedName name="__APW_RESTORE_DATA2957__" hidden="1">#REF!,#REF!,#REF!,#REF!,#REF!,#REF!,#REF!,#REF!,#REF!,#REF!,#REF!,#REF!,#REF!,#REF!,#REF!</definedName>
    <definedName name="__APW_RESTORE_DATA2958__" hidden="1">#REF!,#REF!,#REF!,#REF!,#REF!,#REF!,#REF!,#REF!,#REF!,#REF!,#REF!,#REF!,#REF!,#REF!,#REF!</definedName>
    <definedName name="__APW_RESTORE_DATA2959__" hidden="1">#REF!,#REF!,#REF!,#REF!,#REF!,#REF!</definedName>
    <definedName name="__APW_RESTORE_DATA296__" hidden="1">#REF!,#REF!,#REF!,#REF!,#REF!,#REF!,#REF!,#REF!,#REF!,#REF!,#REF!,#REF!,#REF!,#REF!,#REF!,#REF!</definedName>
    <definedName name="__APW_RESTORE_DATA2960__" hidden="1">#REF!,#REF!,#REF!,#REF!,#REF!,#REF!,#REF!,#REF!,#REF!,#REF!,#REF!,#REF!,#REF!,#REF!,#REF!,#REF!</definedName>
    <definedName name="__APW_RESTORE_DATA2961__" hidden="1">#REF!,#REF!,#REF!,#REF!,#REF!,#REF!,#REF!,#REF!,#REF!,#REF!,#REF!,#REF!,#REF!,#REF!,#REF!,#REF!</definedName>
    <definedName name="__APW_RESTORE_DATA2962__" hidden="1">#REF!,#REF!,#REF!,#REF!,#REF!,#REF!,#REF!,#REF!,#REF!,#REF!,#REF!,#REF!,#REF!,#REF!,#REF!,#REF!</definedName>
    <definedName name="__APW_RESTORE_DATA2963__" hidden="1">#REF!,#REF!,#REF!,#REF!,#REF!,#REF!,#REF!,#REF!,#REF!,#REF!,#REF!,#REF!,#REF!,#REF!,#REF!,#REF!</definedName>
    <definedName name="__APW_RESTORE_DATA2964__" hidden="1">#REF!,#REF!,#REF!,#REF!,#REF!,#REF!,#REF!,#REF!,#REF!,#REF!,#REF!,#REF!,#REF!,#REF!,#REF!,#REF!</definedName>
    <definedName name="__APW_RESTORE_DATA2965__" hidden="1">#REF!,#REF!,#REF!,#REF!,#REF!,#REF!,#REF!,#REF!,#REF!,#REF!,#REF!,#REF!,#REF!,#REF!,#REF!,#REF!</definedName>
    <definedName name="__APW_RESTORE_DATA2966__" hidden="1">#REF!,#REF!,#REF!,#REF!,#REF!,#REF!,#REF!,#REF!,#REF!,#REF!,#REF!,#REF!,#REF!,#REF!,#REF!</definedName>
    <definedName name="__APW_RESTORE_DATA2967__" hidden="1">#REF!,#REF!,#REF!,#REF!,#REF!,#REF!,#REF!,#REF!,#REF!,#REF!,#REF!,#REF!,#REF!,#REF!,#REF!</definedName>
    <definedName name="__APW_RESTORE_DATA2968__" hidden="1">#REF!,#REF!,#REF!,#REF!,#REF!,#REF!,#REF!,#REF!,#REF!,#REF!,#REF!,#REF!,#REF!,#REF!,#REF!</definedName>
    <definedName name="__APW_RESTORE_DATA2969__" hidden="1">#REF!,#REF!,#REF!,#REF!,#REF!,#REF!,#REF!,#REF!,#REF!,#REF!,#REF!,#REF!,#REF!,#REF!,#REF!</definedName>
    <definedName name="__APW_RESTORE_DATA297__" hidden="1">#REF!,#REF!,#REF!,#REF!,#REF!,#REF!,#REF!,#REF!,#REF!,#REF!,#REF!,#REF!,#REF!,#REF!,#REF!,#REF!</definedName>
    <definedName name="__APW_RESTORE_DATA2970__" hidden="1">#REF!,#REF!,#REF!,#REF!,#REF!,#REF!,#REF!,#REF!,#REF!,#REF!,#REF!,#REF!,#REF!,#REF!,#REF!</definedName>
    <definedName name="__APW_RESTORE_DATA2971__" hidden="1">#REF!,#REF!,#REF!,#REF!,#REF!,#REF!,#REF!,#REF!,#REF!,#REF!,#REF!,#REF!,#REF!,#REF!,#REF!</definedName>
    <definedName name="__APW_RESTORE_DATA2972__" hidden="1">#REF!,#REF!,#REF!,#REF!,#REF!,#REF!,#REF!,#REF!,#REF!,#REF!,#REF!,#REF!,#REF!,#REF!,#REF!</definedName>
    <definedName name="__APW_RESTORE_DATA2973__" hidden="1">#REF!,#REF!,#REF!,#REF!,#REF!,#REF!,#REF!,#REF!,#REF!,#REF!,#REF!,#REF!,#REF!,#REF!,#REF!</definedName>
    <definedName name="__APW_RESTORE_DATA2974__" hidden="1">#REF!,#REF!,#REF!,#REF!,#REF!,#REF!,#REF!,#REF!,#REF!,#REF!,#REF!,#REF!,#REF!,#REF!,#REF!</definedName>
    <definedName name="__APW_RESTORE_DATA2975__" hidden="1">#REF!,#REF!,#REF!,#REF!,#REF!,#REF!,#REF!,#REF!,#REF!,#REF!,#REF!,#REF!,#REF!,#REF!,#REF!</definedName>
    <definedName name="__APW_RESTORE_DATA2976__" hidden="1">#REF!,#REF!,#REF!,#REF!,#REF!,#REF!,#REF!,#REF!,#REF!,#REF!,#REF!,#REF!,#REF!,#REF!,#REF!</definedName>
    <definedName name="__APW_RESTORE_DATA2977__" hidden="1">#REF!,#REF!,#REF!,#REF!,#REF!,#REF!,#REF!,#REF!,#REF!,#REF!,#REF!,#REF!,#REF!,#REF!,#REF!</definedName>
    <definedName name="__APW_RESTORE_DATA2978__" hidden="1">#REF!,#REF!,#REF!,#REF!,#REF!,#REF!,#REF!,#REF!,#REF!,#REF!,#REF!,#REF!,#REF!,#REF!,#REF!</definedName>
    <definedName name="__APW_RESTORE_DATA2979__" hidden="1">#REF!,#REF!,#REF!,#REF!,#REF!,#REF!,#REF!,#REF!,#REF!,#REF!,#REF!,#REF!,#REF!,#REF!,#REF!</definedName>
    <definedName name="__APW_RESTORE_DATA298__" hidden="1">#REF!,#REF!</definedName>
    <definedName name="__APW_RESTORE_DATA2980__" hidden="1">#REF!,#REF!,#REF!,#REF!,#REF!,#REF!,#REF!,#REF!,#REF!,#REF!,#REF!,#REF!,#REF!,#REF!,#REF!</definedName>
    <definedName name="__APW_RESTORE_DATA2981__" hidden="1">#REF!,#REF!,#REF!,#REF!,#REF!,#REF!,#REF!,#REF!,#REF!,#REF!,#REF!,#REF!,#REF!,#REF!,#REF!</definedName>
    <definedName name="__APW_RESTORE_DATA2982__" hidden="1">#REF!,#REF!,#REF!,#REF!,#REF!,#REF!,#REF!,#REF!,#REF!,#REF!,#REF!,#REF!,#REF!,#REF!,#REF!</definedName>
    <definedName name="__APW_RESTORE_DATA2983__" hidden="1">#REF!,#REF!,#REF!,#REF!,#REF!,#REF!,#REF!,#REF!,#REF!,#REF!,#REF!,#REF!,#REF!,#REF!,#REF!</definedName>
    <definedName name="__APW_RESTORE_DATA2984__" hidden="1">#REF!,#REF!,#REF!,#REF!,#REF!,#REF!,#REF!,#REF!,#REF!,#REF!,#REF!,#REF!,#REF!,#REF!,#REF!</definedName>
    <definedName name="__APW_RESTORE_DATA2985__" hidden="1">#REF!,#REF!,#REF!,#REF!,#REF!,#REF!,#REF!,#REF!,#REF!,#REF!,#REF!,#REF!,#REF!,#REF!,#REF!</definedName>
    <definedName name="__APW_RESTORE_DATA2986__" hidden="1">#REF!,#REF!,#REF!,#REF!,#REF!,#REF!,#REF!,#REF!,#REF!,#REF!,#REF!,#REF!,#REF!,#REF!,#REF!</definedName>
    <definedName name="__APW_RESTORE_DATA2987__" hidden="1">#REF!,#REF!,#REF!,#REF!,#REF!,#REF!,#REF!,#REF!,#REF!,#REF!,#REF!,#REF!,#REF!,#REF!,#REF!</definedName>
    <definedName name="__APW_RESTORE_DATA2988__" hidden="1">#REF!,#REF!,#REF!,#REF!,#REF!,#REF!,#REF!,#REF!,#REF!,#REF!,#REF!,#REF!,#REF!,#REF!,#REF!</definedName>
    <definedName name="__APW_RESTORE_DATA2989__" hidden="1">#REF!,#REF!,#REF!,#REF!,#REF!,#REF!,#REF!,#REF!,#REF!,#REF!,#REF!,#REF!,#REF!,#REF!,#REF!</definedName>
    <definedName name="__APW_RESTORE_DATA299__" hidden="1">#REF!,#REF!,#REF!,#REF!,#REF!,#REF!,#REF!,#REF!,#REF!,#REF!,#REF!,#REF!,#REF!,#REF!,#REF!</definedName>
    <definedName name="__APW_RESTORE_DATA2990__" hidden="1">#REF!,#REF!,#REF!,#REF!,#REF!,#REF!,#REF!,#REF!,#REF!,#REF!,#REF!,#REF!,#REF!,#REF!,#REF!</definedName>
    <definedName name="__APW_RESTORE_DATA2991__" hidden="1">#REF!,#REF!,#REF!,#REF!,#REF!,#REF!,#REF!,#REF!,#REF!,#REF!,#REF!,#REF!,#REF!,#REF!,#REF!</definedName>
    <definedName name="__APW_RESTORE_DATA2992__" hidden="1">#REF!,#REF!,#REF!,#REF!,#REF!,#REF!,#REF!,#REF!,#REF!,#REF!,#REF!,#REF!,#REF!,#REF!,#REF!</definedName>
    <definedName name="__APW_RESTORE_DATA2993__" hidden="1">#REF!,#REF!,#REF!,#REF!,#REF!,#REF!,#REF!,#REF!,#REF!,#REF!,#REF!,#REF!,#REF!,#REF!,#REF!</definedName>
    <definedName name="__APW_RESTORE_DATA2994__" hidden="1">#REF!,#REF!,#REF!,#REF!,#REF!,#REF!</definedName>
    <definedName name="__APW_RESTORE_DATA2995__" hidden="1">#REF!,#REF!,#REF!,#REF!,#REF!,#REF!,#REF!,#REF!,#REF!,#REF!,#REF!,#REF!,#REF!,#REF!,#REF!,#REF!</definedName>
    <definedName name="__APW_RESTORE_DATA2996__" hidden="1">#REF!,#REF!,#REF!,#REF!,#REF!,#REF!,#REF!,#REF!,#REF!,#REF!,#REF!,#REF!,#REF!,#REF!,#REF!,#REF!</definedName>
    <definedName name="__APW_RESTORE_DATA2997__" hidden="1">#REF!,#REF!,#REF!,#REF!,#REF!,#REF!,#REF!,#REF!,#REF!,#REF!,#REF!,#REF!,#REF!,#REF!,#REF!,#REF!</definedName>
    <definedName name="__APW_RESTORE_DATA2998__" hidden="1">#REF!,#REF!,#REF!,#REF!,#REF!,#REF!,#REF!,#REF!,#REF!,#REF!,#REF!,#REF!,#REF!,#REF!,#REF!,#REF!</definedName>
    <definedName name="__APW_RESTORE_DATA2999__" hidden="1">#REF!,#REF!,#REF!,#REF!,#REF!,#REF!,#REF!,#REF!,#REF!,#REF!,#REF!,#REF!,#REF!,#REF!,#REF!,#REF!</definedName>
    <definedName name="__APW_RESTORE_DATA3__" hidden="1">#REF!</definedName>
    <definedName name="__APW_RESTORE_DATA30__" hidden="1">#REF!,#REF!,#REF!,#REF!,#REF!,#REF!,#REF!,#REF!,#REF!,#REF!,#REF!,#REF!,#REF!,#REF!,#REF!,#REF!</definedName>
    <definedName name="__APW_RESTORE_DATA300__" hidden="1">#REF!,#REF!,#REF!,#REF!,#REF!,#REF!,#REF!,#REF!,#REF!,#REF!,#REF!,#REF!,#REF!,#REF!,#REF!</definedName>
    <definedName name="__APW_RESTORE_DATA3000__" hidden="1">#REF!,#REF!,#REF!,#REF!,#REF!,#REF!,#REF!,#REF!,#REF!,#REF!,#REF!,#REF!,#REF!,#REF!,#REF!,#REF!</definedName>
    <definedName name="__APW_RESTORE_DATA3001__" hidden="1">#REF!,#REF!,#REF!,#REF!,#REF!,#REF!,#REF!,#REF!,#REF!,#REF!,#REF!,#REF!,#REF!,#REF!,#REF!</definedName>
    <definedName name="__APW_RESTORE_DATA3002__" hidden="1">#REF!,#REF!,#REF!,#REF!,#REF!,#REF!,#REF!,#REF!,#REF!,#REF!,#REF!,#REF!,#REF!,#REF!,#REF!</definedName>
    <definedName name="__APW_RESTORE_DATA3003__" hidden="1">#REF!,#REF!,#REF!,#REF!,#REF!,#REF!,#REF!,#REF!,#REF!,#REF!,#REF!,#REF!,#REF!,#REF!,#REF!</definedName>
    <definedName name="__APW_RESTORE_DATA3004__" hidden="1">#REF!,#REF!,#REF!,#REF!,#REF!,#REF!,#REF!,#REF!,#REF!,#REF!,#REF!,#REF!,#REF!,#REF!,#REF!</definedName>
    <definedName name="__APW_RESTORE_DATA3005__" hidden="1">#REF!,#REF!,#REF!,#REF!,#REF!,#REF!,#REF!,#REF!,#REF!,#REF!,#REF!,#REF!,#REF!,#REF!,#REF!</definedName>
    <definedName name="__APW_RESTORE_DATA3006__" hidden="1">#REF!,#REF!,#REF!,#REF!,#REF!,#REF!,#REF!,#REF!,#REF!,#REF!,#REF!,#REF!,#REF!,#REF!,#REF!</definedName>
    <definedName name="__APW_RESTORE_DATA3007__" hidden="1">#REF!,#REF!,#REF!,#REF!,#REF!,#REF!,#REF!,#REF!,#REF!,#REF!,#REF!,#REF!,#REF!,#REF!,#REF!</definedName>
    <definedName name="__APW_RESTORE_DATA3008__" hidden="1">#REF!,#REF!,#REF!,#REF!,#REF!,#REF!,#REF!,#REF!,#REF!,#REF!,#REF!,#REF!,#REF!,#REF!,#REF!</definedName>
    <definedName name="__APW_RESTORE_DATA3009__" hidden="1">#REF!,#REF!,#REF!,#REF!,#REF!,#REF!,#REF!,#REF!,#REF!,#REF!,#REF!,#REF!,#REF!,#REF!,#REF!</definedName>
    <definedName name="__APW_RESTORE_DATA301__" hidden="1">#REF!,#REF!,#REF!,#REF!,#REF!,#REF!,#REF!,#REF!,#REF!,#REF!,#REF!,#REF!,#REF!,#REF!,#REF!</definedName>
    <definedName name="__APW_RESTORE_DATA3010__" hidden="1">#REF!,#REF!,#REF!,#REF!,#REF!,#REF!,#REF!,#REF!,#REF!,#REF!,#REF!,#REF!,#REF!,#REF!,#REF!</definedName>
    <definedName name="__APW_RESTORE_DATA3011__" hidden="1">#REF!,#REF!,#REF!,#REF!,#REF!,#REF!,#REF!,#REF!,#REF!,#REF!,#REF!,#REF!,#REF!,#REF!,#REF!</definedName>
    <definedName name="__APW_RESTORE_DATA3012__" hidden="1">#REF!,#REF!,#REF!,#REF!,#REF!,#REF!,#REF!,#REF!,#REF!,#REF!,#REF!,#REF!,#REF!,#REF!,#REF!</definedName>
    <definedName name="__APW_RESTORE_DATA3013__" hidden="1">#REF!,#REF!,#REF!,#REF!,#REF!,#REF!,#REF!,#REF!,#REF!,#REF!,#REF!,#REF!,#REF!,#REF!,#REF!</definedName>
    <definedName name="__APW_RESTORE_DATA3014__" hidden="1">#REF!,#REF!,#REF!,#REF!,#REF!,#REF!,#REF!,#REF!,#REF!,#REF!,#REF!,#REF!,#REF!,#REF!,#REF!</definedName>
    <definedName name="__APW_RESTORE_DATA3015__" hidden="1">#REF!,#REF!,#REF!,#REF!,#REF!,#REF!,#REF!,#REF!,#REF!,#REF!,#REF!,#REF!,#REF!,#REF!,#REF!</definedName>
    <definedName name="__APW_RESTORE_DATA3016__" hidden="1">#REF!,#REF!,#REF!,#REF!,#REF!,#REF!,#REF!,#REF!,#REF!,#REF!,#REF!,#REF!,#REF!,#REF!,#REF!</definedName>
    <definedName name="__APW_RESTORE_DATA3017__" hidden="1">#REF!,#REF!,#REF!,#REF!,#REF!,#REF!,#REF!,#REF!,#REF!,#REF!,#REF!,#REF!,#REF!,#REF!,#REF!</definedName>
    <definedName name="__APW_RESTORE_DATA3018__" hidden="1">#REF!,#REF!,#REF!,#REF!,#REF!,#REF!,#REF!,#REF!,#REF!,#REF!,#REF!,#REF!,#REF!,#REF!,#REF!</definedName>
    <definedName name="__APW_RESTORE_DATA3019__" hidden="1">#REF!,#REF!,#REF!,#REF!,#REF!,#REF!,#REF!,#REF!,#REF!,#REF!,#REF!,#REF!,#REF!,#REF!,#REF!</definedName>
    <definedName name="__APW_RESTORE_DATA302__" hidden="1">#REF!,#REF!,#REF!,#REF!,#REF!,#REF!,#REF!,#REF!,#REF!,#REF!,#REF!,#REF!,#REF!,#REF!,#REF!</definedName>
    <definedName name="__APW_RESTORE_DATA3020__" hidden="1">#REF!,#REF!,#REF!,#REF!,#REF!,#REF!,#REF!,#REF!,#REF!,#REF!,#REF!,#REF!,#REF!,#REF!,#REF!</definedName>
    <definedName name="__APW_RESTORE_DATA3021__" hidden="1">#REF!,#REF!,#REF!,#REF!,#REF!,#REF!,#REF!,#REF!,#REF!,#REF!,#REF!,#REF!,#REF!,#REF!,#REF!</definedName>
    <definedName name="__APW_RESTORE_DATA3022__" hidden="1">#REF!,#REF!,#REF!,#REF!,#REF!,#REF!,#REF!,#REF!,#REF!,#REF!,#REF!,#REF!,#REF!,#REF!,#REF!</definedName>
    <definedName name="__APW_RESTORE_DATA3023__" hidden="1">#REF!,#REF!,#REF!,#REF!,#REF!,#REF!,#REF!,#REF!,#REF!,#REF!,#REF!,#REF!,#REF!,#REF!,#REF!</definedName>
    <definedName name="__APW_RESTORE_DATA3024__" hidden="1">#REF!,#REF!,#REF!,#REF!,#REF!,#REF!,#REF!,#REF!,#REF!,#REF!,#REF!,#REF!,#REF!,#REF!,#REF!</definedName>
    <definedName name="__APW_RESTORE_DATA3025__" hidden="1">#REF!,#REF!,#REF!,#REF!,#REF!,#REF!,#REF!,#REF!,#REF!,#REF!,#REF!,#REF!,#REF!,#REF!,#REF!</definedName>
    <definedName name="__APW_RESTORE_DATA3026__" hidden="1">#REF!,#REF!,#REF!,#REF!,#REF!,#REF!,#REF!,#REF!,#REF!,#REF!,#REF!,#REF!,#REF!,#REF!,#REF!</definedName>
    <definedName name="__APW_RESTORE_DATA3027__" hidden="1">#REF!,#REF!,#REF!,#REF!,#REF!,#REF!,#REF!,#REF!,#REF!,#REF!,#REF!,#REF!,#REF!,#REF!,#REF!</definedName>
    <definedName name="__APW_RESTORE_DATA3028__" hidden="1">#REF!,#REF!,#REF!,#REF!,#REF!,#REF!,#REF!,#REF!,#REF!,#REF!,#REF!,#REF!,#REF!,#REF!,#REF!</definedName>
    <definedName name="__APW_RESTORE_DATA3029__" hidden="1">#REF!,#REF!,#REF!,#REF!,#REF!,#REF!</definedName>
    <definedName name="__APW_RESTORE_DATA303__" hidden="1">#REF!,#REF!,#REF!,#REF!,#REF!,#REF!,#REF!,#REF!,#REF!,#REF!,#REF!,#REF!,#REF!,#REF!,#REF!</definedName>
    <definedName name="__APW_RESTORE_DATA3030__" hidden="1">#REF!</definedName>
    <definedName name="__APW_RESTORE_DATA3031__" hidden="1">#REF!</definedName>
    <definedName name="__APW_RESTORE_DATA3032__" hidden="1">#REF!</definedName>
    <definedName name="__APW_RESTORE_DATA3034__" hidden="1">#REF!</definedName>
    <definedName name="__APW_RESTORE_DATA3035__" hidden="1">#REF!,#REF!,#REF!,#REF!,#REF!,#REF!,#REF!,#REF!,#REF!,#REF!,#REF!,#REF!,#REF!,#REF!,#REF!,#REF!</definedName>
    <definedName name="__APW_RESTORE_DATA3036__" hidden="1">#REF!,#REF!,#REF!,#REF!,#REF!,#REF!,#REF!,#REF!,#REF!,#REF!,#REF!,#REF!,#REF!,#REF!,#REF!,#REF!</definedName>
    <definedName name="__APW_RESTORE_DATA3037__" hidden="1">#REF!,#REF!,#REF!,#REF!,#REF!,#REF!,#REF!,#REF!,#REF!,#REF!,#REF!,#REF!,#REF!,#REF!,#REF!,#REF!</definedName>
    <definedName name="__APW_RESTORE_DATA3038__" hidden="1">#REF!,#REF!,#REF!,#REF!,#REF!,#REF!,#REF!,#REF!,#REF!,#REF!,#REF!,#REF!,#REF!,#REF!,#REF!,#REF!</definedName>
    <definedName name="__APW_RESTORE_DATA3039__" hidden="1">#REF!,#REF!,#REF!,#REF!,#REF!,#REF!,#REF!,#REF!,#REF!,#REF!,#REF!,#REF!,#REF!,#REF!,#REF!,#REF!</definedName>
    <definedName name="__APW_RESTORE_DATA304__" hidden="1">#REF!,#REF!,#REF!,#REF!,#REF!,#REF!,#REF!,#REF!,#REF!,#REF!,#REF!,#REF!,#REF!,#REF!,#REF!</definedName>
    <definedName name="__APW_RESTORE_DATA3040__" hidden="1">#REF!,#REF!,#REF!,#REF!,#REF!,#REF!,#REF!,#REF!,#REF!,#REF!,#REF!,#REF!,#REF!,#REF!,#REF!,#REF!</definedName>
    <definedName name="__APW_RESTORE_DATA3041__" hidden="1">#REF!,#REF!,#REF!,#REF!,#REF!,#REF!,#REF!,#REF!,#REF!,#REF!,#REF!,#REF!,#REF!,#REF!,#REF!</definedName>
    <definedName name="__APW_RESTORE_DATA3042__" hidden="1">#REF!,#REF!,#REF!,#REF!,#REF!,#REF!,#REF!,#REF!,#REF!,#REF!,#REF!,#REF!,#REF!,#REF!,#REF!</definedName>
    <definedName name="__APW_RESTORE_DATA3043__" hidden="1">#REF!,#REF!,#REF!,#REF!,#REF!,#REF!,#REF!,#REF!,#REF!,#REF!,#REF!,#REF!,#REF!,#REF!,#REF!</definedName>
    <definedName name="__APW_RESTORE_DATA3044__" hidden="1">#REF!,#REF!,#REF!,#REF!,#REF!,#REF!,#REF!,#REF!,#REF!,#REF!,#REF!,#REF!,#REF!,#REF!,#REF!</definedName>
    <definedName name="__APW_RESTORE_DATA3045__" hidden="1">#REF!,#REF!,#REF!,#REF!,#REF!,#REF!,#REF!,#REF!,#REF!,#REF!,#REF!,#REF!,#REF!,#REF!,#REF!</definedName>
    <definedName name="__APW_RESTORE_DATA3046__" hidden="1">#REF!,#REF!,#REF!,#REF!,#REF!,#REF!,#REF!,#REF!,#REF!,#REF!,#REF!,#REF!,#REF!,#REF!,#REF!</definedName>
    <definedName name="__APW_RESTORE_DATA3047__" hidden="1">#REF!,#REF!,#REF!,#REF!,#REF!,#REF!,#REF!,#REF!,#REF!,#REF!,#REF!,#REF!,#REF!,#REF!,#REF!</definedName>
    <definedName name="__APW_RESTORE_DATA3048__" hidden="1">#REF!,#REF!,#REF!,#REF!,#REF!,#REF!,#REF!,#REF!,#REF!,#REF!,#REF!,#REF!,#REF!,#REF!,#REF!</definedName>
    <definedName name="__APW_RESTORE_DATA3049__" hidden="1">#REF!,#REF!,#REF!,#REF!,#REF!,#REF!,#REF!,#REF!,#REF!,#REF!,#REF!,#REF!,#REF!,#REF!,#REF!</definedName>
    <definedName name="__APW_RESTORE_DATA305__" hidden="1">#REF!,#REF!,#REF!,#REF!,#REF!,#REF!,#REF!,#REF!,#REF!,#REF!,#REF!,#REF!,#REF!,#REF!,#REF!</definedName>
    <definedName name="__APW_RESTORE_DATA3050__" hidden="1">#REF!,#REF!,#REF!,#REF!,#REF!,#REF!,#REF!,#REF!,#REF!,#REF!,#REF!,#REF!,#REF!,#REF!,#REF!</definedName>
    <definedName name="__APW_RESTORE_DATA3051__" hidden="1">#REF!,#REF!,#REF!,#REF!,#REF!,#REF!,#REF!,#REF!,#REF!,#REF!,#REF!,#REF!,#REF!,#REF!,#REF!</definedName>
    <definedName name="__APW_RESTORE_DATA3052__" hidden="1">#REF!,#REF!,#REF!,#REF!,#REF!,#REF!,#REF!,#REF!,#REF!,#REF!,#REF!,#REF!,#REF!,#REF!,#REF!</definedName>
    <definedName name="__APW_RESTORE_DATA3053__" hidden="1">#REF!,#REF!,#REF!,#REF!,#REF!,#REF!,#REF!,#REF!,#REF!,#REF!,#REF!,#REF!,#REF!,#REF!,#REF!</definedName>
    <definedName name="__APW_RESTORE_DATA3054__" hidden="1">#REF!,#REF!,#REF!,#REF!,#REF!,#REF!,#REF!,#REF!,#REF!,#REF!,#REF!,#REF!,#REF!,#REF!,#REF!</definedName>
    <definedName name="__APW_RESTORE_DATA3055__" hidden="1">#REF!,#REF!,#REF!,#REF!,#REF!,#REF!,#REF!,#REF!,#REF!,#REF!,#REF!,#REF!,#REF!,#REF!,#REF!</definedName>
    <definedName name="__APW_RESTORE_DATA3056__" hidden="1">#REF!,#REF!,#REF!,#REF!,#REF!,#REF!,#REF!,#REF!,#REF!,#REF!,#REF!,#REF!,#REF!,#REF!,#REF!</definedName>
    <definedName name="__APW_RESTORE_DATA3057__" hidden="1">#REF!,#REF!,#REF!,#REF!,#REF!,#REF!,#REF!,#REF!,#REF!,#REF!,#REF!,#REF!,#REF!,#REF!,#REF!</definedName>
    <definedName name="__APW_RESTORE_DATA3058__" hidden="1">#REF!,#REF!,#REF!,#REF!,#REF!,#REF!,#REF!,#REF!,#REF!,#REF!,#REF!,#REF!,#REF!,#REF!,#REF!</definedName>
    <definedName name="__APW_RESTORE_DATA3059__" hidden="1">#REF!,#REF!,#REF!,#REF!,#REF!,#REF!,#REF!,#REF!,#REF!,#REF!,#REF!,#REF!,#REF!,#REF!,#REF!</definedName>
    <definedName name="__APW_RESTORE_DATA306__" hidden="1">#REF!,#REF!,#REF!,#REF!,#REF!,#REF!,#REF!,#REF!,#REF!,#REF!,#REF!,#REF!,#REF!,#REF!,#REF!</definedName>
    <definedName name="__APW_RESTORE_DATA3060__" hidden="1">#REF!,#REF!,#REF!,#REF!,#REF!,#REF!,#REF!,#REF!,#REF!,#REF!,#REF!,#REF!,#REF!,#REF!,#REF!</definedName>
    <definedName name="__APW_RESTORE_DATA3061__" hidden="1">#REF!,#REF!,#REF!,#REF!,#REF!,#REF!,#REF!,#REF!,#REF!,#REF!,#REF!,#REF!,#REF!,#REF!,#REF!</definedName>
    <definedName name="__APW_RESTORE_DATA3062__" hidden="1">#REF!,#REF!,#REF!,#REF!,#REF!,#REF!,#REF!,#REF!,#REF!,#REF!,#REF!,#REF!,#REF!,#REF!,#REF!</definedName>
    <definedName name="__APW_RESTORE_DATA3063__" hidden="1">#REF!,#REF!,#REF!,#REF!,#REF!,#REF!,#REF!,#REF!,#REF!,#REF!,#REF!,#REF!,#REF!,#REF!,#REF!</definedName>
    <definedName name="__APW_RESTORE_DATA3064__" hidden="1">#REF!,#REF!,#REF!,#REF!,#REF!,#REF!,#REF!,#REF!,#REF!,#REF!,#REF!,#REF!,#REF!,#REF!,#REF!</definedName>
    <definedName name="__APW_RESTORE_DATA3065__" hidden="1">#REF!,#REF!,#REF!,#REF!,#REF!,#REF!,#REF!,#REF!,#REF!,#REF!,#REF!,#REF!,#REF!,#REF!,#REF!</definedName>
    <definedName name="__APW_RESTORE_DATA3066__" hidden="1">#REF!,#REF!,#REF!,#REF!,#REF!,#REF!,#REF!,#REF!,#REF!,#REF!,#REF!,#REF!,#REF!,#REF!,#REF!</definedName>
    <definedName name="__APW_RESTORE_DATA3067__" hidden="1">#REF!,#REF!,#REF!,#REF!,#REF!,#REF!,#REF!,#REF!,#REF!,#REF!,#REF!,#REF!,#REF!,#REF!,#REF!</definedName>
    <definedName name="__APW_RESTORE_DATA3068__" hidden="1">#REF!,#REF!,#REF!,#REF!,#REF!,#REF!,#REF!,#REF!,#REF!,#REF!,#REF!,#REF!,#REF!,#REF!,#REF!</definedName>
    <definedName name="__APW_RESTORE_DATA3069__" hidden="1">#REF!,#REF!,#REF!,#REF!,#REF!,#REF!</definedName>
    <definedName name="__APW_RESTORE_DATA307__" hidden="1">#REF!,#REF!,#REF!,#REF!,#REF!,#REF!,#REF!,#REF!,#REF!,#REF!,#REF!,#REF!,#REF!,#REF!,#REF!</definedName>
    <definedName name="__APW_RESTORE_DATA3070__" hidden="1">#REF!,#REF!,#REF!,#REF!,#REF!,#REF!,#REF!,#REF!,#REF!,#REF!,#REF!,#REF!,#REF!,#REF!,#REF!,#REF!</definedName>
    <definedName name="__APW_RESTORE_DATA3071__" hidden="1">#REF!,#REF!,#REF!,#REF!,#REF!,#REF!,#REF!,#REF!,#REF!,#REF!,#REF!,#REF!,#REF!,#REF!,#REF!,#REF!</definedName>
    <definedName name="__APW_RESTORE_DATA3072__" hidden="1">#REF!,#REF!,#REF!,#REF!,#REF!,#REF!,#REF!,#REF!,#REF!,#REF!,#REF!,#REF!,#REF!,#REF!,#REF!,#REF!</definedName>
    <definedName name="__APW_RESTORE_DATA3073__" hidden="1">#REF!,#REF!,#REF!,#REF!,#REF!,#REF!,#REF!,#REF!,#REF!,#REF!,#REF!,#REF!,#REF!,#REF!,#REF!,#REF!</definedName>
    <definedName name="__APW_RESTORE_DATA3074__" hidden="1">#REF!,#REF!,#REF!,#REF!,#REF!,#REF!,#REF!,#REF!,#REF!,#REF!,#REF!,#REF!,#REF!,#REF!,#REF!,#REF!</definedName>
    <definedName name="__APW_RESTORE_DATA3075__" hidden="1">#REF!,#REF!,#REF!,#REF!,#REF!,#REF!,#REF!,#REF!,#REF!,#REF!,#REF!,#REF!,#REF!,#REF!,#REF!,#REF!</definedName>
    <definedName name="__APW_RESTORE_DATA3076__" hidden="1">#REF!,#REF!,#REF!,#REF!,#REF!,#REF!,#REF!,#REF!,#REF!,#REF!,#REF!,#REF!,#REF!,#REF!,#REF!</definedName>
    <definedName name="__APW_RESTORE_DATA3077__" hidden="1">#REF!,#REF!,#REF!,#REF!,#REF!,#REF!,#REF!,#REF!,#REF!,#REF!,#REF!,#REF!,#REF!,#REF!,#REF!</definedName>
    <definedName name="__APW_RESTORE_DATA3078__" hidden="1">#REF!,#REF!,#REF!,#REF!,#REF!,#REF!,#REF!,#REF!,#REF!,#REF!,#REF!,#REF!,#REF!,#REF!,#REF!</definedName>
    <definedName name="__APW_RESTORE_DATA3079__" hidden="1">#REF!,#REF!,#REF!,#REF!,#REF!,#REF!,#REF!,#REF!,#REF!,#REF!,#REF!,#REF!,#REF!,#REF!,#REF!</definedName>
    <definedName name="__APW_RESTORE_DATA308__" hidden="1">#REF!,#REF!,#REF!,#REF!,#REF!,#REF!,#REF!,#REF!,#REF!,#REF!,#REF!,#REF!,#REF!,#REF!,#REF!</definedName>
    <definedName name="__APW_RESTORE_DATA3080__" hidden="1">#REF!,#REF!,#REF!,#REF!,#REF!,#REF!,#REF!,#REF!,#REF!,#REF!,#REF!,#REF!,#REF!,#REF!,#REF!</definedName>
    <definedName name="__APW_RESTORE_DATA3081__" hidden="1">#REF!,#REF!,#REF!,#REF!,#REF!,#REF!,#REF!,#REF!,#REF!,#REF!,#REF!,#REF!,#REF!,#REF!,#REF!</definedName>
    <definedName name="__APW_RESTORE_DATA3082__" hidden="1">#REF!,#REF!,#REF!,#REF!,#REF!,#REF!,#REF!,#REF!,#REF!,#REF!,#REF!,#REF!,#REF!,#REF!,#REF!</definedName>
    <definedName name="__APW_RESTORE_DATA3083__" hidden="1">#REF!,#REF!,#REF!,#REF!,#REF!,#REF!,#REF!,#REF!,#REF!,#REF!,#REF!,#REF!,#REF!,#REF!,#REF!</definedName>
    <definedName name="__APW_RESTORE_DATA3084__" hidden="1">#REF!,#REF!,#REF!,#REF!,#REF!,#REF!,#REF!,#REF!,#REF!,#REF!,#REF!,#REF!,#REF!,#REF!,#REF!</definedName>
    <definedName name="__APW_RESTORE_DATA3085__" hidden="1">#REF!,#REF!,#REF!,#REF!,#REF!,#REF!,#REF!,#REF!,#REF!,#REF!,#REF!,#REF!,#REF!,#REF!,#REF!</definedName>
    <definedName name="__APW_RESTORE_DATA3086__" hidden="1">#REF!,#REF!,#REF!,#REF!,#REF!,#REF!,#REF!,#REF!,#REF!,#REF!,#REF!,#REF!,#REF!,#REF!,#REF!</definedName>
    <definedName name="__APW_RESTORE_DATA3087__" hidden="1">#REF!,#REF!,#REF!,#REF!,#REF!,#REF!,#REF!,#REF!,#REF!,#REF!,#REF!,#REF!,#REF!,#REF!,#REF!</definedName>
    <definedName name="__APW_RESTORE_DATA3088__" hidden="1">#REF!,#REF!,#REF!,#REF!,#REF!,#REF!,#REF!,#REF!,#REF!,#REF!,#REF!,#REF!,#REF!,#REF!,#REF!</definedName>
    <definedName name="__APW_RESTORE_DATA3089__" hidden="1">#REF!,#REF!,#REF!,#REF!,#REF!,#REF!,#REF!,#REF!,#REF!,#REF!,#REF!,#REF!,#REF!,#REF!,#REF!</definedName>
    <definedName name="__APW_RESTORE_DATA309__" hidden="1">#REF!,#REF!,#REF!,#REF!,#REF!,#REF!,#REF!,#REF!,#REF!,#REF!,#REF!,#REF!,#REF!,#REF!,#REF!</definedName>
    <definedName name="__APW_RESTORE_DATA3090__" hidden="1">#REF!,#REF!,#REF!,#REF!,#REF!,#REF!,#REF!,#REF!,#REF!,#REF!,#REF!,#REF!,#REF!,#REF!,#REF!</definedName>
    <definedName name="__APW_RESTORE_DATA3091__" hidden="1">#REF!,#REF!,#REF!,#REF!,#REF!,#REF!,#REF!,#REF!,#REF!,#REF!,#REF!,#REF!,#REF!,#REF!,#REF!</definedName>
    <definedName name="__APW_RESTORE_DATA3092__" hidden="1">#REF!,#REF!,#REF!,#REF!,#REF!,#REF!,#REF!,#REF!,#REF!,#REF!,#REF!,#REF!,#REF!,#REF!,#REF!</definedName>
    <definedName name="__APW_RESTORE_DATA3093__" hidden="1">#REF!,#REF!,#REF!,#REF!,#REF!,#REF!,#REF!,#REF!,#REF!,#REF!,#REF!,#REF!,#REF!,#REF!,#REF!</definedName>
    <definedName name="__APW_RESTORE_DATA3094__" hidden="1">#REF!,#REF!,#REF!,#REF!,#REF!,#REF!,#REF!,#REF!,#REF!,#REF!,#REF!,#REF!,#REF!,#REF!,#REF!</definedName>
    <definedName name="__APW_RESTORE_DATA3095__" hidden="1">#REF!,#REF!,#REF!,#REF!,#REF!,#REF!,#REF!,#REF!,#REF!,#REF!,#REF!,#REF!,#REF!,#REF!,#REF!</definedName>
    <definedName name="__APW_RESTORE_DATA3096__" hidden="1">#REF!,#REF!,#REF!,#REF!,#REF!,#REF!,#REF!,#REF!,#REF!,#REF!,#REF!,#REF!,#REF!,#REF!,#REF!</definedName>
    <definedName name="__APW_RESTORE_DATA3097__" hidden="1">#REF!,#REF!,#REF!,#REF!,#REF!,#REF!,#REF!,#REF!,#REF!,#REF!,#REF!,#REF!,#REF!,#REF!,#REF!</definedName>
    <definedName name="__APW_RESTORE_DATA3098__" hidden="1">#REF!,#REF!,#REF!,#REF!,#REF!,#REF!,#REF!,#REF!,#REF!,#REF!,#REF!,#REF!,#REF!,#REF!,#REF!</definedName>
    <definedName name="__APW_RESTORE_DATA3099__" hidden="1">#REF!,#REF!,#REF!,#REF!,#REF!,#REF!,#REF!,#REF!,#REF!,#REF!,#REF!,#REF!,#REF!,#REF!,#REF!</definedName>
    <definedName name="__APW_RESTORE_DATA31__" hidden="1">#REF!,#REF!,#REF!,#REF!,#REF!,#REF!,#REF!,#REF!,#REF!,#REF!,#REF!,#REF!,#REF!,#REF!,#REF!</definedName>
    <definedName name="__APW_RESTORE_DATA310__" hidden="1">#REF!,#REF!,#REF!,#REF!,#REF!,#REF!,#REF!,#REF!,#REF!,#REF!,#REF!,#REF!,#REF!,#REF!,#REF!</definedName>
    <definedName name="__APW_RESTORE_DATA3100__" hidden="1">#REF!,#REF!,#REF!,#REF!,#REF!,#REF!,#REF!,#REF!,#REF!,#REF!,#REF!,#REF!,#REF!,#REF!,#REF!</definedName>
    <definedName name="__APW_RESTORE_DATA3101__" hidden="1">#REF!,#REF!,#REF!,#REF!,#REF!,#REF!,#REF!,#REF!,#REF!,#REF!,#REF!,#REF!,#REF!,#REF!,#REF!</definedName>
    <definedName name="__APW_RESTORE_DATA3102__" hidden="1">#REF!,#REF!,#REF!,#REF!,#REF!,#REF!,#REF!,#REF!,#REF!,#REF!,#REF!,#REF!,#REF!,#REF!,#REF!</definedName>
    <definedName name="__APW_RESTORE_DATA3103__" hidden="1">#REF!,#REF!,#REF!,#REF!,#REF!,#REF!,#REF!,#REF!,#REF!,#REF!,#REF!,#REF!,#REF!,#REF!,#REF!</definedName>
    <definedName name="__APW_RESTORE_DATA3104__" hidden="1">#REF!,#REF!,#REF!,#REF!,#REF!,#REF!</definedName>
    <definedName name="__APW_RESTORE_DATA3105__" hidden="1">#REF!,#REF!,#REF!,#REF!,#REF!,#REF!,#REF!,#REF!,#REF!,#REF!,#REF!,#REF!,#REF!,#REF!,#REF!,#REF!</definedName>
    <definedName name="__APW_RESTORE_DATA3106__" hidden="1">#REF!,#REF!,#REF!,#REF!,#REF!,#REF!,#REF!,#REF!,#REF!,#REF!,#REF!,#REF!,#REF!,#REF!,#REF!,#REF!</definedName>
    <definedName name="__APW_RESTORE_DATA3107__" hidden="1">#REF!,#REF!,#REF!,#REF!,#REF!,#REF!,#REF!,#REF!,#REF!,#REF!,#REF!,#REF!,#REF!,#REF!,#REF!,#REF!</definedName>
    <definedName name="__APW_RESTORE_DATA3108__" hidden="1">#REF!,#REF!,#REF!,#REF!,#REF!,#REF!,#REF!,#REF!,#REF!,#REF!,#REF!,#REF!,#REF!,#REF!,#REF!,#REF!</definedName>
    <definedName name="__APW_RESTORE_DATA3109__" hidden="1">#REF!,#REF!,#REF!,#REF!,#REF!,#REF!,#REF!,#REF!,#REF!,#REF!,#REF!,#REF!,#REF!,#REF!,#REF!,#REF!</definedName>
    <definedName name="__APW_RESTORE_DATA311__" hidden="1">#REF!,#REF!,#REF!,#REF!,#REF!,#REF!,#REF!,#REF!,#REF!,#REF!,#REF!,#REF!,#REF!,#REF!,#REF!</definedName>
    <definedName name="__APW_RESTORE_DATA3110__" hidden="1">#REF!,#REF!,#REF!,#REF!,#REF!,#REF!,#REF!,#REF!,#REF!,#REF!,#REF!,#REF!,#REF!,#REF!,#REF!,#REF!</definedName>
    <definedName name="__APW_RESTORE_DATA3111__" hidden="1">#REF!,#REF!,#REF!,#REF!,#REF!,#REF!,#REF!,#REF!,#REF!,#REF!,#REF!,#REF!,#REF!,#REF!,#REF!</definedName>
    <definedName name="__APW_RESTORE_DATA3112__" hidden="1">#REF!,#REF!,#REF!,#REF!,#REF!,#REF!,#REF!,#REF!,#REF!,#REF!,#REF!,#REF!,#REF!,#REF!,#REF!</definedName>
    <definedName name="__APW_RESTORE_DATA3113__" hidden="1">#REF!,#REF!,#REF!,#REF!,#REF!,#REF!,#REF!,#REF!,#REF!,#REF!,#REF!,#REF!,#REF!,#REF!,#REF!</definedName>
    <definedName name="__APW_RESTORE_DATA3114__" hidden="1">#REF!,#REF!,#REF!,#REF!,#REF!,#REF!,#REF!,#REF!,#REF!,#REF!,#REF!,#REF!,#REF!,#REF!,#REF!</definedName>
    <definedName name="__APW_RESTORE_DATA3115__" hidden="1">#REF!,#REF!,#REF!,#REF!,#REF!,#REF!,#REF!,#REF!,#REF!,#REF!,#REF!,#REF!,#REF!,#REF!,#REF!</definedName>
    <definedName name="__APW_RESTORE_DATA3116__" hidden="1">#REF!,#REF!,#REF!,#REF!,#REF!,#REF!,#REF!,#REF!,#REF!,#REF!,#REF!,#REF!,#REF!,#REF!,#REF!</definedName>
    <definedName name="__APW_RESTORE_DATA3117__" hidden="1">#REF!,#REF!,#REF!,#REF!,#REF!,#REF!,#REF!,#REF!,#REF!,#REF!,#REF!,#REF!,#REF!,#REF!,#REF!</definedName>
    <definedName name="__APW_RESTORE_DATA3118__" hidden="1">#REF!,#REF!,#REF!,#REF!,#REF!,#REF!,#REF!,#REF!,#REF!,#REF!,#REF!,#REF!,#REF!,#REF!,#REF!</definedName>
    <definedName name="__APW_RESTORE_DATA3119__" hidden="1">#REF!,#REF!,#REF!,#REF!,#REF!,#REF!,#REF!,#REF!,#REF!,#REF!,#REF!,#REF!,#REF!,#REF!,#REF!</definedName>
    <definedName name="__APW_RESTORE_DATA312__" hidden="1">#REF!,#REF!,#REF!,#REF!,#REF!,#REF!,#REF!,#REF!,#REF!,#REF!,#REF!,#REF!,#REF!,#REF!,#REF!</definedName>
    <definedName name="__APW_RESTORE_DATA3120__" hidden="1">#REF!,#REF!,#REF!,#REF!,#REF!,#REF!,#REF!,#REF!,#REF!,#REF!,#REF!,#REF!,#REF!,#REF!,#REF!</definedName>
    <definedName name="__APW_RESTORE_DATA3121__" hidden="1">#REF!,#REF!,#REF!,#REF!,#REF!,#REF!,#REF!,#REF!,#REF!,#REF!,#REF!,#REF!,#REF!,#REF!,#REF!</definedName>
    <definedName name="__APW_RESTORE_DATA3122__" hidden="1">#REF!,#REF!,#REF!,#REF!,#REF!,#REF!,#REF!,#REF!,#REF!,#REF!,#REF!,#REF!,#REF!,#REF!,#REF!</definedName>
    <definedName name="__APW_RESTORE_DATA3123__" hidden="1">#REF!,#REF!,#REF!,#REF!,#REF!,#REF!,#REF!,#REF!,#REF!,#REF!,#REF!,#REF!,#REF!,#REF!,#REF!</definedName>
    <definedName name="__APW_RESTORE_DATA3124__" hidden="1">#REF!,#REF!,#REF!,#REF!,#REF!,#REF!,#REF!,#REF!,#REF!,#REF!,#REF!,#REF!,#REF!,#REF!,#REF!</definedName>
    <definedName name="__APW_RESTORE_DATA3125__" hidden="1">#REF!,#REF!,#REF!,#REF!,#REF!,#REF!,#REF!,#REF!,#REF!,#REF!,#REF!,#REF!,#REF!,#REF!,#REF!</definedName>
    <definedName name="__APW_RESTORE_DATA3126__" hidden="1">#REF!,#REF!,#REF!,#REF!,#REF!,#REF!,#REF!,#REF!,#REF!,#REF!,#REF!,#REF!,#REF!,#REF!,#REF!</definedName>
    <definedName name="__APW_RESTORE_DATA3127__" hidden="1">#REF!,#REF!,#REF!,#REF!,#REF!,#REF!,#REF!,#REF!,#REF!,#REF!,#REF!,#REF!,#REF!,#REF!,#REF!</definedName>
    <definedName name="__APW_RESTORE_DATA3128__" hidden="1">#REF!,#REF!,#REF!,#REF!,#REF!,#REF!,#REF!,#REF!,#REF!,#REF!,#REF!,#REF!,#REF!,#REF!,#REF!</definedName>
    <definedName name="__APW_RESTORE_DATA3129__" hidden="1">#REF!,#REF!,#REF!,#REF!,#REF!,#REF!,#REF!,#REF!,#REF!,#REF!,#REF!,#REF!,#REF!,#REF!,#REF!</definedName>
    <definedName name="__APW_RESTORE_DATA313__" hidden="1">#REF!,#REF!</definedName>
    <definedName name="__APW_RESTORE_DATA3130__" hidden="1">#REF!,#REF!,#REF!,#REF!,#REF!,#REF!,#REF!,#REF!,#REF!,#REF!,#REF!,#REF!,#REF!,#REF!,#REF!</definedName>
    <definedName name="__APW_RESTORE_DATA3131__" hidden="1">#REF!,#REF!,#REF!,#REF!,#REF!,#REF!,#REF!,#REF!,#REF!,#REF!,#REF!,#REF!,#REF!,#REF!,#REF!</definedName>
    <definedName name="__APW_RESTORE_DATA3132__" hidden="1">#REF!,#REF!,#REF!,#REF!,#REF!,#REF!,#REF!,#REF!,#REF!,#REF!,#REF!,#REF!,#REF!,#REF!,#REF!</definedName>
    <definedName name="__APW_RESTORE_DATA3133__" hidden="1">#REF!,#REF!,#REF!,#REF!,#REF!,#REF!,#REF!,#REF!,#REF!,#REF!,#REF!,#REF!,#REF!,#REF!,#REF!</definedName>
    <definedName name="__APW_RESTORE_DATA3134__" hidden="1">#REF!,#REF!,#REF!,#REF!,#REF!,#REF!,#REF!,#REF!,#REF!,#REF!,#REF!,#REF!,#REF!,#REF!,#REF!</definedName>
    <definedName name="__APW_RESTORE_DATA3135__" hidden="1">#REF!,#REF!,#REF!,#REF!,#REF!,#REF!,#REF!,#REF!,#REF!,#REF!,#REF!,#REF!,#REF!,#REF!,#REF!</definedName>
    <definedName name="__APW_RESTORE_DATA3136__" hidden="1">#REF!,#REF!,#REF!,#REF!,#REF!,#REF!,#REF!,#REF!,#REF!,#REF!,#REF!,#REF!,#REF!,#REF!,#REF!</definedName>
    <definedName name="__APW_RESTORE_DATA3137__" hidden="1">#REF!,#REF!,#REF!,#REF!,#REF!,#REF!,#REF!,#REF!,#REF!,#REF!,#REF!,#REF!,#REF!,#REF!,#REF!</definedName>
    <definedName name="__APW_RESTORE_DATA3138__" hidden="1">#REF!,#REF!,#REF!,#REF!,#REF!,#REF!,#REF!,#REF!,#REF!,#REF!,#REF!,#REF!,#REF!,#REF!,#REF!</definedName>
    <definedName name="__APW_RESTORE_DATA3139__" hidden="1">#REF!,#REF!,#REF!,#REF!,#REF!,#REF!</definedName>
    <definedName name="__APW_RESTORE_DATA314__" hidden="1">#REF!,#REF!</definedName>
    <definedName name="__APW_RESTORE_DATA3140__" hidden="1">#REF!,#REF!,#REF!,#REF!,#REF!,#REF!,#REF!,#REF!,#REF!,#REF!,#REF!,#REF!,#REF!,#REF!,#REF!,#REF!</definedName>
    <definedName name="__APW_RESTORE_DATA3141__" hidden="1">#REF!,#REF!,#REF!,#REF!,#REF!,#REF!,#REF!,#REF!,#REF!,#REF!,#REF!,#REF!,#REF!,#REF!,#REF!,#REF!</definedName>
    <definedName name="__APW_RESTORE_DATA3142__" hidden="1">#REF!,#REF!,#REF!,#REF!,#REF!,#REF!,#REF!,#REF!,#REF!,#REF!,#REF!,#REF!,#REF!,#REF!,#REF!,#REF!</definedName>
    <definedName name="__APW_RESTORE_DATA3143__" hidden="1">#REF!,#REF!,#REF!,#REF!,#REF!,#REF!,#REF!,#REF!,#REF!,#REF!,#REF!,#REF!,#REF!,#REF!,#REF!,#REF!</definedName>
    <definedName name="__APW_RESTORE_DATA3144__" hidden="1">#REF!,#REF!,#REF!,#REF!,#REF!,#REF!,#REF!,#REF!,#REF!,#REF!,#REF!,#REF!,#REF!,#REF!,#REF!,#REF!</definedName>
    <definedName name="__APW_RESTORE_DATA3145__" hidden="1">#REF!,#REF!,#REF!,#REF!,#REF!,#REF!,#REF!,#REF!,#REF!,#REF!,#REF!,#REF!,#REF!,#REF!,#REF!,#REF!</definedName>
    <definedName name="__APW_RESTORE_DATA3146__" hidden="1">#REF!,#REF!,#REF!,#REF!,#REF!,#REF!,#REF!,#REF!,#REF!,#REF!,#REF!,#REF!,#REF!,#REF!,#REF!</definedName>
    <definedName name="__APW_RESTORE_DATA3147__" hidden="1">#REF!,#REF!,#REF!,#REF!,#REF!,#REF!,#REF!,#REF!,#REF!,#REF!,#REF!,#REF!,#REF!,#REF!,#REF!</definedName>
    <definedName name="__APW_RESTORE_DATA3148__" hidden="1">#REF!,#REF!,#REF!,#REF!,#REF!,#REF!,#REF!,#REF!,#REF!,#REF!,#REF!,#REF!,#REF!,#REF!,#REF!</definedName>
    <definedName name="__APW_RESTORE_DATA3149__" hidden="1">#REF!,#REF!,#REF!,#REF!,#REF!,#REF!,#REF!,#REF!,#REF!,#REF!,#REF!,#REF!,#REF!,#REF!,#REF!</definedName>
    <definedName name="__APW_RESTORE_DATA315__" hidden="1">#REF!,#REF!,#REF!,#REF!,#REF!,#REF!,#REF!,#REF!,#REF!,#REF!,#REF!,#REF!,#REF!,#REF!,#REF!</definedName>
    <definedName name="__APW_RESTORE_DATA3150__" hidden="1">#REF!,#REF!,#REF!,#REF!,#REF!,#REF!,#REF!,#REF!,#REF!,#REF!,#REF!,#REF!,#REF!,#REF!,#REF!</definedName>
    <definedName name="__APW_RESTORE_DATA3151__" hidden="1">#REF!,#REF!,#REF!,#REF!,#REF!,#REF!,#REF!,#REF!,#REF!,#REF!,#REF!,#REF!,#REF!,#REF!,#REF!</definedName>
    <definedName name="__APW_RESTORE_DATA3152__" hidden="1">#REF!,#REF!,#REF!,#REF!,#REF!,#REF!,#REF!,#REF!,#REF!,#REF!,#REF!,#REF!,#REF!,#REF!,#REF!</definedName>
    <definedName name="__APW_RESTORE_DATA3153__" hidden="1">#REF!,#REF!,#REF!,#REF!,#REF!,#REF!,#REF!,#REF!,#REF!,#REF!,#REF!,#REF!,#REF!,#REF!,#REF!</definedName>
    <definedName name="__APW_RESTORE_DATA3154__" hidden="1">#REF!,#REF!,#REF!,#REF!,#REF!,#REF!,#REF!,#REF!,#REF!,#REF!,#REF!,#REF!,#REF!,#REF!,#REF!</definedName>
    <definedName name="__APW_RESTORE_DATA3155__" hidden="1">#REF!,#REF!,#REF!,#REF!,#REF!,#REF!,#REF!,#REF!,#REF!,#REF!,#REF!,#REF!,#REF!,#REF!,#REF!</definedName>
    <definedName name="__APW_RESTORE_DATA3156__" hidden="1">#REF!,#REF!,#REF!,#REF!,#REF!,#REF!,#REF!,#REF!,#REF!,#REF!,#REF!,#REF!,#REF!,#REF!,#REF!</definedName>
    <definedName name="__APW_RESTORE_DATA3157__" hidden="1">#REF!,#REF!,#REF!,#REF!,#REF!,#REF!,#REF!,#REF!,#REF!,#REF!,#REF!,#REF!,#REF!,#REF!,#REF!</definedName>
    <definedName name="__APW_RESTORE_DATA3158__" hidden="1">#REF!,#REF!,#REF!,#REF!,#REF!,#REF!,#REF!,#REF!,#REF!,#REF!,#REF!,#REF!,#REF!,#REF!,#REF!</definedName>
    <definedName name="__APW_RESTORE_DATA3159__" hidden="1">#REF!,#REF!,#REF!,#REF!,#REF!,#REF!,#REF!,#REF!,#REF!,#REF!,#REF!,#REF!,#REF!,#REF!,#REF!</definedName>
    <definedName name="__APW_RESTORE_DATA316__" hidden="1">#REF!,#REF!,#REF!,#REF!,#REF!,#REF!,#REF!,#REF!,#REF!,#REF!,#REF!,#REF!,#REF!,#REF!,#REF!</definedName>
    <definedName name="__APW_RESTORE_DATA3160__" hidden="1">#REF!,#REF!,#REF!,#REF!,#REF!,#REF!,#REF!,#REF!,#REF!,#REF!,#REF!,#REF!,#REF!,#REF!,#REF!</definedName>
    <definedName name="__APW_RESTORE_DATA3161__" hidden="1">#REF!,#REF!,#REF!,#REF!,#REF!,#REF!,#REF!,#REF!,#REF!,#REF!,#REF!,#REF!,#REF!,#REF!,#REF!</definedName>
    <definedName name="__APW_RESTORE_DATA3162__" hidden="1">#REF!,#REF!,#REF!,#REF!,#REF!,#REF!,#REF!,#REF!,#REF!,#REF!,#REF!,#REF!,#REF!,#REF!,#REF!</definedName>
    <definedName name="__APW_RESTORE_DATA3163__" hidden="1">#REF!,#REF!,#REF!,#REF!,#REF!,#REF!,#REF!,#REF!,#REF!,#REF!,#REF!,#REF!,#REF!,#REF!,#REF!</definedName>
    <definedName name="__APW_RESTORE_DATA3164__" hidden="1">#REF!,#REF!,#REF!,#REF!,#REF!,#REF!,#REF!,#REF!,#REF!,#REF!,#REF!,#REF!,#REF!,#REF!,#REF!</definedName>
    <definedName name="__APW_RESTORE_DATA3165__" hidden="1">#REF!,#REF!,#REF!,#REF!,#REF!,#REF!,#REF!,#REF!,#REF!,#REF!,#REF!,#REF!,#REF!,#REF!,#REF!</definedName>
    <definedName name="__APW_RESTORE_DATA3166__" hidden="1">#REF!,#REF!,#REF!,#REF!,#REF!,#REF!,#REF!,#REF!,#REF!,#REF!,#REF!,#REF!,#REF!,#REF!,#REF!</definedName>
    <definedName name="__APW_RESTORE_DATA3167__" hidden="1">#REF!,#REF!,#REF!,#REF!,#REF!,#REF!,#REF!,#REF!,#REF!,#REF!,#REF!,#REF!,#REF!,#REF!,#REF!</definedName>
    <definedName name="__APW_RESTORE_DATA3168__" hidden="1">#REF!,#REF!,#REF!,#REF!,#REF!,#REF!,#REF!,#REF!,#REF!,#REF!,#REF!,#REF!,#REF!,#REF!,#REF!</definedName>
    <definedName name="__APW_RESTORE_DATA3169__" hidden="1">#REF!,#REF!,#REF!,#REF!,#REF!,#REF!,#REF!,#REF!,#REF!,#REF!,#REF!,#REF!,#REF!,#REF!,#REF!</definedName>
    <definedName name="__APW_RESTORE_DATA317__" hidden="1">#REF!,#REF!,#REF!,#REF!,#REF!,#REF!,#REF!,#REF!,#REF!,#REF!,#REF!,#REF!,#REF!,#REF!,#REF!</definedName>
    <definedName name="__APW_RESTORE_DATA3170__" hidden="1">#REF!,#REF!,#REF!,#REF!,#REF!,#REF!,#REF!,#REF!,#REF!,#REF!,#REF!,#REF!,#REF!,#REF!,#REF!</definedName>
    <definedName name="__APW_RESTORE_DATA3171__" hidden="1">#REF!,#REF!,#REF!,#REF!,#REF!,#REF!,#REF!,#REF!,#REF!,#REF!,#REF!,#REF!,#REF!,#REF!,#REF!</definedName>
    <definedName name="__APW_RESTORE_DATA3172__" hidden="1">#REF!,#REF!,#REF!,#REF!,#REF!,#REF!,#REF!,#REF!,#REF!,#REF!,#REF!,#REF!,#REF!,#REF!,#REF!</definedName>
    <definedName name="__APW_RESTORE_DATA3173__" hidden="1">#REF!,#REF!,#REF!,#REF!,#REF!,#REF!,#REF!,#REF!,#REF!,#REF!,#REF!,#REF!,#REF!,#REF!,#REF!</definedName>
    <definedName name="__APW_RESTORE_DATA3174__" hidden="1">#REF!,#REF!,#REF!,#REF!,#REF!,#REF!</definedName>
    <definedName name="__APW_RESTORE_DATA3175__" hidden="1">#REF!</definedName>
    <definedName name="__APW_RESTORE_DATA3176__" hidden="1">#REF!</definedName>
    <definedName name="__APW_RESTORE_DATA3177__" hidden="1">#REF!</definedName>
    <definedName name="__APW_RESTORE_DATA3179__" hidden="1">#REF!</definedName>
    <definedName name="__APW_RESTORE_DATA318__" hidden="1">#REF!,#REF!,#REF!,#REF!,#REF!,#REF!,#REF!,#REF!,#REF!,#REF!,#REF!,#REF!,#REF!,#REF!,#REF!</definedName>
    <definedName name="__APW_RESTORE_DATA3180__" hidden="1">#REF!</definedName>
    <definedName name="__APW_RESTORE_DATA3181__" hidden="1">#REF!,#REF!,#REF!,#REF!,#REF!,#REF!,#REF!,#REF!,#REF!,#REF!,#REF!,#REF!,#REF!,#REF!,#REF!,#REF!</definedName>
    <definedName name="__APW_RESTORE_DATA3182__" hidden="1">#REF!,#REF!,#REF!,#REF!,#REF!,#REF!,#REF!,#REF!,#REF!,#REF!,#REF!,#REF!,#REF!,#REF!,#REF!,#REF!</definedName>
    <definedName name="__APW_RESTORE_DATA3183__" hidden="1">#REF!,#REF!,#REF!,#REF!,#REF!,#REF!,#REF!,#REF!,#REF!,#REF!,#REF!,#REF!,#REF!,#REF!,#REF!,#REF!</definedName>
    <definedName name="__APW_RESTORE_DATA3184__" hidden="1">#REF!,#REF!,#REF!,#REF!,#REF!,#REF!,#REF!,#REF!,#REF!,#REF!,#REF!,#REF!,#REF!,#REF!,#REF!,#REF!</definedName>
    <definedName name="__APW_RESTORE_DATA3185__" hidden="1">#REF!,#REF!,#REF!,#REF!,#REF!,#REF!,#REF!,#REF!,#REF!,#REF!,#REF!,#REF!,#REF!,#REF!,#REF!,#REF!</definedName>
    <definedName name="__APW_RESTORE_DATA3186__" hidden="1">#REF!,#REF!,#REF!,#REF!,#REF!,#REF!,#REF!,#REF!,#REF!,#REF!,#REF!,#REF!,#REF!,#REF!,#REF!,#REF!</definedName>
    <definedName name="__APW_RESTORE_DATA3187__" hidden="1">#REF!,#REF!,#REF!,#REF!,#REF!,#REF!,#REF!,#REF!,#REF!,#REF!,#REF!,#REF!,#REF!,#REF!,#REF!</definedName>
    <definedName name="__APW_RESTORE_DATA3188__" hidden="1">#REF!,#REF!,#REF!,#REF!,#REF!,#REF!,#REF!,#REF!,#REF!,#REF!,#REF!,#REF!,#REF!,#REF!,#REF!</definedName>
    <definedName name="__APW_RESTORE_DATA3189__" hidden="1">#REF!,#REF!,#REF!,#REF!,#REF!,#REF!,#REF!,#REF!,#REF!,#REF!,#REF!,#REF!,#REF!,#REF!,#REF!</definedName>
    <definedName name="__APW_RESTORE_DATA319__" hidden="1">#REF!,#REF!,#REF!,#REF!,#REF!,#REF!,#REF!,#REF!,#REF!,#REF!,#REF!,#REF!,#REF!,#REF!,#REF!</definedName>
    <definedName name="__APW_RESTORE_DATA3190__" hidden="1">#REF!,#REF!,#REF!,#REF!,#REF!,#REF!,#REF!,#REF!,#REF!,#REF!,#REF!,#REF!,#REF!,#REF!,#REF!</definedName>
    <definedName name="__APW_RESTORE_DATA3191__" hidden="1">#REF!,#REF!,#REF!,#REF!,#REF!,#REF!,#REF!,#REF!,#REF!,#REF!,#REF!,#REF!,#REF!,#REF!,#REF!</definedName>
    <definedName name="__APW_RESTORE_DATA3192__" hidden="1">#REF!,#REF!,#REF!,#REF!,#REF!,#REF!,#REF!,#REF!,#REF!,#REF!,#REF!,#REF!,#REF!,#REF!,#REF!</definedName>
    <definedName name="__APW_RESTORE_DATA3193__" hidden="1">#REF!,#REF!,#REF!,#REF!,#REF!,#REF!,#REF!,#REF!,#REF!,#REF!,#REF!,#REF!,#REF!,#REF!,#REF!</definedName>
    <definedName name="__APW_RESTORE_DATA3194__" hidden="1">#REF!,#REF!,#REF!,#REF!,#REF!,#REF!,#REF!,#REF!,#REF!,#REF!,#REF!,#REF!,#REF!,#REF!,#REF!</definedName>
    <definedName name="__APW_RESTORE_DATA3195__" hidden="1">#REF!,#REF!,#REF!,#REF!,#REF!,#REF!,#REF!,#REF!,#REF!,#REF!,#REF!,#REF!,#REF!,#REF!,#REF!</definedName>
    <definedName name="__APW_RESTORE_DATA3196__" hidden="1">#REF!,#REF!,#REF!,#REF!,#REF!,#REF!,#REF!,#REF!,#REF!,#REF!,#REF!,#REF!,#REF!,#REF!,#REF!</definedName>
    <definedName name="__APW_RESTORE_DATA3197__" hidden="1">#REF!,#REF!,#REF!,#REF!,#REF!,#REF!,#REF!,#REF!,#REF!,#REF!,#REF!,#REF!,#REF!,#REF!,#REF!</definedName>
    <definedName name="__APW_RESTORE_DATA3198__" hidden="1">#REF!,#REF!,#REF!,#REF!,#REF!,#REF!,#REF!,#REF!,#REF!,#REF!,#REF!,#REF!,#REF!,#REF!,#REF!</definedName>
    <definedName name="__APW_RESTORE_DATA3199__" hidden="1">#REF!,#REF!,#REF!,#REF!,#REF!,#REF!,#REF!,#REF!,#REF!,#REF!,#REF!,#REF!,#REF!,#REF!,#REF!</definedName>
    <definedName name="__APW_RESTORE_DATA32__" hidden="1">#REF!</definedName>
    <definedName name="__APW_RESTORE_DATA320__" hidden="1">#REF!,#REF!,#REF!,#REF!,#REF!,#REF!,#REF!,#REF!,#REF!,#REF!,#REF!,#REF!,#REF!,#REF!,#REF!</definedName>
    <definedName name="__APW_RESTORE_DATA3200__" hidden="1">#REF!,#REF!,#REF!,#REF!,#REF!,#REF!,#REF!,#REF!,#REF!,#REF!,#REF!,#REF!,#REF!,#REF!,#REF!</definedName>
    <definedName name="__APW_RESTORE_DATA3201__" hidden="1">#REF!,#REF!,#REF!,#REF!,#REF!,#REF!,#REF!,#REF!,#REF!,#REF!,#REF!,#REF!,#REF!,#REF!,#REF!</definedName>
    <definedName name="__APW_RESTORE_DATA3202__" hidden="1">#REF!,#REF!,#REF!,#REF!,#REF!,#REF!,#REF!,#REF!,#REF!,#REF!,#REF!,#REF!,#REF!,#REF!,#REF!</definedName>
    <definedName name="__APW_RESTORE_DATA3203__" hidden="1">#REF!,#REF!,#REF!,#REF!,#REF!,#REF!,#REF!,#REF!,#REF!,#REF!,#REF!,#REF!,#REF!,#REF!,#REF!</definedName>
    <definedName name="__APW_RESTORE_DATA3204__" hidden="1">#REF!,#REF!,#REF!,#REF!,#REF!,#REF!,#REF!,#REF!,#REF!,#REF!,#REF!,#REF!,#REF!,#REF!,#REF!</definedName>
    <definedName name="__APW_RESTORE_DATA3205__" hidden="1">#REF!,#REF!,#REF!,#REF!,#REF!,#REF!,#REF!,#REF!,#REF!,#REF!,#REF!,#REF!,#REF!,#REF!,#REF!</definedName>
    <definedName name="__APW_RESTORE_DATA3206__" hidden="1">#REF!,#REF!,#REF!,#REF!,#REF!,#REF!,#REF!,#REF!,#REF!,#REF!,#REF!,#REF!,#REF!,#REF!,#REF!</definedName>
    <definedName name="__APW_RESTORE_DATA3207__" hidden="1">#REF!,#REF!,#REF!,#REF!,#REF!,#REF!,#REF!,#REF!,#REF!,#REF!,#REF!,#REF!,#REF!,#REF!,#REF!</definedName>
    <definedName name="__APW_RESTORE_DATA3208__" hidden="1">#REF!,#REF!,#REF!,#REF!,#REF!,#REF!,#REF!,#REF!,#REF!,#REF!,#REF!,#REF!,#REF!,#REF!,#REF!</definedName>
    <definedName name="__APW_RESTORE_DATA3209__" hidden="1">#REF!,#REF!,#REF!,#REF!,#REF!,#REF!,#REF!,#REF!,#REF!,#REF!,#REF!,#REF!,#REF!,#REF!,#REF!</definedName>
    <definedName name="__APW_RESTORE_DATA321__" hidden="1">#REF!,#REF!,#REF!,#REF!,#REF!,#REF!,#REF!,#REF!,#REF!,#REF!,#REF!,#REF!,#REF!,#REF!,#REF!</definedName>
    <definedName name="__APW_RESTORE_DATA3210__" hidden="1">#REF!,#REF!,#REF!,#REF!,#REF!,#REF!,#REF!,#REF!,#REF!,#REF!,#REF!,#REF!,#REF!,#REF!,#REF!</definedName>
    <definedName name="__APW_RESTORE_DATA3211__" hidden="1">#REF!,#REF!,#REF!,#REF!,#REF!,#REF!,#REF!,#REF!,#REF!,#REF!,#REF!,#REF!,#REF!,#REF!,#REF!</definedName>
    <definedName name="__APW_RESTORE_DATA3212__" hidden="1">#REF!,#REF!,#REF!,#REF!,#REF!,#REF!,#REF!,#REF!,#REF!,#REF!,#REF!,#REF!,#REF!,#REF!,#REF!</definedName>
    <definedName name="__APW_RESTORE_DATA3213__" hidden="1">#REF!,#REF!,#REF!,#REF!,#REF!,#REF!,#REF!,#REF!,#REF!,#REF!,#REF!,#REF!,#REF!,#REF!,#REF!</definedName>
    <definedName name="__APW_RESTORE_DATA3214__" hidden="1">#REF!,#REF!,#REF!,#REF!,#REF!,#REF!,#REF!,#REF!,#REF!,#REF!,#REF!,#REF!,#REF!,#REF!,#REF!</definedName>
    <definedName name="__APW_RESTORE_DATA3215__" hidden="1">#REF!,#REF!,#REF!,#REF!,#REF!,#REF!</definedName>
    <definedName name="__APW_RESTORE_DATA3216__" hidden="1">#REF!,#REF!,#REF!,#REF!,#REF!,#REF!,#REF!,#REF!,#REF!,#REF!,#REF!,#REF!,#REF!,#REF!,#REF!,#REF!</definedName>
    <definedName name="__APW_RESTORE_DATA3217__" hidden="1">#REF!,#REF!,#REF!,#REF!,#REF!,#REF!,#REF!,#REF!,#REF!,#REF!,#REF!,#REF!,#REF!,#REF!,#REF!,#REF!</definedName>
    <definedName name="__APW_RESTORE_DATA3218__" hidden="1">#REF!,#REF!,#REF!,#REF!,#REF!,#REF!,#REF!,#REF!,#REF!,#REF!,#REF!,#REF!,#REF!,#REF!,#REF!,#REF!</definedName>
    <definedName name="__APW_RESTORE_DATA3219__" hidden="1">#REF!,#REF!,#REF!,#REF!,#REF!,#REF!,#REF!,#REF!,#REF!,#REF!,#REF!,#REF!,#REF!,#REF!,#REF!,#REF!</definedName>
    <definedName name="__APW_RESTORE_DATA322__" hidden="1">#REF!,#REF!,#REF!,#REF!,#REF!,#REF!,#REF!,#REF!,#REF!,#REF!,#REF!,#REF!,#REF!,#REF!,#REF!</definedName>
    <definedName name="__APW_RESTORE_DATA3220__" hidden="1">#REF!,#REF!,#REF!,#REF!,#REF!,#REF!,#REF!,#REF!,#REF!,#REF!,#REF!,#REF!,#REF!,#REF!,#REF!,#REF!</definedName>
    <definedName name="__APW_RESTORE_DATA3221__" hidden="1">#REF!,#REF!,#REF!,#REF!,#REF!,#REF!,#REF!,#REF!,#REF!,#REF!,#REF!,#REF!,#REF!,#REF!,#REF!,#REF!</definedName>
    <definedName name="__APW_RESTORE_DATA3222__" hidden="1">#REF!,#REF!,#REF!,#REF!,#REF!,#REF!,#REF!,#REF!,#REF!,#REF!,#REF!,#REF!,#REF!,#REF!,#REF!</definedName>
    <definedName name="__APW_RESTORE_DATA3223__" hidden="1">#REF!,#REF!,#REF!,#REF!,#REF!,#REF!,#REF!,#REF!,#REF!,#REF!,#REF!,#REF!,#REF!,#REF!,#REF!</definedName>
    <definedName name="__APW_RESTORE_DATA3224__" hidden="1">#REF!,#REF!,#REF!,#REF!,#REF!,#REF!,#REF!,#REF!,#REF!,#REF!,#REF!,#REF!,#REF!,#REF!,#REF!</definedName>
    <definedName name="__APW_RESTORE_DATA3225__" hidden="1">#REF!,#REF!,#REF!,#REF!,#REF!,#REF!,#REF!,#REF!,#REF!,#REF!,#REF!,#REF!,#REF!,#REF!,#REF!</definedName>
    <definedName name="__APW_RESTORE_DATA3226__" hidden="1">#REF!,#REF!,#REF!,#REF!,#REF!,#REF!,#REF!,#REF!,#REF!,#REF!,#REF!,#REF!,#REF!,#REF!,#REF!</definedName>
    <definedName name="__APW_RESTORE_DATA3227__" hidden="1">#REF!,#REF!,#REF!,#REF!,#REF!,#REF!,#REF!,#REF!,#REF!,#REF!,#REF!,#REF!,#REF!,#REF!,#REF!</definedName>
    <definedName name="__APW_RESTORE_DATA3228__" hidden="1">#REF!,#REF!,#REF!,#REF!,#REF!,#REF!,#REF!,#REF!,#REF!,#REF!,#REF!,#REF!,#REF!,#REF!,#REF!</definedName>
    <definedName name="__APW_RESTORE_DATA3229__" hidden="1">#REF!,#REF!,#REF!,#REF!,#REF!,#REF!,#REF!,#REF!,#REF!,#REF!,#REF!,#REF!,#REF!,#REF!,#REF!</definedName>
    <definedName name="__APW_RESTORE_DATA323__" hidden="1">#REF!,#REF!,#REF!,#REF!,#REF!,#REF!,#REF!,#REF!,#REF!,#REF!,#REF!,#REF!,#REF!,#REF!,#REF!</definedName>
    <definedName name="__APW_RESTORE_DATA3230__" hidden="1">#REF!,#REF!,#REF!,#REF!,#REF!,#REF!,#REF!,#REF!,#REF!,#REF!,#REF!,#REF!,#REF!,#REF!,#REF!</definedName>
    <definedName name="__APW_RESTORE_DATA3231__" hidden="1">#REF!,#REF!,#REF!,#REF!,#REF!,#REF!,#REF!,#REF!,#REF!,#REF!,#REF!,#REF!,#REF!,#REF!,#REF!</definedName>
    <definedName name="__APW_RESTORE_DATA3232__" hidden="1">#REF!,#REF!,#REF!,#REF!,#REF!,#REF!,#REF!,#REF!,#REF!,#REF!,#REF!,#REF!,#REF!,#REF!,#REF!</definedName>
    <definedName name="__APW_RESTORE_DATA3233__" hidden="1">#REF!,#REF!,#REF!,#REF!,#REF!,#REF!,#REF!,#REF!,#REF!,#REF!,#REF!,#REF!,#REF!,#REF!,#REF!</definedName>
    <definedName name="__APW_RESTORE_DATA3234__" hidden="1">#REF!,#REF!,#REF!,#REF!,#REF!,#REF!,#REF!,#REF!,#REF!,#REF!,#REF!,#REF!,#REF!,#REF!,#REF!</definedName>
    <definedName name="__APW_RESTORE_DATA3235__" hidden="1">#REF!,#REF!,#REF!,#REF!,#REF!,#REF!,#REF!,#REF!,#REF!,#REF!,#REF!,#REF!,#REF!,#REF!,#REF!</definedName>
    <definedName name="__APW_RESTORE_DATA3236__" hidden="1">#REF!,#REF!,#REF!,#REF!,#REF!,#REF!,#REF!,#REF!,#REF!,#REF!,#REF!,#REF!,#REF!,#REF!,#REF!</definedName>
    <definedName name="__APW_RESTORE_DATA3237__" hidden="1">#REF!,#REF!,#REF!,#REF!,#REF!,#REF!,#REF!,#REF!,#REF!,#REF!,#REF!,#REF!,#REF!,#REF!,#REF!</definedName>
    <definedName name="__APW_RESTORE_DATA3238__" hidden="1">#REF!,#REF!,#REF!,#REF!,#REF!,#REF!,#REF!,#REF!,#REF!,#REF!,#REF!,#REF!,#REF!,#REF!,#REF!</definedName>
    <definedName name="__APW_RESTORE_DATA3239__" hidden="1">#REF!,#REF!,#REF!,#REF!,#REF!,#REF!,#REF!,#REF!,#REF!,#REF!,#REF!,#REF!,#REF!,#REF!,#REF!</definedName>
    <definedName name="__APW_RESTORE_DATA324__" hidden="1">#REF!,#REF!,#REF!,#REF!,#REF!,#REF!,#REF!,#REF!,#REF!,#REF!,#REF!,#REF!,#REF!,#REF!,#REF!</definedName>
    <definedName name="__APW_RESTORE_DATA3240__" hidden="1">#REF!,#REF!,#REF!,#REF!,#REF!,#REF!,#REF!,#REF!,#REF!,#REF!,#REF!,#REF!,#REF!,#REF!,#REF!</definedName>
    <definedName name="__APW_RESTORE_DATA3241__" hidden="1">#REF!,#REF!,#REF!,#REF!,#REF!,#REF!,#REF!,#REF!,#REF!,#REF!,#REF!,#REF!,#REF!,#REF!,#REF!</definedName>
    <definedName name="__APW_RESTORE_DATA3242__" hidden="1">#REF!,#REF!,#REF!,#REF!,#REF!,#REF!,#REF!,#REF!,#REF!,#REF!,#REF!,#REF!,#REF!,#REF!,#REF!</definedName>
    <definedName name="__APW_RESTORE_DATA3243__" hidden="1">#REF!,#REF!,#REF!,#REF!,#REF!,#REF!,#REF!,#REF!,#REF!,#REF!,#REF!,#REF!,#REF!,#REF!,#REF!</definedName>
    <definedName name="__APW_RESTORE_DATA3244__" hidden="1">#REF!,#REF!,#REF!,#REF!,#REF!,#REF!,#REF!,#REF!,#REF!,#REF!,#REF!,#REF!,#REF!,#REF!,#REF!</definedName>
    <definedName name="__APW_RESTORE_DATA3245__" hidden="1">#REF!,#REF!,#REF!,#REF!,#REF!,#REF!,#REF!,#REF!,#REF!,#REF!,#REF!,#REF!,#REF!,#REF!,#REF!</definedName>
    <definedName name="__APW_RESTORE_DATA3246__" hidden="1">#REF!,#REF!,#REF!,#REF!,#REF!,#REF!,#REF!,#REF!,#REF!,#REF!,#REF!,#REF!,#REF!,#REF!,#REF!</definedName>
    <definedName name="__APW_RESTORE_DATA3247__" hidden="1">#REF!,#REF!,#REF!,#REF!,#REF!,#REF!,#REF!,#REF!,#REF!,#REF!,#REF!,#REF!,#REF!,#REF!,#REF!</definedName>
    <definedName name="__APW_RESTORE_DATA3248__" hidden="1">#REF!,#REF!,#REF!,#REF!,#REF!,#REF!,#REF!,#REF!,#REF!,#REF!,#REF!,#REF!,#REF!,#REF!,#REF!</definedName>
    <definedName name="__APW_RESTORE_DATA3249__" hidden="1">#REF!,#REF!,#REF!,#REF!,#REF!,#REF!,#REF!,#REF!,#REF!,#REF!,#REF!,#REF!,#REF!,#REF!,#REF!</definedName>
    <definedName name="__APW_RESTORE_DATA325__" hidden="1">#REF!,#REF!,#REF!,#REF!,#REF!,#REF!,#REF!,#REF!,#REF!,#REF!,#REF!,#REF!,#REF!,#REF!,#REF!</definedName>
    <definedName name="__APW_RESTORE_DATA3250__" hidden="1">#REF!,#REF!,#REF!,#REF!,#REF!,#REF!</definedName>
    <definedName name="__APW_RESTORE_DATA3251__" hidden="1">#REF!,#REF!,#REF!,#REF!,#REF!,#REF!,#REF!,#REF!,#REF!,#REF!,#REF!,#REF!,#REF!,#REF!,#REF!,#REF!</definedName>
    <definedName name="__APW_RESTORE_DATA3252__" hidden="1">#REF!,#REF!,#REF!,#REF!,#REF!,#REF!,#REF!,#REF!,#REF!,#REF!,#REF!,#REF!,#REF!,#REF!,#REF!,#REF!</definedName>
    <definedName name="__APW_RESTORE_DATA3253__" hidden="1">#REF!,#REF!,#REF!,#REF!,#REF!,#REF!,#REF!,#REF!,#REF!,#REF!,#REF!,#REF!,#REF!,#REF!,#REF!,#REF!</definedName>
    <definedName name="__APW_RESTORE_DATA3254__" hidden="1">#REF!,#REF!,#REF!,#REF!,#REF!,#REF!,#REF!,#REF!,#REF!,#REF!,#REF!,#REF!,#REF!,#REF!,#REF!,#REF!</definedName>
    <definedName name="__APW_RESTORE_DATA3255__" hidden="1">#REF!,#REF!,#REF!,#REF!,#REF!,#REF!,#REF!,#REF!,#REF!,#REF!,#REF!,#REF!,#REF!,#REF!,#REF!,#REF!</definedName>
    <definedName name="__APW_RESTORE_DATA3256__" hidden="1">#REF!,#REF!,#REF!,#REF!,#REF!,#REF!,#REF!,#REF!,#REF!,#REF!,#REF!,#REF!,#REF!,#REF!,#REF!,#REF!</definedName>
    <definedName name="__APW_RESTORE_DATA3257__" hidden="1">#REF!,#REF!,#REF!,#REF!,#REF!,#REF!,#REF!,#REF!,#REF!,#REF!,#REF!,#REF!,#REF!,#REF!,#REF!</definedName>
    <definedName name="__APW_RESTORE_DATA3258__" hidden="1">#REF!,#REF!,#REF!,#REF!,#REF!,#REF!,#REF!,#REF!,#REF!,#REF!,#REF!,#REF!,#REF!,#REF!,#REF!</definedName>
    <definedName name="__APW_RESTORE_DATA3259__" hidden="1">#REF!,#REF!,#REF!,#REF!,#REF!,#REF!,#REF!,#REF!,#REF!,#REF!,#REF!,#REF!,#REF!,#REF!,#REF!</definedName>
    <definedName name="__APW_RESTORE_DATA326__" hidden="1">#REF!,#REF!,#REF!,#REF!,#REF!,#REF!,#REF!,#REF!,#REF!,#REF!,#REF!,#REF!,#REF!,#REF!,#REF!</definedName>
    <definedName name="__APW_RESTORE_DATA3260__" hidden="1">#REF!,#REF!,#REF!,#REF!,#REF!,#REF!,#REF!,#REF!,#REF!,#REF!,#REF!,#REF!,#REF!,#REF!,#REF!</definedName>
    <definedName name="__APW_RESTORE_DATA3261__" hidden="1">#REF!,#REF!,#REF!,#REF!,#REF!,#REF!,#REF!,#REF!,#REF!,#REF!,#REF!,#REF!,#REF!,#REF!,#REF!</definedName>
    <definedName name="__APW_RESTORE_DATA3262__" hidden="1">#REF!,#REF!,#REF!,#REF!,#REF!,#REF!,#REF!,#REF!,#REF!,#REF!,#REF!,#REF!,#REF!,#REF!,#REF!</definedName>
    <definedName name="__APW_RESTORE_DATA3263__" hidden="1">#REF!,#REF!,#REF!,#REF!,#REF!,#REF!,#REF!,#REF!,#REF!,#REF!,#REF!,#REF!,#REF!,#REF!,#REF!</definedName>
    <definedName name="__APW_RESTORE_DATA3264__" hidden="1">#REF!,#REF!,#REF!,#REF!,#REF!,#REF!,#REF!,#REF!,#REF!,#REF!,#REF!,#REF!,#REF!,#REF!,#REF!</definedName>
    <definedName name="__APW_RESTORE_DATA3265__" hidden="1">#REF!,#REF!,#REF!,#REF!,#REF!,#REF!,#REF!,#REF!,#REF!,#REF!,#REF!,#REF!,#REF!,#REF!,#REF!</definedName>
    <definedName name="__APW_RESTORE_DATA3266__" hidden="1">#REF!,#REF!,#REF!,#REF!,#REF!,#REF!,#REF!,#REF!,#REF!,#REF!,#REF!,#REF!,#REF!,#REF!,#REF!</definedName>
    <definedName name="__APW_RESTORE_DATA3267__" hidden="1">#REF!,#REF!,#REF!,#REF!,#REF!,#REF!,#REF!,#REF!,#REF!,#REF!,#REF!,#REF!,#REF!,#REF!,#REF!</definedName>
    <definedName name="__APW_RESTORE_DATA3268__" hidden="1">#REF!,#REF!,#REF!,#REF!,#REF!,#REF!,#REF!,#REF!,#REF!,#REF!,#REF!,#REF!,#REF!,#REF!,#REF!</definedName>
    <definedName name="__APW_RESTORE_DATA3269__" hidden="1">#REF!,#REF!,#REF!,#REF!,#REF!,#REF!,#REF!,#REF!,#REF!,#REF!,#REF!,#REF!,#REF!,#REF!,#REF!</definedName>
    <definedName name="__APW_RESTORE_DATA327__" hidden="1">#REF!,#REF!</definedName>
    <definedName name="__APW_RESTORE_DATA3270__" hidden="1">#REF!,#REF!,#REF!,#REF!,#REF!,#REF!,#REF!,#REF!,#REF!,#REF!,#REF!,#REF!,#REF!,#REF!,#REF!</definedName>
    <definedName name="__APW_RESTORE_DATA3271__" hidden="1">#REF!,#REF!,#REF!,#REF!,#REF!,#REF!,#REF!,#REF!,#REF!,#REF!,#REF!,#REF!,#REF!,#REF!,#REF!</definedName>
    <definedName name="__APW_RESTORE_DATA3272__" hidden="1">#REF!,#REF!,#REF!,#REF!,#REF!,#REF!,#REF!,#REF!,#REF!,#REF!,#REF!,#REF!,#REF!,#REF!,#REF!</definedName>
    <definedName name="__APW_RESTORE_DATA3273__" hidden="1">#REF!,#REF!,#REF!,#REF!,#REF!,#REF!,#REF!,#REF!,#REF!,#REF!,#REF!,#REF!,#REF!,#REF!,#REF!</definedName>
    <definedName name="__APW_RESTORE_DATA3274__" hidden="1">#REF!,#REF!,#REF!,#REF!,#REF!,#REF!,#REF!,#REF!,#REF!,#REF!,#REF!,#REF!,#REF!,#REF!,#REF!</definedName>
    <definedName name="__APW_RESTORE_DATA3275__" hidden="1">#REF!,#REF!,#REF!,#REF!,#REF!,#REF!,#REF!,#REF!,#REF!,#REF!,#REF!,#REF!,#REF!,#REF!,#REF!</definedName>
    <definedName name="__APW_RESTORE_DATA3276__" hidden="1">#REF!,#REF!,#REF!,#REF!,#REF!,#REF!,#REF!,#REF!,#REF!,#REF!,#REF!,#REF!,#REF!,#REF!,#REF!</definedName>
    <definedName name="__APW_RESTORE_DATA3277__" hidden="1">#REF!,#REF!,#REF!,#REF!,#REF!,#REF!,#REF!,#REF!,#REF!,#REF!,#REF!,#REF!,#REF!,#REF!,#REF!</definedName>
    <definedName name="__APW_RESTORE_DATA3278__" hidden="1">#REF!,#REF!,#REF!,#REF!,#REF!,#REF!,#REF!,#REF!,#REF!,#REF!,#REF!,#REF!,#REF!,#REF!,#REF!</definedName>
    <definedName name="__APW_RESTORE_DATA3279__" hidden="1">#REF!,#REF!,#REF!,#REF!,#REF!,#REF!,#REF!,#REF!,#REF!,#REF!,#REF!,#REF!,#REF!,#REF!,#REF!</definedName>
    <definedName name="__APW_RESTORE_DATA328__" hidden="1">#REF!,#REF!,#REF!,#REF!,#REF!,#REF!,#REF!,#REF!,#REF!,#REF!,#REF!,#REF!,#REF!,#REF!,#REF!,#REF!</definedName>
    <definedName name="__APW_RESTORE_DATA3280__" hidden="1">#REF!,#REF!,#REF!,#REF!,#REF!,#REF!,#REF!,#REF!,#REF!,#REF!,#REF!,#REF!,#REF!,#REF!,#REF!</definedName>
    <definedName name="__APW_RESTORE_DATA3281__" hidden="1">#REF!,#REF!,#REF!,#REF!,#REF!,#REF!,#REF!,#REF!,#REF!,#REF!,#REF!,#REF!,#REF!,#REF!,#REF!</definedName>
    <definedName name="__APW_RESTORE_DATA3282__" hidden="1">#REF!,#REF!,#REF!,#REF!,#REF!,#REF!,#REF!,#REF!,#REF!,#REF!,#REF!,#REF!,#REF!,#REF!,#REF!</definedName>
    <definedName name="__APW_RESTORE_DATA3283__" hidden="1">#REF!,#REF!,#REF!,#REF!,#REF!,#REF!,#REF!,#REF!,#REF!,#REF!,#REF!,#REF!,#REF!,#REF!,#REF!</definedName>
    <definedName name="__APW_RESTORE_DATA3284__" hidden="1">#REF!,#REF!,#REF!,#REF!,#REF!,#REF!,#REF!,#REF!,#REF!,#REF!,#REF!,#REF!,#REF!,#REF!,#REF!</definedName>
    <definedName name="__APW_RESTORE_DATA3285__" hidden="1">#REF!,#REF!,#REF!,#REF!,#REF!,#REF!</definedName>
    <definedName name="__APW_RESTORE_DATA3286__" hidden="1">#REF!,#REF!,#REF!,#REF!,#REF!,#REF!,#REF!,#REF!,#REF!,#REF!,#REF!,#REF!,#REF!,#REF!,#REF!,#REF!</definedName>
    <definedName name="__APW_RESTORE_DATA3287__" hidden="1">#REF!,#REF!,#REF!,#REF!,#REF!,#REF!,#REF!,#REF!,#REF!,#REF!,#REF!,#REF!,#REF!,#REF!,#REF!,#REF!</definedName>
    <definedName name="__APW_RESTORE_DATA3288__" hidden="1">#REF!,#REF!,#REF!,#REF!,#REF!,#REF!,#REF!,#REF!,#REF!,#REF!,#REF!,#REF!,#REF!,#REF!,#REF!,#REF!</definedName>
    <definedName name="__APW_RESTORE_DATA3289__" hidden="1">#REF!,#REF!,#REF!,#REF!,#REF!,#REF!,#REF!,#REF!,#REF!,#REF!,#REF!,#REF!,#REF!,#REF!,#REF!,#REF!</definedName>
    <definedName name="__APW_RESTORE_DATA329__" hidden="1">#REF!,#REF!,#REF!,#REF!,#REF!,#REF!,#REF!,#REF!,#REF!,#REF!,#REF!,#REF!,#REF!,#REF!,#REF!,#REF!</definedName>
    <definedName name="__APW_RESTORE_DATA3290__" hidden="1">#REF!,#REF!,#REF!,#REF!,#REF!,#REF!,#REF!,#REF!,#REF!,#REF!,#REF!,#REF!,#REF!,#REF!,#REF!,#REF!</definedName>
    <definedName name="__APW_RESTORE_DATA3291__" hidden="1">#REF!,#REF!,#REF!,#REF!,#REF!,#REF!,#REF!,#REF!,#REF!,#REF!,#REF!,#REF!,#REF!,#REF!,#REF!,#REF!</definedName>
    <definedName name="__APW_RESTORE_DATA3292__" hidden="1">#REF!,#REF!,#REF!,#REF!,#REF!,#REF!,#REF!,#REF!,#REF!,#REF!,#REF!,#REF!,#REF!,#REF!,#REF!</definedName>
    <definedName name="__APW_RESTORE_DATA3293__" hidden="1">#REF!,#REF!,#REF!,#REF!,#REF!,#REF!,#REF!,#REF!,#REF!,#REF!,#REF!,#REF!,#REF!,#REF!,#REF!</definedName>
    <definedName name="__APW_RESTORE_DATA3294__" hidden="1">#REF!,#REF!,#REF!,#REF!,#REF!,#REF!,#REF!,#REF!,#REF!,#REF!,#REF!,#REF!,#REF!,#REF!,#REF!</definedName>
    <definedName name="__APW_RESTORE_DATA3295__" hidden="1">#REF!,#REF!,#REF!,#REF!,#REF!,#REF!,#REF!,#REF!,#REF!,#REF!,#REF!,#REF!,#REF!,#REF!,#REF!</definedName>
    <definedName name="__APW_RESTORE_DATA3296__" hidden="1">#REF!,#REF!,#REF!,#REF!,#REF!,#REF!,#REF!,#REF!,#REF!,#REF!,#REF!,#REF!,#REF!,#REF!,#REF!</definedName>
    <definedName name="__APW_RESTORE_DATA3297__" hidden="1">#REF!,#REF!,#REF!,#REF!,#REF!,#REF!,#REF!,#REF!,#REF!,#REF!,#REF!,#REF!,#REF!,#REF!,#REF!</definedName>
    <definedName name="__APW_RESTORE_DATA3298__" hidden="1">#REF!,#REF!,#REF!,#REF!,#REF!,#REF!,#REF!,#REF!,#REF!,#REF!,#REF!,#REF!,#REF!,#REF!,#REF!</definedName>
    <definedName name="__APW_RESTORE_DATA3299__" hidden="1">#REF!,#REF!,#REF!,#REF!,#REF!,#REF!,#REF!,#REF!,#REF!,#REF!,#REF!,#REF!,#REF!,#REF!,#REF!</definedName>
    <definedName name="__APW_RESTORE_DATA33__" hidden="1">#REF!</definedName>
    <definedName name="__APW_RESTORE_DATA330__" hidden="1">#REF!,#REF!,#REF!,#REF!,#REF!,#REF!,#REF!,#REF!,#REF!,#REF!,#REF!,#REF!,#REF!,#REF!,#REF!,#REF!</definedName>
    <definedName name="__APW_RESTORE_DATA3300__" hidden="1">#REF!,#REF!,#REF!,#REF!,#REF!,#REF!,#REF!,#REF!,#REF!,#REF!,#REF!,#REF!,#REF!,#REF!,#REF!</definedName>
    <definedName name="__APW_RESTORE_DATA3301__" hidden="1">#REF!,#REF!,#REF!,#REF!,#REF!,#REF!,#REF!,#REF!,#REF!,#REF!,#REF!,#REF!,#REF!,#REF!,#REF!</definedName>
    <definedName name="__APW_RESTORE_DATA3302__" hidden="1">#REF!,#REF!,#REF!,#REF!,#REF!,#REF!,#REF!,#REF!,#REF!,#REF!,#REF!,#REF!,#REF!,#REF!,#REF!</definedName>
    <definedName name="__APW_RESTORE_DATA3303__" hidden="1">#REF!,#REF!,#REF!,#REF!,#REF!,#REF!,#REF!,#REF!,#REF!,#REF!,#REF!,#REF!,#REF!,#REF!,#REF!</definedName>
    <definedName name="__APW_RESTORE_DATA3304__" hidden="1">#REF!,#REF!,#REF!,#REF!,#REF!,#REF!,#REF!,#REF!,#REF!,#REF!,#REF!,#REF!,#REF!,#REF!,#REF!</definedName>
    <definedName name="__APW_RESTORE_DATA3305__" hidden="1">#REF!,#REF!,#REF!,#REF!,#REF!,#REF!,#REF!,#REF!,#REF!,#REF!,#REF!,#REF!,#REF!,#REF!,#REF!</definedName>
    <definedName name="__APW_RESTORE_DATA3306__" hidden="1">#REF!,#REF!,#REF!,#REF!,#REF!,#REF!,#REF!,#REF!,#REF!,#REF!,#REF!,#REF!,#REF!,#REF!,#REF!</definedName>
    <definedName name="__APW_RESTORE_DATA3307__" hidden="1">#REF!,#REF!,#REF!,#REF!,#REF!,#REF!,#REF!,#REF!,#REF!,#REF!,#REF!,#REF!,#REF!,#REF!,#REF!</definedName>
    <definedName name="__APW_RESTORE_DATA3308__" hidden="1">#REF!,#REF!,#REF!,#REF!,#REF!,#REF!,#REF!,#REF!,#REF!,#REF!,#REF!,#REF!,#REF!,#REF!,#REF!</definedName>
    <definedName name="__APW_RESTORE_DATA3309__" hidden="1">#REF!,#REF!,#REF!,#REF!,#REF!,#REF!,#REF!,#REF!,#REF!,#REF!,#REF!,#REF!,#REF!,#REF!,#REF!</definedName>
    <definedName name="__APW_RESTORE_DATA331__" hidden="1">#REF!,#REF!,#REF!,#REF!,#REF!,#REF!,#REF!,#REF!,#REF!,#REF!,#REF!,#REF!,#REF!,#REF!,#REF!,#REF!</definedName>
    <definedName name="__APW_RESTORE_DATA3310__" hidden="1">#REF!,#REF!,#REF!,#REF!,#REF!,#REF!,#REF!,#REF!,#REF!,#REF!,#REF!,#REF!,#REF!,#REF!,#REF!</definedName>
    <definedName name="__APW_RESTORE_DATA3311__" hidden="1">#REF!,#REF!,#REF!,#REF!,#REF!,#REF!,#REF!,#REF!,#REF!,#REF!,#REF!,#REF!,#REF!,#REF!,#REF!</definedName>
    <definedName name="__APW_RESTORE_DATA3312__" hidden="1">#REF!,#REF!,#REF!,#REF!,#REF!,#REF!,#REF!,#REF!,#REF!,#REF!,#REF!,#REF!,#REF!,#REF!,#REF!</definedName>
    <definedName name="__APW_RESTORE_DATA3313__" hidden="1">#REF!,#REF!,#REF!,#REF!,#REF!,#REF!,#REF!,#REF!,#REF!,#REF!,#REF!,#REF!,#REF!,#REF!,#REF!</definedName>
    <definedName name="__APW_RESTORE_DATA3314__" hidden="1">#REF!,#REF!,#REF!,#REF!,#REF!,#REF!,#REF!,#REF!,#REF!,#REF!,#REF!,#REF!,#REF!,#REF!,#REF!</definedName>
    <definedName name="__APW_RESTORE_DATA3315__" hidden="1">#REF!,#REF!,#REF!,#REF!,#REF!,#REF!,#REF!,#REF!,#REF!,#REF!,#REF!,#REF!,#REF!,#REF!,#REF!</definedName>
    <definedName name="__APW_RESTORE_DATA3316__" hidden="1">#REF!,#REF!,#REF!,#REF!,#REF!,#REF!,#REF!,#REF!,#REF!,#REF!,#REF!,#REF!,#REF!,#REF!,#REF!</definedName>
    <definedName name="__APW_RESTORE_DATA3317__" hidden="1">#REF!,#REF!,#REF!,#REF!,#REF!,#REF!,#REF!,#REF!,#REF!,#REF!,#REF!,#REF!,#REF!,#REF!,#REF!</definedName>
    <definedName name="__APW_RESTORE_DATA3318__" hidden="1">#REF!,#REF!,#REF!,#REF!,#REF!,#REF!,#REF!,#REF!,#REF!,#REF!,#REF!,#REF!,#REF!,#REF!,#REF!</definedName>
    <definedName name="__APW_RESTORE_DATA3319__" hidden="1">#REF!,#REF!,#REF!,#REF!,#REF!,#REF!,#REF!,#REF!,#REF!,#REF!,#REF!,#REF!,#REF!,#REF!,#REF!</definedName>
    <definedName name="__APW_RESTORE_DATA332__" hidden="1">#REF!,#REF!</definedName>
    <definedName name="__APW_RESTORE_DATA3320__" hidden="1">#REF!,#REF!,#REF!,#REF!,#REF!,#REF!</definedName>
    <definedName name="__APW_RESTORE_DATA333__" hidden="1">#REF!,#REF!,#REF!,#REF!,#REF!,#REF!,#REF!,#REF!,#REF!,#REF!,#REF!,#REF!,#REF!,#REF!,#REF!,#REF!</definedName>
    <definedName name="__APW_RESTORE_DATA334__" hidden="1">#REF!,#REF!,#REF!,#REF!,#REF!,#REF!,#REF!,#REF!,#REF!,#REF!,#REF!,#REF!,#REF!,#REF!,#REF!</definedName>
    <definedName name="__APW_RESTORE_DATA335__" hidden="1">#REF!,#REF!,#REF!,#REF!,#REF!,#REF!,#REF!,#REF!,#REF!,#REF!,#REF!,#REF!,#REF!,#REF!,#REF!</definedName>
    <definedName name="__APW_RESTORE_DATA336__" hidden="1">#REF!,#REF!,#REF!,#REF!,#REF!,#REF!,#REF!,#REF!,#REF!,#REF!,#REF!,#REF!,#REF!,#REF!,#REF!</definedName>
    <definedName name="__APW_RESTORE_DATA337__" hidden="1">#REF!,#REF!</definedName>
    <definedName name="__APW_RESTORE_DATA338__" hidden="1">#REF!,#REF!,#REF!,#REF!,#REF!,#REF!,#REF!,#REF!,#REF!,#REF!,#REF!,#REF!,#REF!,#REF!,#REF!</definedName>
    <definedName name="__APW_RESTORE_DATA339__" hidden="1">#REF!,#REF!,#REF!,#REF!,#REF!,#REF!,#REF!,#REF!,#REF!,#REF!,#REF!,#REF!,#REF!,#REF!,#REF!</definedName>
    <definedName name="__APW_RESTORE_DATA34__" hidden="1">#REF!,#REF!,#REF!,#REF!,#REF!,#REF!,#REF!,#REF!,#REF!,#REF!,#REF!,#REF!,#REF!,#REF!,#REF!,#REF!</definedName>
    <definedName name="__APW_RESTORE_DATA340__" hidden="1">#REF!,#REF!,#REF!,#REF!,#REF!,#REF!,#REF!,#REF!,#REF!,#REF!,#REF!,#REF!,#REF!,#REF!,#REF!</definedName>
    <definedName name="__APW_RESTORE_DATA341__" hidden="1">#REF!,#REF!,#REF!,#REF!,#REF!,#REF!,#REF!,#REF!,#REF!,#REF!,#REF!,#REF!,#REF!,#REF!,#REF!</definedName>
    <definedName name="__APW_RESTORE_DATA342__" hidden="1">#REF!,#REF!,#REF!,#REF!,#REF!,#REF!,#REF!,#REF!,#REF!,#REF!,#REF!,#REF!,#REF!,#REF!,#REF!</definedName>
    <definedName name="__APW_RESTORE_DATA343__" hidden="1">#REF!,#REF!,#REF!,#REF!,#REF!,#REF!,#REF!,#REF!,#REF!,#REF!,#REF!,#REF!,#REF!,#REF!,#REF!</definedName>
    <definedName name="__APW_RESTORE_DATA344__" hidden="1">#REF!,#REF!,#REF!,#REF!,#REF!,#REF!,#REF!,#REF!,#REF!,#REF!,#REF!,#REF!,#REF!,#REF!,#REF!</definedName>
    <definedName name="__APW_RESTORE_DATA345__" hidden="1">#REF!,#REF!,#REF!,#REF!,#REF!,#REF!,#REF!,#REF!,#REF!,#REF!,#REF!,#REF!,#REF!,#REF!,#REF!</definedName>
    <definedName name="__APW_RESTORE_DATA346__" hidden="1">#REF!,#REF!,#REF!,#REF!,#REF!,#REF!,#REF!,#REF!,#REF!,#REF!,#REF!,#REF!,#REF!,#REF!,#REF!</definedName>
    <definedName name="__APW_RESTORE_DATA347__" hidden="1">#REF!,#REF!,#REF!,#REF!,#REF!,#REF!,#REF!,#REF!,#REF!,#REF!,#REF!,#REF!,#REF!,#REF!,#REF!</definedName>
    <definedName name="__APW_RESTORE_DATA348__" hidden="1">#REF!,#REF!,#REF!,#REF!,#REF!,#REF!,#REF!,#REF!,#REF!,#REF!,#REF!,#REF!,#REF!,#REF!,#REF!</definedName>
    <definedName name="__APW_RESTORE_DATA349__" hidden="1">#REF!,#REF!,#REF!,#REF!,#REF!,#REF!,#REF!,#REF!,#REF!,#REF!,#REF!,#REF!,#REF!,#REF!,#REF!</definedName>
    <definedName name="__APW_RESTORE_DATA35__" hidden="1">#REF!,#REF!,#REF!,#REF!,#REF!,#REF!,#REF!,#REF!,#REF!,#REF!,#REF!,#REF!,#REF!,#REF!,#REF!</definedName>
    <definedName name="__APW_RESTORE_DATA350__" hidden="1">#REF!,#REF!,#REF!,#REF!,#REF!,#REF!,#REF!,#REF!,#REF!,#REF!,#REF!,#REF!,#REF!,#REF!,#REF!</definedName>
    <definedName name="__APW_RESTORE_DATA351__" hidden="1">#REF!,#REF!,#REF!,#REF!,#REF!,#REF!,#REF!,#REF!,#REF!,#REF!,#REF!,#REF!,#REF!,#REF!,#REF!</definedName>
    <definedName name="__APW_RESTORE_DATA352__" hidden="1">#REF!,#REF!</definedName>
    <definedName name="__APW_RESTORE_DATA353__" hidden="1">#REF!,#REF!</definedName>
    <definedName name="__APW_RESTORE_DATA354__" hidden="1">#REF!,#REF!,#REF!,#REF!,#REF!,#REF!,#REF!,#REF!,#REF!,#REF!,#REF!,#REF!,#REF!,#REF!,#REF!</definedName>
    <definedName name="__APW_RESTORE_DATA355__" hidden="1">#REF!,#REF!,#REF!,#REF!,#REF!,#REF!,#REF!,#REF!,#REF!,#REF!,#REF!,#REF!,#REF!,#REF!,#REF!</definedName>
    <definedName name="__APW_RESTORE_DATA356__" hidden="1">#REF!,#REF!,#REF!,#REF!,#REF!,#REF!,#REF!,#REF!,#REF!,#REF!,#REF!,#REF!,#REF!,#REF!,#REF!</definedName>
    <definedName name="__APW_RESTORE_DATA357__" hidden="1">#REF!,#REF!,#REF!,#REF!,#REF!,#REF!,#REF!,#REF!,#REF!,#REF!,#REF!,#REF!,#REF!,#REF!,#REF!</definedName>
    <definedName name="__APW_RESTORE_DATA358__" hidden="1">#REF!,#REF!,#REF!,#REF!,#REF!,#REF!,#REF!,#REF!,#REF!,#REF!,#REF!,#REF!,#REF!,#REF!,#REF!</definedName>
    <definedName name="__APW_RESTORE_DATA359__" hidden="1">#REF!,#REF!,#REF!,#REF!,#REF!,#REF!,#REF!,#REF!,#REF!,#REF!,#REF!,#REF!,#REF!,#REF!,#REF!</definedName>
    <definedName name="__APW_RESTORE_DATA36__" hidden="1">#REF!,#REF!,#REF!,#REF!,#REF!,#REF!,#REF!,#REF!,#REF!,#REF!,#REF!,#REF!,#REF!,#REF!,#REF!,#REF!</definedName>
    <definedName name="__APW_RESTORE_DATA360__" hidden="1">#REF!,#REF!,#REF!,#REF!,#REF!,#REF!,#REF!,#REF!,#REF!,#REF!,#REF!,#REF!,#REF!,#REF!,#REF!</definedName>
    <definedName name="__APW_RESTORE_DATA361__" hidden="1">#REF!,#REF!,#REF!,#REF!,#REF!,#REF!,#REF!,#REF!,#REF!,#REF!,#REF!,#REF!,#REF!,#REF!,#REF!</definedName>
    <definedName name="__APW_RESTORE_DATA362__" hidden="1">#REF!,#REF!,#REF!,#REF!,#REF!,#REF!</definedName>
    <definedName name="__APW_RESTORE_DATA363__" hidden="1">#REF!,#REF!,#REF!,#REF!,#REF!,#REF!,#REF!,#REF!,#REF!,#REF!,#REF!,#REF!,#REF!,#REF!,#REF!,#REF!</definedName>
    <definedName name="__APW_RESTORE_DATA364__" hidden="1">#REF!,#REF!,#REF!,#REF!,#REF!,#REF!,#REF!,#REF!,#REF!,#REF!,#REF!,#REF!,#REF!,#REF!,#REF!,#REF!</definedName>
    <definedName name="__APW_RESTORE_DATA365__" hidden="1">#REF!,#REF!,#REF!,#REF!,#REF!,#REF!,#REF!,#REF!,#REF!,#REF!,#REF!,#REF!,#REF!,#REF!,#REF!,#REF!</definedName>
    <definedName name="__APW_RESTORE_DATA366__" hidden="1">#REF!,#REF!</definedName>
    <definedName name="__APW_RESTORE_DATA367__" hidden="1">#REF!,#REF!,#REF!,#REF!,#REF!,#REF!,#REF!,#REF!,#REF!,#REF!,#REF!,#REF!,#REF!,#REF!,#REF!,#REF!</definedName>
    <definedName name="__APW_RESTORE_DATA368__" hidden="1">#REF!,#REF!,#REF!,#REF!,#REF!,#REF!,#REF!,#REF!,#REF!,#REF!,#REF!,#REF!,#REF!,#REF!,#REF!,#REF!</definedName>
    <definedName name="__APW_RESTORE_DATA369__" hidden="1">#REF!,#REF!,#REF!,#REF!,#REF!,#REF!,#REF!,#REF!,#REF!,#REF!,#REF!,#REF!,#REF!,#REF!,#REF!</definedName>
    <definedName name="__APW_RESTORE_DATA37__" hidden="1">#REF!,#REF!,#REF!,#REF!,#REF!,#REF!,#REF!,#REF!,#REF!,#REF!,#REF!,#REF!,#REF!,#REF!,#REF!</definedName>
    <definedName name="__APW_RESTORE_DATA370__" hidden="1">#REF!,#REF!,#REF!,#REF!,#REF!,#REF!,#REF!,#REF!,#REF!,#REF!,#REF!,#REF!,#REF!,#REF!,#REF!</definedName>
    <definedName name="__APW_RESTORE_DATA371__" hidden="1">#REF!,#REF!</definedName>
    <definedName name="__APW_RESTORE_DATA372__" hidden="1">#REF!,#REF!,#REF!,#REF!,#REF!,#REF!,#REF!,#REF!,#REF!,#REF!,#REF!,#REF!,#REF!,#REF!,#REF!</definedName>
    <definedName name="__APW_RESTORE_DATA373__" hidden="1">#REF!,#REF!,#REF!,#REF!,#REF!,#REF!,#REF!,#REF!,#REF!,#REF!,#REF!,#REF!,#REF!,#REF!,#REF!</definedName>
    <definedName name="__APW_RESTORE_DATA374__" hidden="1">#REF!,#REF!,#REF!,#REF!,#REF!,#REF!,#REF!,#REF!,#REF!,#REF!,#REF!,#REF!,#REF!,#REF!,#REF!</definedName>
    <definedName name="__APW_RESTORE_DATA375__" hidden="1">#REF!,#REF!,#REF!,#REF!,#REF!,#REF!,#REF!,#REF!,#REF!,#REF!,#REF!,#REF!,#REF!,#REF!,#REF!</definedName>
    <definedName name="__APW_RESTORE_DATA376__" hidden="1">#REF!,#REF!</definedName>
    <definedName name="__APW_RESTORE_DATA377__" hidden="1">#REF!,#REF!,#REF!,#REF!,#REF!,#REF!,#REF!,#REF!,#REF!,#REF!,#REF!,#REF!,#REF!,#REF!,#REF!</definedName>
    <definedName name="__APW_RESTORE_DATA378__" hidden="1">#REF!,#REF!,#REF!,#REF!,#REF!,#REF!,#REF!,#REF!,#REF!,#REF!,#REF!,#REF!,#REF!,#REF!,#REF!</definedName>
    <definedName name="__APW_RESTORE_DATA379__" hidden="1">#REF!,#REF!,#REF!,#REF!,#REF!,#REF!,#REF!,#REF!,#REF!,#REF!,#REF!,#REF!,#REF!,#REF!,#REF!</definedName>
    <definedName name="__APW_RESTORE_DATA38__" hidden="1">#REF!,#REF!,#REF!,#REF!,#REF!,#REF!,#REF!,#REF!,#REF!,#REF!,#REF!,#REF!,#REF!,#REF!,#REF!</definedName>
    <definedName name="__APW_RESTORE_DATA380__" hidden="1">#REF!,#REF!,#REF!,#REF!,#REF!,#REF!,#REF!,#REF!,#REF!,#REF!,#REF!,#REF!,#REF!,#REF!,#REF!</definedName>
    <definedName name="__APW_RESTORE_DATA381__" hidden="1">#REF!,#REF!,#REF!,#REF!,#REF!,#REF!,#REF!,#REF!,#REF!,#REF!,#REF!,#REF!,#REF!,#REF!,#REF!</definedName>
    <definedName name="__APW_RESTORE_DATA382__" hidden="1">#REF!,#REF!,#REF!,#REF!,#REF!,#REF!,#REF!,#REF!,#REF!,#REF!,#REF!,#REF!,#REF!,#REF!,#REF!</definedName>
    <definedName name="__APW_RESTORE_DATA383__" hidden="1">#REF!,#REF!,#REF!,#REF!,#REF!,#REF!,#REF!,#REF!,#REF!,#REF!,#REF!,#REF!,#REF!,#REF!,#REF!</definedName>
    <definedName name="__APW_RESTORE_DATA384__" hidden="1">#REF!,#REF!,#REF!,#REF!,#REF!,#REF!,#REF!,#REF!,#REF!,#REF!,#REF!,#REF!,#REF!,#REF!,#REF!</definedName>
    <definedName name="__APW_RESTORE_DATA385__" hidden="1">#REF!,#REF!,#REF!,#REF!,#REF!,#REF!,#REF!,#REF!,#REF!,#REF!,#REF!,#REF!,#REF!,#REF!,#REF!</definedName>
    <definedName name="__APW_RESTORE_DATA386__" hidden="1">#REF!,#REF!,#REF!,#REF!,#REF!,#REF!,#REF!,#REF!,#REF!,#REF!,#REF!,#REF!,#REF!,#REF!,#REF!</definedName>
    <definedName name="__APW_RESTORE_DATA387__" hidden="1">#REF!,#REF!,#REF!,#REF!,#REF!,#REF!,#REF!,#REF!,#REF!,#REF!,#REF!,#REF!,#REF!,#REF!,#REF!</definedName>
    <definedName name="__APW_RESTORE_DATA388__" hidden="1">#REF!,#REF!,#REF!,#REF!,#REF!,#REF!,#REF!,#REF!,#REF!,#REF!,#REF!,#REF!,#REF!,#REF!,#REF!</definedName>
    <definedName name="__APW_RESTORE_DATA389__" hidden="1">#REF!,#REF!,#REF!,#REF!,#REF!,#REF!,#REF!,#REF!,#REF!,#REF!,#REF!,#REF!,#REF!,#REF!,#REF!</definedName>
    <definedName name="__APW_RESTORE_DATA39__" hidden="1">#REF!</definedName>
    <definedName name="__APW_RESTORE_DATA390__" hidden="1">#REF!,#REF!,#REF!,#REF!,#REF!,#REF!,#REF!,#REF!,#REF!,#REF!,#REF!,#REF!,#REF!,#REF!,#REF!</definedName>
    <definedName name="__APW_RESTORE_DATA391__" hidden="1">#REF!,#REF!</definedName>
    <definedName name="__APW_RESTORE_DATA392__" hidden="1">#REF!,#REF!</definedName>
    <definedName name="__APW_RESTORE_DATA393__" hidden="1">#REF!,#REF!,#REF!,#REF!,#REF!,#REF!,#REF!,#REF!,#REF!,#REF!,#REF!,#REF!,#REF!,#REF!,#REF!</definedName>
    <definedName name="__APW_RESTORE_DATA394__" hidden="1">#REF!,#REF!,#REF!,#REF!,#REF!,#REF!,#REF!,#REF!,#REF!,#REF!,#REF!,#REF!,#REF!,#REF!,#REF!</definedName>
    <definedName name="__APW_RESTORE_DATA395__" hidden="1">#REF!,#REF!,#REF!,#REF!,#REF!,#REF!,#REF!,#REF!,#REF!,#REF!,#REF!,#REF!,#REF!,#REF!,#REF!</definedName>
    <definedName name="__APW_RESTORE_DATA396__" hidden="1">#REF!,#REF!,#REF!,#REF!,#REF!,#REF!,#REF!,#REF!,#REF!,#REF!,#REF!,#REF!,#REF!,#REF!,#REF!</definedName>
    <definedName name="__APW_RESTORE_DATA397__" hidden="1">#REF!,#REF!,#REF!,#REF!,#REF!,#REF!</definedName>
    <definedName name="__APW_RESTORE_DATA398__" hidden="1">#REF!,#REF!,#REF!,#REF!,#REF!,#REF!,#REF!,#REF!,#REF!,#REF!,#REF!,#REF!,#REF!,#REF!,#REF!,#REF!</definedName>
    <definedName name="__APW_RESTORE_DATA399__" hidden="1">#REF!,#REF!,#REF!,#REF!,#REF!,#REF!,#REF!,#REF!,#REF!,#REF!,#REF!,#REF!,#REF!,#REF!,#REF!,#REF!</definedName>
    <definedName name="__APW_RESTORE_DATA4__" hidden="1">#REF!</definedName>
    <definedName name="__APW_RESTORE_DATA40__" hidden="1">#REF!</definedName>
    <definedName name="__APW_RESTORE_DATA400__" hidden="1">#REF!,#REF!,#REF!,#REF!,#REF!,#REF!,#REF!,#REF!,#REF!,#REF!,#REF!,#REF!,#REF!,#REF!,#REF!,#REF!</definedName>
    <definedName name="__APW_RESTORE_DATA401__" hidden="1">#REF!,#REF!,#REF!,#REF!,#REF!,#REF!,#REF!,#REF!,#REF!,#REF!,#REF!,#REF!,#REF!,#REF!,#REF!,#REF!</definedName>
    <definedName name="__APW_RESTORE_DATA402__" hidden="1">#REF!,#REF!,#REF!,#REF!,#REF!,#REF!,#REF!,#REF!,#REF!,#REF!,#REF!,#REF!,#REF!,#REF!,#REF!,#REF!</definedName>
    <definedName name="__APW_RESTORE_DATA403__" hidden="1">#REF!,#REF!,#REF!,#REF!,#REF!,#REF!,#REF!,#REF!,#REF!,#REF!,#REF!,#REF!,#REF!,#REF!,#REF!,#REF!</definedName>
    <definedName name="__APW_RESTORE_DATA404__" hidden="1">#REF!,#REF!,#REF!,#REF!,#REF!,#REF!,#REF!,#REF!,#REF!,#REF!,#REF!,#REF!,#REF!,#REF!,#REF!</definedName>
    <definedName name="__APW_RESTORE_DATA405__" hidden="1">#REF!,#REF!</definedName>
    <definedName name="__APW_RESTORE_DATA406__" hidden="1">#REF!,#REF!,#REF!,#REF!,#REF!,#REF!,#REF!,#REF!,#REF!,#REF!,#REF!,#REF!,#REF!,#REF!,#REF!</definedName>
    <definedName name="__APW_RESTORE_DATA407__" hidden="1">#REF!,#REF!,#REF!,#REF!,#REF!,#REF!,#REF!,#REF!,#REF!,#REF!,#REF!,#REF!,#REF!,#REF!,#REF!</definedName>
    <definedName name="__APW_RESTORE_DATA408__" hidden="1">#REF!,#REF!,#REF!,#REF!,#REF!,#REF!,#REF!,#REF!,#REF!,#REF!,#REF!,#REF!,#REF!,#REF!,#REF!</definedName>
    <definedName name="__APW_RESTORE_DATA409__" hidden="1">#REF!,#REF!,#REF!,#REF!,#REF!,#REF!,#REF!,#REF!,#REF!,#REF!,#REF!,#REF!,#REF!,#REF!,#REF!</definedName>
    <definedName name="__APW_RESTORE_DATA41__" hidden="1">#REF!</definedName>
    <definedName name="__APW_RESTORE_DATA410__" hidden="1">#REF!,#REF!</definedName>
    <definedName name="__APW_RESTORE_DATA411__" hidden="1">#REF!,#REF!,#REF!,#REF!,#REF!,#REF!,#REF!,#REF!,#REF!,#REF!,#REF!,#REF!,#REF!,#REF!,#REF!</definedName>
    <definedName name="__APW_RESTORE_DATA412__" hidden="1">#REF!,#REF!,#REF!,#REF!,#REF!,#REF!,#REF!,#REF!,#REF!,#REF!,#REF!,#REF!,#REF!,#REF!,#REF!</definedName>
    <definedName name="__APW_RESTORE_DATA413__" hidden="1">#REF!,#REF!,#REF!,#REF!,#REF!,#REF!,#REF!,#REF!,#REF!,#REF!,#REF!,#REF!,#REF!,#REF!,#REF!</definedName>
    <definedName name="__APW_RESTORE_DATA414__" hidden="1">#REF!,#REF!,#REF!,#REF!,#REF!,#REF!,#REF!,#REF!,#REF!,#REF!,#REF!,#REF!,#REF!,#REF!,#REF!</definedName>
    <definedName name="__APW_RESTORE_DATA415__" hidden="1">#REF!,#REF!</definedName>
    <definedName name="__APW_RESTORE_DATA416__" hidden="1">#REF!,#REF!,#REF!,#REF!,#REF!,#REF!,#REF!,#REF!,#REF!,#REF!,#REF!,#REF!,#REF!,#REF!,#REF!</definedName>
    <definedName name="__APW_RESTORE_DATA417__" hidden="1">#REF!,#REF!,#REF!,#REF!,#REF!,#REF!,#REF!,#REF!,#REF!,#REF!,#REF!,#REF!,#REF!,#REF!,#REF!</definedName>
    <definedName name="__APW_RESTORE_DATA418__" hidden="1">#REF!,#REF!,#REF!,#REF!,#REF!,#REF!,#REF!,#REF!,#REF!,#REF!,#REF!,#REF!,#REF!,#REF!,#REF!</definedName>
    <definedName name="__APW_RESTORE_DATA419__" hidden="1">#REF!,#REF!,#REF!,#REF!,#REF!,#REF!,#REF!,#REF!,#REF!,#REF!,#REF!,#REF!,#REF!,#REF!,#REF!</definedName>
    <definedName name="__APW_RESTORE_DATA42__" hidden="1">#REF!,#REF!,#REF!,#REF!,#REF!,#REF!,#REF!,#REF!,#REF!,#REF!,#REF!,#REF!,#REF!,#REF!,#REF!,#REF!</definedName>
    <definedName name="__APW_RESTORE_DATA420__" hidden="1">#REF!,#REF!,#REF!,#REF!,#REF!,#REF!,#REF!,#REF!,#REF!,#REF!,#REF!,#REF!,#REF!,#REF!,#REF!</definedName>
    <definedName name="__APW_RESTORE_DATA421__" hidden="1">#REF!,#REF!,#REF!,#REF!,#REF!,#REF!,#REF!,#REF!,#REF!,#REF!,#REF!,#REF!,#REF!,#REF!,#REF!</definedName>
    <definedName name="__APW_RESTORE_DATA422__" hidden="1">#REF!,#REF!,#REF!,#REF!,#REF!,#REF!,#REF!,#REF!,#REF!,#REF!,#REF!,#REF!,#REF!,#REF!,#REF!</definedName>
    <definedName name="__APW_RESTORE_DATA423__" hidden="1">#REF!,#REF!,#REF!,#REF!,#REF!,#REF!,#REF!,#REF!,#REF!,#REF!,#REF!,#REF!,#REF!,#REF!,#REF!</definedName>
    <definedName name="__APW_RESTORE_DATA424__" hidden="1">#REF!,#REF!,#REF!,#REF!,#REF!,#REF!,#REF!,#REF!,#REF!,#REF!,#REF!,#REF!,#REF!,#REF!,#REF!</definedName>
    <definedName name="__APW_RESTORE_DATA425__" hidden="1">#REF!,#REF!,#REF!,#REF!,#REF!,#REF!,#REF!,#REF!,#REF!,#REF!,#REF!,#REF!,#REF!,#REF!,#REF!</definedName>
    <definedName name="__APW_RESTORE_DATA426__" hidden="1">#REF!,#REF!,#REF!,#REF!,#REF!,#REF!,#REF!,#REF!,#REF!,#REF!,#REF!,#REF!,#REF!,#REF!,#REF!</definedName>
    <definedName name="__APW_RESTORE_DATA427__" hidden="1">#REF!,#REF!,#REF!,#REF!,#REF!,#REF!,#REF!,#REF!,#REF!,#REF!,#REF!,#REF!,#REF!,#REF!,#REF!</definedName>
    <definedName name="__APW_RESTORE_DATA428__" hidden="1">#REF!,#REF!,#REF!,#REF!,#REF!,#REF!,#REF!,#REF!,#REF!,#REF!,#REF!,#REF!,#REF!,#REF!,#REF!</definedName>
    <definedName name="__APW_RESTORE_DATA429__" hidden="1">#REF!,#REF!,#REF!,#REF!,#REF!,#REF!,#REF!,#REF!,#REF!,#REF!,#REF!,#REF!,#REF!,#REF!,#REF!</definedName>
    <definedName name="__APW_RESTORE_DATA43__" hidden="1">#REF!,#REF!,#REF!,#REF!,#REF!,#REF!,#REF!,#REF!,#REF!,#REF!,#REF!,#REF!,#REF!,#REF!,#REF!</definedName>
    <definedName name="__APW_RESTORE_DATA430__" hidden="1">#REF!,#REF!</definedName>
    <definedName name="__APW_RESTORE_DATA431__" hidden="1">#REF!,#REF!</definedName>
    <definedName name="__APW_RESTORE_DATA432__" hidden="1">#REF!,#REF!,#REF!,#REF!,#REF!,#REF!</definedName>
    <definedName name="__APW_RESTORE_DATA433__" hidden="1">#REF!</definedName>
    <definedName name="__APW_RESTORE_DATA434__" hidden="1">#REF!</definedName>
    <definedName name="__APW_RESTORE_DATA435__" hidden="1">#REF!</definedName>
    <definedName name="__APW_RESTORE_DATA436__" hidden="1">#REF!,#REF!,#REF!,#REF!,#REF!,#REF!,#REF!,#REF!,#REF!,#REF!,#REF!,#REF!,#REF!,#REF!,#REF!,#REF!</definedName>
    <definedName name="__APW_RESTORE_DATA437__" hidden="1">#REF!,#REF!,#REF!,#REF!,#REF!,#REF!,#REF!,#REF!,#REF!,#REF!,#REF!,#REF!,#REF!,#REF!,#REF!,#REF!</definedName>
    <definedName name="__APW_RESTORE_DATA438__" hidden="1">#REF!,#REF!,#REF!,#REF!,#REF!,#REF!,#REF!,#REF!,#REF!,#REF!,#REF!,#REF!,#REF!,#REF!,#REF!,#REF!</definedName>
    <definedName name="__APW_RESTORE_DATA439__" hidden="1">#REF!,#REF!,#REF!,#REF!,#REF!,#REF!,#REF!,#REF!,#REF!,#REF!,#REF!,#REF!,#REF!,#REF!,#REF!,#REF!</definedName>
    <definedName name="__APW_RESTORE_DATA44__" hidden="1">#REF!,#REF!,#REF!,#REF!,#REF!,#REF!,#REF!,#REF!,#REF!,#REF!,#REF!,#REF!,#REF!,#REF!,#REF!,#REF!</definedName>
    <definedName name="__APW_RESTORE_DATA440__" hidden="1">#REF!,#REF!,#REF!,#REF!,#REF!,#REF!,#REF!,#REF!,#REF!,#REF!,#REF!,#REF!,#REF!,#REF!,#REF!,#REF!</definedName>
    <definedName name="__APW_RESTORE_DATA441__" hidden="1">#REF!,#REF!,#REF!,#REF!,#REF!,#REF!,#REF!,#REF!,#REF!,#REF!,#REF!,#REF!,#REF!,#REF!,#REF!,#REF!</definedName>
    <definedName name="__APW_RESTORE_DATA442__" hidden="1">#REF!,#REF!,#REF!,#REF!,#REF!,#REF!,#REF!,#REF!,#REF!,#REF!,#REF!,#REF!,#REF!,#REF!,#REF!</definedName>
    <definedName name="__APW_RESTORE_DATA443__" hidden="1">#REF!,#REF!,#REF!,#REF!,#REF!,#REF!,#REF!,#REF!,#REF!,#REF!,#REF!,#REF!,#REF!,#REF!,#REF!</definedName>
    <definedName name="__APW_RESTORE_DATA444__" hidden="1">#REF!,#REF!</definedName>
    <definedName name="__APW_RESTORE_DATA445__" hidden="1">#REF!,#REF!,#REF!,#REF!,#REF!,#REF!,#REF!,#REF!,#REF!,#REF!,#REF!,#REF!,#REF!,#REF!,#REF!</definedName>
    <definedName name="__APW_RESTORE_DATA446__" hidden="1">#REF!,#REF!,#REF!,#REF!,#REF!,#REF!,#REF!,#REF!,#REF!,#REF!,#REF!,#REF!,#REF!,#REF!,#REF!</definedName>
    <definedName name="__APW_RESTORE_DATA447__" hidden="1">#REF!,#REF!,#REF!,#REF!,#REF!,#REF!,#REF!,#REF!,#REF!,#REF!,#REF!,#REF!,#REF!,#REF!,#REF!</definedName>
    <definedName name="__APW_RESTORE_DATA448__" hidden="1">#REF!,#REF!,#REF!,#REF!,#REF!,#REF!,#REF!,#REF!,#REF!,#REF!,#REF!,#REF!,#REF!,#REF!,#REF!</definedName>
    <definedName name="__APW_RESTORE_DATA449__" hidden="1">#REF!,#REF!</definedName>
    <definedName name="__APW_RESTORE_DATA45__" hidden="1">#REF!,#REF!,#REF!,#REF!,#REF!,#REF!,#REF!,#REF!,#REF!,#REF!,#REF!,#REF!,#REF!,#REF!,#REF!</definedName>
    <definedName name="__APW_RESTORE_DATA450__" hidden="1">#REF!,#REF!,#REF!,#REF!,#REF!,#REF!,#REF!,#REF!,#REF!,#REF!,#REF!,#REF!,#REF!,#REF!,#REF!</definedName>
    <definedName name="__APW_RESTORE_DATA451__" hidden="1">#REF!,#REF!,#REF!,#REF!,#REF!,#REF!,#REF!,#REF!,#REF!,#REF!,#REF!,#REF!,#REF!,#REF!,#REF!</definedName>
    <definedName name="__APW_RESTORE_DATA452__" hidden="1">#REF!,#REF!,#REF!,#REF!,#REF!,#REF!,#REF!,#REF!,#REF!,#REF!,#REF!,#REF!,#REF!,#REF!,#REF!</definedName>
    <definedName name="__APW_RESTORE_DATA453__" hidden="1">#REF!,#REF!,#REF!,#REF!,#REF!,#REF!,#REF!,#REF!,#REF!,#REF!,#REF!,#REF!,#REF!,#REF!,#REF!</definedName>
    <definedName name="__APW_RESTORE_DATA454__" hidden="1">#REF!,#REF!</definedName>
    <definedName name="__APW_RESTORE_DATA455__" hidden="1">#REF!,#REF!,#REF!,#REF!,#REF!,#REF!,#REF!,#REF!,#REF!,#REF!,#REF!,#REF!,#REF!,#REF!,#REF!</definedName>
    <definedName name="__APW_RESTORE_DATA456__" hidden="1">#REF!,#REF!,#REF!,#REF!,#REF!,#REF!,#REF!,#REF!,#REF!,#REF!,#REF!,#REF!,#REF!,#REF!,#REF!</definedName>
    <definedName name="__APW_RESTORE_DATA457__" hidden="1">#REF!,#REF!,#REF!,#REF!,#REF!,#REF!,#REF!,#REF!,#REF!,#REF!,#REF!,#REF!,#REF!,#REF!,#REF!</definedName>
    <definedName name="__APW_RESTORE_DATA458__" hidden="1">#REF!,#REF!,#REF!,#REF!,#REF!,#REF!,#REF!,#REF!,#REF!,#REF!,#REF!,#REF!,#REF!,#REF!,#REF!</definedName>
    <definedName name="__APW_RESTORE_DATA459__" hidden="1">#REF!,#REF!,#REF!,#REF!,#REF!,#REF!,#REF!,#REF!,#REF!,#REF!,#REF!,#REF!,#REF!,#REF!,#REF!</definedName>
    <definedName name="__APW_RESTORE_DATA46__" hidden="1">#REF!</definedName>
    <definedName name="__APW_RESTORE_DATA460__" hidden="1">#REF!,#REF!,#REF!,#REF!,#REF!,#REF!,#REF!,#REF!,#REF!,#REF!,#REF!,#REF!,#REF!,#REF!,#REF!</definedName>
    <definedName name="__APW_RESTORE_DATA461__" hidden="1">#REF!,#REF!,#REF!,#REF!,#REF!,#REF!,#REF!,#REF!,#REF!,#REF!,#REF!,#REF!,#REF!,#REF!,#REF!</definedName>
    <definedName name="__APW_RESTORE_DATA462__" hidden="1">#REF!,#REF!,#REF!,#REF!,#REF!,#REF!,#REF!,#REF!,#REF!,#REF!,#REF!,#REF!,#REF!,#REF!,#REF!</definedName>
    <definedName name="__APW_RESTORE_DATA463__" hidden="1">#REF!,#REF!,#REF!,#REF!,#REF!,#REF!,#REF!,#REF!,#REF!,#REF!,#REF!,#REF!,#REF!,#REF!,#REF!</definedName>
    <definedName name="__APW_RESTORE_DATA464__" hidden="1">#REF!,#REF!,#REF!,#REF!,#REF!,#REF!,#REF!,#REF!,#REF!,#REF!,#REF!,#REF!,#REF!,#REF!,#REF!</definedName>
    <definedName name="__APW_RESTORE_DATA465__" hidden="1">#REF!,#REF!,#REF!,#REF!,#REF!,#REF!,#REF!,#REF!,#REF!,#REF!,#REF!,#REF!,#REF!,#REF!,#REF!</definedName>
    <definedName name="__APW_RESTORE_DATA466__" hidden="1">#REF!,#REF!,#REF!,#REF!,#REF!,#REF!,#REF!,#REF!,#REF!,#REF!,#REF!,#REF!,#REF!,#REF!,#REF!</definedName>
    <definedName name="__APW_RESTORE_DATA467__" hidden="1">#REF!,#REF!,#REF!,#REF!,#REF!,#REF!,#REF!,#REF!,#REF!,#REF!,#REF!,#REF!,#REF!,#REF!,#REF!</definedName>
    <definedName name="__APW_RESTORE_DATA468__" hidden="1">#REF!,#REF!,#REF!,#REF!,#REF!,#REF!,#REF!,#REF!,#REF!,#REF!,#REF!,#REF!,#REF!,#REF!,#REF!</definedName>
    <definedName name="__APW_RESTORE_DATA469__" hidden="1">#REF!,#REF!</definedName>
    <definedName name="__APW_RESTORE_DATA47__" hidden="1">#REF!</definedName>
    <definedName name="__APW_RESTORE_DATA470__" hidden="1">#REF!,#REF!</definedName>
    <definedName name="__APW_RESTORE_DATA471__" hidden="1">#REF!,#REF!,#REF!,#REF!,#REF!,#REF!,#REF!,#REF!,#REF!,#REF!,#REF!,#REF!,#REF!,#REF!,#REF!,#REF!</definedName>
    <definedName name="__APW_RESTORE_DATA472__" hidden="1">#REF!,#REF!,#REF!,#REF!,#REF!,#REF!,#REF!,#REF!,#REF!,#REF!,#REF!,#REF!,#REF!,#REF!,#REF!,#REF!</definedName>
    <definedName name="__APW_RESTORE_DATA473__" hidden="1">#REF!,#REF!,#REF!,#REF!,#REF!,#REF!,#REF!,#REF!,#REF!,#REF!,#REF!,#REF!,#REF!,#REF!,#REF!,#REF!</definedName>
    <definedName name="__APW_RESTORE_DATA474__" hidden="1">#REF!,#REF!,#REF!,#REF!,#REF!,#REF!,#REF!,#REF!,#REF!,#REF!,#REF!,#REF!,#REF!,#REF!,#REF!,#REF!</definedName>
    <definedName name="__APW_RESTORE_DATA475__" hidden="1">#REF!,#REF!,#REF!,#REF!,#REF!,#REF!,#REF!,#REF!,#REF!,#REF!,#REF!,#REF!,#REF!,#REF!,#REF!,#REF!</definedName>
    <definedName name="__APW_RESTORE_DATA476__" hidden="1">#REF!,#REF!,#REF!,#REF!,#REF!,#REF!,#REF!,#REF!,#REF!,#REF!,#REF!,#REF!,#REF!,#REF!,#REF!,#REF!</definedName>
    <definedName name="__APW_RESTORE_DATA477__" hidden="1">#REF!,#REF!,#REF!,#REF!,#REF!,#REF!,#REF!,#REF!,#REF!,#REF!,#REF!,#REF!,#REF!,#REF!,#REF!</definedName>
    <definedName name="__APW_RESTORE_DATA478__" hidden="1">#REF!,#REF!,#REF!,#REF!,#REF!,#REF!,#REF!,#REF!,#REF!,#REF!,#REF!,#REF!,#REF!,#REF!,#REF!</definedName>
    <definedName name="__APW_RESTORE_DATA479__" hidden="1">#REF!,#REF!,#REF!,#REF!,#REF!,#REF!,#REF!,#REF!,#REF!,#REF!,#REF!,#REF!,#REF!,#REF!,#REF!</definedName>
    <definedName name="__APW_RESTORE_DATA48__" hidden="1">#REF!,#REF!,#REF!,#REF!,#REF!,#REF!,#REF!,#REF!,#REF!,#REF!,#REF!,#REF!,#REF!,#REF!,#REF!,#REF!</definedName>
    <definedName name="__APW_RESTORE_DATA480__" hidden="1">#REF!,#REF!,#REF!,#REF!,#REF!,#REF!,#REF!,#REF!,#REF!,#REF!,#REF!,#REF!,#REF!,#REF!,#REF!</definedName>
    <definedName name="__APW_RESTORE_DATA481__" hidden="1">#REF!,#REF!,#REF!,#REF!,#REF!,#REF!,#REF!,#REF!,#REF!,#REF!,#REF!,#REF!,#REF!,#REF!,#REF!</definedName>
    <definedName name="__APW_RESTORE_DATA482__" hidden="1">#REF!,#REF!,#REF!,#REF!,#REF!,#REF!,#REF!,#REF!,#REF!,#REF!,#REF!,#REF!,#REF!,#REF!,#REF!</definedName>
    <definedName name="__APW_RESTORE_DATA483__" hidden="1">#REF!,#REF!</definedName>
    <definedName name="__APW_RESTORE_DATA484__" hidden="1">#REF!,#REF!,#REF!,#REF!,#REF!,#REF!,#REF!,#REF!,#REF!,#REF!,#REF!,#REF!,#REF!,#REF!,#REF!</definedName>
    <definedName name="__APW_RESTORE_DATA485__" hidden="1">#REF!,#REF!,#REF!,#REF!,#REF!,#REF!,#REF!,#REF!,#REF!,#REF!,#REF!,#REF!,#REF!,#REF!,#REF!</definedName>
    <definedName name="__APW_RESTORE_DATA486__" hidden="1">#REF!,#REF!,#REF!,#REF!,#REF!,#REF!,#REF!,#REF!,#REF!,#REF!,#REF!,#REF!,#REF!,#REF!,#REF!</definedName>
    <definedName name="__APW_RESTORE_DATA487__" hidden="1">#REF!,#REF!,#REF!,#REF!,#REF!,#REF!,#REF!,#REF!,#REF!,#REF!,#REF!,#REF!,#REF!,#REF!,#REF!</definedName>
    <definedName name="__APW_RESTORE_DATA488__" hidden="1">#REF!,#REF!</definedName>
    <definedName name="__APW_RESTORE_DATA489__" hidden="1">#REF!,#REF!,#REF!,#REF!,#REF!,#REF!,#REF!,#REF!,#REF!,#REF!,#REF!,#REF!,#REF!,#REF!,#REF!</definedName>
    <definedName name="__APW_RESTORE_DATA49__" hidden="1">#REF!,#REF!,#REF!,#REF!,#REF!,#REF!,#REF!,#REF!,#REF!,#REF!,#REF!,#REF!,#REF!,#REF!,#REF!</definedName>
    <definedName name="__APW_RESTORE_DATA490__" hidden="1">#REF!,#REF!,#REF!,#REF!,#REF!,#REF!,#REF!,#REF!,#REF!,#REF!,#REF!,#REF!,#REF!,#REF!,#REF!</definedName>
    <definedName name="__APW_RESTORE_DATA491__" hidden="1">#REF!,#REF!,#REF!,#REF!,#REF!,#REF!,#REF!,#REF!,#REF!,#REF!,#REF!,#REF!,#REF!,#REF!,#REF!</definedName>
    <definedName name="__APW_RESTORE_DATA492__" hidden="1">#REF!,#REF!,#REF!,#REF!,#REF!,#REF!,#REF!,#REF!,#REF!,#REF!,#REF!,#REF!,#REF!,#REF!,#REF!</definedName>
    <definedName name="__APW_RESTORE_DATA493__" hidden="1">#REF!,#REF!</definedName>
    <definedName name="__APW_RESTORE_DATA494__" hidden="1">#REF!,#REF!,#REF!,#REF!,#REF!,#REF!,#REF!,#REF!,#REF!,#REF!,#REF!,#REF!,#REF!,#REF!,#REF!</definedName>
    <definedName name="__APW_RESTORE_DATA495__" hidden="1">#REF!,#REF!,#REF!,#REF!,#REF!,#REF!,#REF!,#REF!,#REF!,#REF!,#REF!,#REF!,#REF!,#REF!,#REF!</definedName>
    <definedName name="__APW_RESTORE_DATA496__" hidden="1">#REF!,#REF!,#REF!,#REF!,#REF!,#REF!,#REF!,#REF!,#REF!,#REF!,#REF!,#REF!,#REF!,#REF!,#REF!</definedName>
    <definedName name="__APW_RESTORE_DATA497__" hidden="1">#REF!,#REF!,#REF!,#REF!,#REF!,#REF!,#REF!,#REF!,#REF!,#REF!,#REF!,#REF!,#REF!,#REF!,#REF!</definedName>
    <definedName name="__APW_RESTORE_DATA498__" hidden="1">#REF!,#REF!,#REF!,#REF!,#REF!,#REF!,#REF!,#REF!,#REF!,#REF!,#REF!,#REF!,#REF!,#REF!,#REF!</definedName>
    <definedName name="__APW_RESTORE_DATA499__" hidden="1">#REF!,#REF!,#REF!,#REF!,#REF!,#REF!,#REF!,#REF!,#REF!,#REF!,#REF!,#REF!,#REF!,#REF!,#REF!</definedName>
    <definedName name="__APW_RESTORE_DATA5__" hidden="1">#REF!</definedName>
    <definedName name="__APW_RESTORE_DATA50__" hidden="1">#REF!,#REF!,#REF!,#REF!,#REF!,#REF!,#REF!,#REF!,#REF!,#REF!,#REF!,#REF!,#REF!,#REF!,#REF!,#REF!</definedName>
    <definedName name="__APW_RESTORE_DATA500__" hidden="1">#REF!,#REF!,#REF!,#REF!,#REF!,#REF!,#REF!,#REF!,#REF!,#REF!,#REF!,#REF!,#REF!,#REF!,#REF!</definedName>
    <definedName name="__APW_RESTORE_DATA501__" hidden="1">#REF!,#REF!,#REF!,#REF!,#REF!,#REF!,#REF!,#REF!,#REF!,#REF!,#REF!,#REF!,#REF!,#REF!,#REF!</definedName>
    <definedName name="__APW_RESTORE_DATA502__" hidden="1">#REF!,#REF!,#REF!,#REF!,#REF!,#REF!,#REF!,#REF!,#REF!,#REF!,#REF!,#REF!,#REF!,#REF!,#REF!</definedName>
    <definedName name="__APW_RESTORE_DATA503__" hidden="1">#REF!,#REF!,#REF!,#REF!,#REF!,#REF!,#REF!,#REF!,#REF!,#REF!,#REF!,#REF!,#REF!,#REF!,#REF!</definedName>
    <definedName name="__APW_RESTORE_DATA504__" hidden="1">#REF!,#REF!,#REF!,#REF!,#REF!,#REF!,#REF!,#REF!,#REF!,#REF!,#REF!,#REF!,#REF!,#REF!,#REF!</definedName>
    <definedName name="__APW_RESTORE_DATA505__" hidden="1">#REF!,#REF!,#REF!,#REF!,#REF!,#REF!</definedName>
    <definedName name="__APW_RESTORE_DATA506__" hidden="1">#REF!,#REF!,#REF!,#REF!,#REF!,#REF!,#REF!,#REF!,#REF!,#REF!,#REF!,#REF!,#REF!,#REF!,#REF!,#REF!</definedName>
    <definedName name="__APW_RESTORE_DATA507__" hidden="1">#REF!,#REF!,#REF!,#REF!,#REF!,#REF!,#REF!,#REF!,#REF!,#REF!,#REF!,#REF!,#REF!,#REF!,#REF!,#REF!</definedName>
    <definedName name="__APW_RESTORE_DATA508__" hidden="1">#REF!,#REF!</definedName>
    <definedName name="__APW_RESTORE_DATA509__" hidden="1">#REF!,#REF!</definedName>
    <definedName name="__APW_RESTORE_DATA51__" hidden="1">#REF!,#REF!,#REF!,#REF!,#REF!,#REF!,#REF!,#REF!,#REF!,#REF!,#REF!,#REF!,#REF!,#REF!,#REF!</definedName>
    <definedName name="__APW_RESTORE_DATA510__" hidden="1">#REF!,#REF!,#REF!,#REF!,#REF!,#REF!,#REF!,#REF!,#REF!,#REF!,#REF!,#REF!,#REF!,#REF!,#REF!,#REF!</definedName>
    <definedName name="__APW_RESTORE_DATA511__" hidden="1">#REF!,#REF!,#REF!,#REF!,#REF!,#REF!,#REF!,#REF!,#REF!,#REF!,#REF!,#REF!,#REF!,#REF!,#REF!,#REF!</definedName>
    <definedName name="__APW_RESTORE_DATA512__" hidden="1">#REF!,#REF!,#REF!,#REF!,#REF!,#REF!,#REF!,#REF!,#REF!,#REF!,#REF!,#REF!,#REF!,#REF!,#REF!</definedName>
    <definedName name="__APW_RESTORE_DATA513__" hidden="1">#REF!,#REF!,#REF!,#REF!,#REF!,#REF!,#REF!,#REF!,#REF!,#REF!,#REF!,#REF!,#REF!,#REF!,#REF!</definedName>
    <definedName name="__APW_RESTORE_DATA514__" hidden="1">#REF!,#REF!,#REF!,#REF!,#REF!,#REF!,#REF!,#REF!,#REF!,#REF!,#REF!,#REF!,#REF!,#REF!,#REF!</definedName>
    <definedName name="__APW_RESTORE_DATA515__" hidden="1">#REF!,#REF!,#REF!,#REF!,#REF!,#REF!,#REF!,#REF!,#REF!,#REF!,#REF!,#REF!,#REF!,#REF!,#REF!</definedName>
    <definedName name="__APW_RESTORE_DATA516__" hidden="1">#REF!,#REF!,#REF!,#REF!,#REF!,#REF!,#REF!,#REF!,#REF!,#REF!,#REF!,#REF!,#REF!,#REF!,#REF!</definedName>
    <definedName name="__APW_RESTORE_DATA517__" hidden="1">#REF!,#REF!,#REF!,#REF!,#REF!,#REF!,#REF!,#REF!,#REF!,#REF!,#REF!,#REF!,#REF!,#REF!,#REF!</definedName>
    <definedName name="__APW_RESTORE_DATA518__" hidden="1">#REF!,#REF!,#REF!,#REF!,#REF!,#REF!,#REF!,#REF!,#REF!,#REF!,#REF!,#REF!,#REF!,#REF!,#REF!</definedName>
    <definedName name="__APW_RESTORE_DATA519__" hidden="1">#REF!,#REF!,#REF!,#REF!,#REF!,#REF!,#REF!,#REF!,#REF!,#REF!,#REF!,#REF!,#REF!,#REF!,#REF!</definedName>
    <definedName name="__APW_RESTORE_DATA52__" hidden="1">#REF!,#REF!,#REF!,#REF!,#REF!,#REF!,#REF!,#REF!,#REF!,#REF!,#REF!,#REF!,#REF!,#REF!,#REF!,#REF!</definedName>
    <definedName name="__APW_RESTORE_DATA520__" hidden="1">#REF!,#REF!,#REF!,#REF!,#REF!,#REF!,#REF!,#REF!,#REF!,#REF!,#REF!,#REF!,#REF!,#REF!,#REF!</definedName>
    <definedName name="__APW_RESTORE_DATA521__" hidden="1">#REF!,#REF!,#REF!,#REF!,#REF!,#REF!,#REF!,#REF!,#REF!,#REF!,#REF!,#REF!,#REF!,#REF!,#REF!</definedName>
    <definedName name="__APW_RESTORE_DATA522__" hidden="1">#REF!,#REF!</definedName>
    <definedName name="__APW_RESTORE_DATA523__" hidden="1">#REF!,#REF!,#REF!,#REF!,#REF!,#REF!,#REF!,#REF!,#REF!,#REF!,#REF!,#REF!,#REF!,#REF!,#REF!</definedName>
    <definedName name="__APW_RESTORE_DATA524__" hidden="1">#REF!,#REF!,#REF!,#REF!,#REF!,#REF!,#REF!,#REF!,#REF!,#REF!,#REF!,#REF!,#REF!,#REF!,#REF!</definedName>
    <definedName name="__APW_RESTORE_DATA525__" hidden="1">#REF!,#REF!,#REF!,#REF!,#REF!,#REF!,#REF!,#REF!,#REF!,#REF!,#REF!,#REF!,#REF!,#REF!,#REF!</definedName>
    <definedName name="__APW_RESTORE_DATA526__" hidden="1">#REF!,#REF!,#REF!,#REF!,#REF!,#REF!,#REF!,#REF!,#REF!,#REF!,#REF!,#REF!,#REF!,#REF!,#REF!</definedName>
    <definedName name="__APW_RESTORE_DATA527__" hidden="1">#REF!,#REF!</definedName>
    <definedName name="__APW_RESTORE_DATA528__" hidden="1">#REF!,#REF!,#REF!,#REF!,#REF!,#REF!,#REF!,#REF!,#REF!,#REF!,#REF!,#REF!,#REF!,#REF!,#REF!</definedName>
    <definedName name="__APW_RESTORE_DATA529__" hidden="1">#REF!,#REF!,#REF!,#REF!,#REF!,#REF!,#REF!,#REF!,#REF!,#REF!,#REF!,#REF!,#REF!,#REF!,#REF!</definedName>
    <definedName name="__APW_RESTORE_DATA53__" hidden="1">#REF!,#REF!,#REF!,#REF!,#REF!,#REF!,#REF!,#REF!,#REF!,#REF!,#REF!,#REF!,#REF!,#REF!,#REF!</definedName>
    <definedName name="__APW_RESTORE_DATA530__" hidden="1">#REF!,#REF!,#REF!,#REF!,#REF!,#REF!,#REF!,#REF!,#REF!,#REF!,#REF!,#REF!,#REF!,#REF!,#REF!</definedName>
    <definedName name="__APW_RESTORE_DATA531__" hidden="1">#REF!,#REF!,#REF!,#REF!,#REF!,#REF!,#REF!,#REF!,#REF!,#REF!,#REF!,#REF!,#REF!,#REF!,#REF!</definedName>
    <definedName name="__APW_RESTORE_DATA532__" hidden="1">#REF!,#REF!</definedName>
    <definedName name="__APW_RESTORE_DATA533__" hidden="1">#REF!,#REF!,#REF!,#REF!,#REF!,#REF!,#REF!,#REF!,#REF!,#REF!,#REF!,#REF!,#REF!,#REF!,#REF!</definedName>
    <definedName name="__APW_RESTORE_DATA534__" hidden="1">#REF!,#REF!,#REF!,#REF!,#REF!,#REF!,#REF!,#REF!,#REF!,#REF!,#REF!,#REF!,#REF!,#REF!,#REF!</definedName>
    <definedName name="__APW_RESTORE_DATA535__" hidden="1">#REF!,#REF!,#REF!,#REF!,#REF!,#REF!,#REF!,#REF!,#REF!,#REF!,#REF!,#REF!,#REF!,#REF!,#REF!</definedName>
    <definedName name="__APW_RESTORE_DATA536__" hidden="1">#REF!,#REF!,#REF!,#REF!,#REF!,#REF!,#REF!,#REF!,#REF!,#REF!,#REF!,#REF!,#REF!,#REF!,#REF!</definedName>
    <definedName name="__APW_RESTORE_DATA537__" hidden="1">#REF!,#REF!,#REF!,#REF!,#REF!,#REF!,#REF!,#REF!,#REF!,#REF!,#REF!,#REF!,#REF!,#REF!,#REF!</definedName>
    <definedName name="__APW_RESTORE_DATA538__" hidden="1">#REF!,#REF!,#REF!,#REF!,#REF!,#REF!,#REF!,#REF!,#REF!,#REF!,#REF!,#REF!,#REF!,#REF!,#REF!</definedName>
    <definedName name="__APW_RESTORE_DATA539__" hidden="1">#REF!,#REF!,#REF!,#REF!,#REF!,#REF!,#REF!,#REF!,#REF!,#REF!,#REF!,#REF!,#REF!,#REF!,#REF!</definedName>
    <definedName name="__APW_RESTORE_DATA54__" hidden="1">#REF!</definedName>
    <definedName name="__APW_RESTORE_DATA540__" hidden="1">#REF!,#REF!,#REF!,#REF!,#REF!,#REF!</definedName>
    <definedName name="__APW_RESTORE_DATA541__" hidden="1">#REF!,#REF!,#REF!,#REF!,#REF!,#REF!,#REF!,#REF!,#REF!,#REF!,#REF!,#REF!,#REF!,#REF!,#REF!,#REF!</definedName>
    <definedName name="__APW_RESTORE_DATA542__" hidden="1">#REF!,#REF!,#REF!,#REF!,#REF!,#REF!,#REF!,#REF!,#REF!,#REF!,#REF!,#REF!,#REF!,#REF!,#REF!,#REF!</definedName>
    <definedName name="__APW_RESTORE_DATA543__" hidden="1">#REF!,#REF!,#REF!,#REF!,#REF!,#REF!,#REF!,#REF!,#REF!,#REF!,#REF!,#REF!,#REF!,#REF!,#REF!,#REF!</definedName>
    <definedName name="__APW_RESTORE_DATA544__" hidden="1">#REF!,#REF!,#REF!,#REF!,#REF!,#REF!,#REF!,#REF!,#REF!,#REF!,#REF!,#REF!,#REF!,#REF!,#REF!,#REF!</definedName>
    <definedName name="__APW_RESTORE_DATA545__" hidden="1">#REF!,#REF!,#REF!,#REF!,#REF!,#REF!,#REF!,#REF!,#REF!,#REF!,#REF!,#REF!,#REF!,#REF!,#REF!,#REF!</definedName>
    <definedName name="__APW_RESTORE_DATA546__" hidden="1">#REF!,#REF!,#REF!,#REF!,#REF!,#REF!,#REF!,#REF!,#REF!,#REF!,#REF!,#REF!,#REF!,#REF!,#REF!,#REF!</definedName>
    <definedName name="__APW_RESTORE_DATA547__" hidden="1">#REF!,#REF!</definedName>
    <definedName name="__APW_RESTORE_DATA548__" hidden="1">#REF!,#REF!</definedName>
    <definedName name="__APW_RESTORE_DATA549__" hidden="1">#REF!,#REF!,#REF!,#REF!,#REF!,#REF!,#REF!,#REF!,#REF!,#REF!,#REF!,#REF!,#REF!,#REF!,#REF!</definedName>
    <definedName name="__APW_RESTORE_DATA55__" hidden="1">#REF!</definedName>
    <definedName name="__APW_RESTORE_DATA550__" hidden="1">#REF!,#REF!,#REF!,#REF!,#REF!,#REF!,#REF!,#REF!,#REF!,#REF!,#REF!,#REF!,#REF!,#REF!,#REF!</definedName>
    <definedName name="__APW_RESTORE_DATA551__" hidden="1">#REF!,#REF!,#REF!,#REF!,#REF!,#REF!,#REF!,#REF!,#REF!,#REF!,#REF!,#REF!,#REF!,#REF!,#REF!</definedName>
    <definedName name="__APW_RESTORE_DATA552__" hidden="1">#REF!,#REF!,#REF!,#REF!,#REF!,#REF!,#REF!,#REF!,#REF!,#REF!,#REF!,#REF!,#REF!,#REF!,#REF!</definedName>
    <definedName name="__APW_RESTORE_DATA553__" hidden="1">#REF!,#REF!,#REF!,#REF!,#REF!,#REF!,#REF!,#REF!,#REF!,#REF!,#REF!,#REF!,#REF!,#REF!,#REF!</definedName>
    <definedName name="__APW_RESTORE_DATA554__" hidden="1">#REF!,#REF!,#REF!,#REF!,#REF!,#REF!,#REF!,#REF!,#REF!,#REF!,#REF!,#REF!,#REF!,#REF!,#REF!</definedName>
    <definedName name="__APW_RESTORE_DATA555__" hidden="1">#REF!,#REF!,#REF!,#REF!,#REF!,#REF!,#REF!,#REF!,#REF!,#REF!,#REF!,#REF!,#REF!,#REF!,#REF!</definedName>
    <definedName name="__APW_RESTORE_DATA556__" hidden="1">#REF!,#REF!,#REF!,#REF!,#REF!,#REF!,#REF!,#REF!,#REF!,#REF!,#REF!,#REF!,#REF!,#REF!,#REF!</definedName>
    <definedName name="__APW_RESTORE_DATA557__" hidden="1">#REF!,#REF!,#REF!,#REF!,#REF!,#REF!,#REF!,#REF!,#REF!,#REF!,#REF!,#REF!,#REF!,#REF!,#REF!</definedName>
    <definedName name="__APW_RESTORE_DATA558__" hidden="1">#REF!,#REF!,#REF!,#REF!,#REF!,#REF!,#REF!,#REF!,#REF!,#REF!,#REF!,#REF!,#REF!,#REF!,#REF!</definedName>
    <definedName name="__APW_RESTORE_DATA559__" hidden="1">#REF!,#REF!,#REF!,#REF!,#REF!,#REF!,#REF!,#REF!,#REF!,#REF!,#REF!,#REF!,#REF!,#REF!,#REF!</definedName>
    <definedName name="__APW_RESTORE_DATA56__" hidden="1">#REF!,#REF!,#REF!,#REF!,#REF!,#REF!,#REF!,#REF!,#REF!,#REF!,#REF!,#REF!,#REF!,#REF!,#REF!,#REF!</definedName>
    <definedName name="__APW_RESTORE_DATA560__" hidden="1">#REF!,#REF!,#REF!,#REF!,#REF!,#REF!,#REF!,#REF!,#REF!,#REF!,#REF!,#REF!,#REF!,#REF!,#REF!</definedName>
    <definedName name="__APW_RESTORE_DATA561__" hidden="1">#REF!,#REF!</definedName>
    <definedName name="__APW_RESTORE_DATA562__" hidden="1">#REF!,#REF!,#REF!,#REF!,#REF!,#REF!,#REF!,#REF!,#REF!,#REF!,#REF!,#REF!,#REF!,#REF!,#REF!</definedName>
    <definedName name="__APW_RESTORE_DATA563__" hidden="1">#REF!,#REF!,#REF!,#REF!,#REF!,#REF!,#REF!,#REF!,#REF!,#REF!,#REF!,#REF!,#REF!,#REF!,#REF!</definedName>
    <definedName name="__APW_RESTORE_DATA564__" hidden="1">#REF!,#REF!,#REF!,#REF!,#REF!,#REF!,#REF!,#REF!,#REF!,#REF!,#REF!,#REF!,#REF!,#REF!,#REF!</definedName>
    <definedName name="__APW_RESTORE_DATA565__" hidden="1">#REF!,#REF!,#REF!,#REF!,#REF!,#REF!,#REF!,#REF!,#REF!,#REF!,#REF!,#REF!,#REF!,#REF!,#REF!</definedName>
    <definedName name="__APW_RESTORE_DATA566__" hidden="1">#REF!,#REF!</definedName>
    <definedName name="__APW_RESTORE_DATA567__" hidden="1">#REF!,#REF!,#REF!,#REF!,#REF!,#REF!,#REF!,#REF!,#REF!,#REF!,#REF!,#REF!,#REF!,#REF!,#REF!</definedName>
    <definedName name="__APW_RESTORE_DATA568__" hidden="1">#REF!,#REF!,#REF!,#REF!,#REF!,#REF!,#REF!,#REF!,#REF!,#REF!,#REF!,#REF!,#REF!,#REF!,#REF!</definedName>
    <definedName name="__APW_RESTORE_DATA569__" hidden="1">#REF!,#REF!,#REF!,#REF!,#REF!,#REF!,#REF!,#REF!,#REF!,#REF!,#REF!,#REF!,#REF!,#REF!,#REF!</definedName>
    <definedName name="__APW_RESTORE_DATA57__" hidden="1">#REF!,#REF!,#REF!,#REF!,#REF!,#REF!,#REF!,#REF!,#REF!,#REF!,#REF!,#REF!,#REF!,#REF!,#REF!</definedName>
    <definedName name="__APW_RESTORE_DATA570__" hidden="1">#REF!,#REF!,#REF!,#REF!,#REF!,#REF!,#REF!,#REF!,#REF!,#REF!,#REF!,#REF!,#REF!,#REF!,#REF!</definedName>
    <definedName name="__APW_RESTORE_DATA571__" hidden="1">#REF!,#REF!</definedName>
    <definedName name="__APW_RESTORE_DATA572__" hidden="1">#REF!,#REF!,#REF!,#REF!,#REF!,#REF!,#REF!,#REF!,#REF!,#REF!,#REF!,#REF!,#REF!,#REF!,#REF!</definedName>
    <definedName name="__APW_RESTORE_DATA573__" hidden="1">#REF!,#REF!,#REF!,#REF!,#REF!,#REF!,#REF!,#REF!,#REF!,#REF!,#REF!,#REF!,#REF!,#REF!,#REF!</definedName>
    <definedName name="__APW_RESTORE_DATA574__" hidden="1">#REF!,#REF!,#REF!,#REF!,#REF!,#REF!,#REF!,#REF!,#REF!,#REF!,#REF!,#REF!,#REF!,#REF!,#REF!</definedName>
    <definedName name="__APW_RESTORE_DATA575__" hidden="1">#REF!,#REF!,#REF!,#REF!,#REF!,#REF!</definedName>
    <definedName name="__APW_RESTORE_DATA576__" hidden="1">#REF!</definedName>
    <definedName name="__APW_RESTORE_DATA577__" hidden="1">#REF!,#REF!,#REF!,#REF!,#REF!,#REF!,#REF!,#REF!,#REF!,#REF!,#REF!,#REF!,#REF!,#REF!,#REF!,#REF!</definedName>
    <definedName name="__APW_RESTORE_DATA578__" hidden="1">#REF!,#REF!,#REF!,#REF!,#REF!,#REF!,#REF!,#REF!,#REF!,#REF!,#REF!,#REF!,#REF!,#REF!,#REF!,#REF!</definedName>
    <definedName name="__APW_RESTORE_DATA579__" hidden="1">#REF!,#REF!,#REF!,#REF!,#REF!,#REF!,#REF!,#REF!,#REF!,#REF!,#REF!,#REF!,#REF!,#REF!,#REF!,#REF!</definedName>
    <definedName name="__APW_RESTORE_DATA58__" hidden="1">#REF!,#REF!,#REF!,#REF!,#REF!,#REF!,#REF!,#REF!,#REF!,#REF!,#REF!,#REF!,#REF!,#REF!,#REF!,#REF!</definedName>
    <definedName name="__APW_RESTORE_DATA580__" hidden="1">#REF!,#REF!,#REF!,#REF!,#REF!,#REF!,#REF!,#REF!,#REF!,#REF!,#REF!,#REF!,#REF!,#REF!,#REF!,#REF!</definedName>
    <definedName name="__APW_RESTORE_DATA581__" hidden="1">#REF!,#REF!,#REF!,#REF!,#REF!,#REF!,#REF!,#REF!,#REF!,#REF!,#REF!,#REF!,#REF!,#REF!,#REF!,#REF!</definedName>
    <definedName name="__APW_RESTORE_DATA582__" hidden="1">#REF!,#REF!,#REF!,#REF!,#REF!,#REF!,#REF!,#REF!,#REF!,#REF!,#REF!,#REF!,#REF!,#REF!,#REF!,#REF!</definedName>
    <definedName name="__APW_RESTORE_DATA583__" hidden="1">#REF!,#REF!,#REF!,#REF!,#REF!,#REF!,#REF!,#REF!,#REF!,#REF!,#REF!,#REF!,#REF!,#REF!,#REF!</definedName>
    <definedName name="__APW_RESTORE_DATA584__" hidden="1">#REF!,#REF!,#REF!,#REF!,#REF!,#REF!,#REF!,#REF!,#REF!,#REF!,#REF!,#REF!,#REF!,#REF!,#REF!</definedName>
    <definedName name="__APW_RESTORE_DATA585__" hidden="1">#REF!,#REF!,#REF!,#REF!,#REF!,#REF!,#REF!,#REF!,#REF!,#REF!,#REF!,#REF!,#REF!,#REF!,#REF!</definedName>
    <definedName name="__APW_RESTORE_DATA586__" hidden="1">#REF!,#REF!</definedName>
    <definedName name="__APW_RESTORE_DATA587__" hidden="1">#REF!,#REF!</definedName>
    <definedName name="__APW_RESTORE_DATA588__" hidden="1">#REF!,#REF!,#REF!,#REF!,#REF!,#REF!,#REF!,#REF!,#REF!,#REF!,#REF!,#REF!,#REF!,#REF!,#REF!</definedName>
    <definedName name="__APW_RESTORE_DATA589__" hidden="1">#REF!,#REF!,#REF!,#REF!,#REF!,#REF!,#REF!,#REF!,#REF!,#REF!,#REF!,#REF!,#REF!,#REF!,#REF!</definedName>
    <definedName name="__APW_RESTORE_DATA59__" hidden="1">#REF!,#REF!,#REF!,#REF!,#REF!,#REF!,#REF!,#REF!,#REF!,#REF!,#REF!,#REF!,#REF!,#REF!,#REF!</definedName>
    <definedName name="__APW_RESTORE_DATA590__" hidden="1">#REF!,#REF!,#REF!,#REF!,#REF!,#REF!,#REF!,#REF!,#REF!,#REF!,#REF!,#REF!,#REF!,#REF!,#REF!</definedName>
    <definedName name="__APW_RESTORE_DATA591__" hidden="1">#REF!,#REF!,#REF!,#REF!,#REF!,#REF!,#REF!,#REF!,#REF!,#REF!,#REF!,#REF!,#REF!,#REF!,#REF!</definedName>
    <definedName name="__APW_RESTORE_DATA592__" hidden="1">#REF!,#REF!,#REF!,#REF!,#REF!,#REF!,#REF!,#REF!,#REF!,#REF!,#REF!,#REF!,#REF!,#REF!,#REF!</definedName>
    <definedName name="__APW_RESTORE_DATA593__" hidden="1">#REF!,#REF!,#REF!,#REF!,#REF!,#REF!,#REF!,#REF!,#REF!,#REF!,#REF!,#REF!,#REF!,#REF!,#REF!</definedName>
    <definedName name="__APW_RESTORE_DATA594__" hidden="1">#REF!,#REF!,#REF!,#REF!,#REF!,#REF!,#REF!,#REF!,#REF!,#REF!,#REF!,#REF!,#REF!,#REF!,#REF!</definedName>
    <definedName name="__APW_RESTORE_DATA595__" hidden="1">#REF!,#REF!,#REF!,#REF!,#REF!,#REF!,#REF!,#REF!,#REF!,#REF!,#REF!,#REF!,#REF!,#REF!,#REF!</definedName>
    <definedName name="__APW_RESTORE_DATA596__" hidden="1">#REF!,#REF!,#REF!,#REF!,#REF!,#REF!,#REF!,#REF!,#REF!,#REF!,#REF!,#REF!,#REF!,#REF!,#REF!</definedName>
    <definedName name="__APW_RESTORE_DATA597__" hidden="1">#REF!,#REF!,#REF!,#REF!,#REF!,#REF!,#REF!,#REF!,#REF!,#REF!,#REF!,#REF!,#REF!,#REF!,#REF!</definedName>
    <definedName name="__APW_RESTORE_DATA598__" hidden="1">#REF!,#REF!,#REF!,#REF!,#REF!,#REF!,#REF!,#REF!,#REF!,#REF!,#REF!,#REF!,#REF!,#REF!,#REF!</definedName>
    <definedName name="__APW_RESTORE_DATA599__" hidden="1">#REF!,#REF!,#REF!,#REF!,#REF!,#REF!,#REF!,#REF!,#REF!,#REF!,#REF!,#REF!,#REF!,#REF!,#REF!</definedName>
    <definedName name="__APW_RESTORE_DATA6__" hidden="1">#REF!</definedName>
    <definedName name="__APW_RESTORE_DATA60__" hidden="1">#REF!,#REF!,#REF!,#REF!,#REF!,#REF!,#REF!,#REF!,#REF!,#REF!,#REF!,#REF!,#REF!,#REF!,#REF!,#REF!</definedName>
    <definedName name="__APW_RESTORE_DATA600__" hidden="1">#REF!,#REF!</definedName>
    <definedName name="__APW_RESTORE_DATA601__" hidden="1">#REF!,#REF!,#REF!,#REF!,#REF!,#REF!,#REF!,#REF!,#REF!,#REF!,#REF!,#REF!,#REF!,#REF!,#REF!</definedName>
    <definedName name="__APW_RESTORE_DATA602__" hidden="1">#REF!,#REF!,#REF!,#REF!,#REF!,#REF!,#REF!,#REF!,#REF!,#REF!,#REF!,#REF!,#REF!,#REF!,#REF!</definedName>
    <definedName name="__APW_RESTORE_DATA603__" hidden="1">#REF!,#REF!,#REF!,#REF!,#REF!,#REF!,#REF!,#REF!,#REF!,#REF!,#REF!,#REF!,#REF!,#REF!,#REF!</definedName>
    <definedName name="__APW_RESTORE_DATA604__" hidden="1">#REF!,#REF!,#REF!,#REF!,#REF!,#REF!,#REF!,#REF!,#REF!,#REF!,#REF!,#REF!,#REF!,#REF!,#REF!</definedName>
    <definedName name="__APW_RESTORE_DATA605__" hidden="1">#REF!,#REF!</definedName>
    <definedName name="__APW_RESTORE_DATA606__" hidden="1">#REF!,#REF!,#REF!,#REF!,#REF!,#REF!,#REF!,#REF!,#REF!,#REF!,#REF!,#REF!,#REF!,#REF!,#REF!</definedName>
    <definedName name="__APW_RESTORE_DATA607__" hidden="1">#REF!,#REF!,#REF!,#REF!,#REF!,#REF!,#REF!,#REF!,#REF!,#REF!,#REF!,#REF!,#REF!,#REF!,#REF!</definedName>
    <definedName name="__APW_RESTORE_DATA608__" hidden="1">#REF!,#REF!,#REF!,#REF!,#REF!,#REF!,#REF!,#REF!,#REF!,#REF!,#REF!,#REF!,#REF!,#REF!,#REF!</definedName>
    <definedName name="__APW_RESTORE_DATA609__" hidden="1">#REF!,#REF!,#REF!,#REF!,#REF!,#REF!,#REF!,#REF!,#REF!,#REF!,#REF!,#REF!,#REF!,#REF!,#REF!</definedName>
    <definedName name="__APW_RESTORE_DATA61__" hidden="1">#REF!,#REF!,#REF!,#REF!,#REF!,#REF!,#REF!,#REF!,#REF!,#REF!,#REF!,#REF!,#REF!,#REF!,#REF!</definedName>
    <definedName name="__APW_RESTORE_DATA610__" hidden="1">#REF!,#REF!</definedName>
    <definedName name="__APW_RESTORE_DATA611__" hidden="1">#REF!,#REF!,#REF!,#REF!,#REF!,#REF!</definedName>
    <definedName name="__APW_RESTORE_DATA612__" hidden="1">#REF!,#REF!,#REF!,#REF!,#REF!,#REF!,#REF!,#REF!,#REF!,#REF!,#REF!,#REF!,#REF!,#REF!,#REF!,#REF!</definedName>
    <definedName name="__APW_RESTORE_DATA613__" hidden="1">#REF!,#REF!,#REF!,#REF!,#REF!,#REF!,#REF!,#REF!,#REF!,#REF!,#REF!,#REF!,#REF!,#REF!,#REF!,#REF!</definedName>
    <definedName name="__APW_RESTORE_DATA614__" hidden="1">#REF!,#REF!,#REF!,#REF!,#REF!,#REF!,#REF!,#REF!,#REF!,#REF!,#REF!,#REF!,#REF!,#REF!,#REF!,#REF!</definedName>
    <definedName name="__APW_RESTORE_DATA615__" hidden="1">#REF!,#REF!,#REF!,#REF!,#REF!,#REF!,#REF!,#REF!,#REF!,#REF!,#REF!,#REF!,#REF!,#REF!,#REF!,#REF!</definedName>
    <definedName name="__APW_RESTORE_DATA616__" hidden="1">#REF!,#REF!,#REF!,#REF!,#REF!,#REF!,#REF!,#REF!,#REF!,#REF!,#REF!,#REF!,#REF!,#REF!,#REF!,#REF!</definedName>
    <definedName name="__APW_RESTORE_DATA617__" hidden="1">#REF!,#REF!,#REF!,#REF!,#REF!,#REF!,#REF!,#REF!,#REF!,#REF!,#REF!,#REF!,#REF!,#REF!,#REF!,#REF!</definedName>
    <definedName name="__APW_RESTORE_DATA618__" hidden="1">#REF!,#REF!,#REF!,#REF!,#REF!,#REF!,#REF!,#REF!,#REF!,#REF!,#REF!,#REF!,#REF!,#REF!,#REF!</definedName>
    <definedName name="__APW_RESTORE_DATA619__" hidden="1">#REF!,#REF!,#REF!,#REF!,#REF!,#REF!,#REF!,#REF!,#REF!,#REF!,#REF!,#REF!,#REF!,#REF!,#REF!</definedName>
    <definedName name="__APW_RESTORE_DATA62__" hidden="1">#REF!,#REF!,#REF!,#REF!,#REF!,#REF!,#REF!,#REF!,#REF!,#REF!,#REF!,#REF!,#REF!,#REF!,#REF!</definedName>
    <definedName name="__APW_RESTORE_DATA620__" hidden="1">#REF!,#REF!,#REF!,#REF!,#REF!,#REF!,#REF!,#REF!,#REF!,#REF!,#REF!,#REF!,#REF!,#REF!,#REF!</definedName>
    <definedName name="__APW_RESTORE_DATA621__" hidden="1">#REF!,#REF!,#REF!,#REF!,#REF!,#REF!,#REF!,#REF!,#REF!,#REF!,#REF!,#REF!,#REF!,#REF!,#REF!</definedName>
    <definedName name="__APW_RESTORE_DATA622__" hidden="1">#REF!,#REF!,#REF!,#REF!,#REF!,#REF!,#REF!,#REF!,#REF!,#REF!,#REF!,#REF!,#REF!,#REF!,#REF!</definedName>
    <definedName name="__APW_RESTORE_DATA623__" hidden="1">#REF!,#REF!,#REF!,#REF!,#REF!,#REF!,#REF!,#REF!,#REF!,#REF!,#REF!,#REF!,#REF!,#REF!,#REF!</definedName>
    <definedName name="__APW_RESTORE_DATA624__" hidden="1">#REF!,#REF!,#REF!,#REF!,#REF!,#REF!,#REF!,#REF!,#REF!,#REF!,#REF!,#REF!,#REF!,#REF!,#REF!</definedName>
    <definedName name="__APW_RESTORE_DATA625__" hidden="1">#REF!,#REF!</definedName>
    <definedName name="__APW_RESTORE_DATA626__" hidden="1">#REF!,#REF!</definedName>
    <definedName name="__APW_RESTORE_DATA627__" hidden="1">#REF!,#REF!,#REF!,#REF!,#REF!,#REF!,#REF!,#REF!,#REF!,#REF!,#REF!,#REF!,#REF!,#REF!,#REF!</definedName>
    <definedName name="__APW_RESTORE_DATA628__" hidden="1">#REF!,#REF!,#REF!,#REF!,#REF!,#REF!,#REF!,#REF!,#REF!,#REF!,#REF!,#REF!,#REF!,#REF!,#REF!</definedName>
    <definedName name="__APW_RESTORE_DATA629__" hidden="1">#REF!,#REF!,#REF!,#REF!,#REF!,#REF!,#REF!,#REF!,#REF!,#REF!,#REF!,#REF!,#REF!,#REF!,#REF!</definedName>
    <definedName name="__APW_RESTORE_DATA63__" hidden="1">#REF!,#REF!,#REF!,#REF!,#REF!,#REF!,#REF!,#REF!,#REF!,#REF!,#REF!,#REF!,#REF!,#REF!,#REF!</definedName>
    <definedName name="__APW_RESTORE_DATA630__" hidden="1">#REF!,#REF!,#REF!,#REF!,#REF!,#REF!,#REF!,#REF!,#REF!,#REF!,#REF!,#REF!,#REF!,#REF!,#REF!</definedName>
    <definedName name="__APW_RESTORE_DATA631__" hidden="1">#REF!,#REF!,#REF!,#REF!,#REF!,#REF!,#REF!,#REF!,#REF!,#REF!,#REF!,#REF!,#REF!,#REF!,#REF!</definedName>
    <definedName name="__APW_RESTORE_DATA632__" hidden="1">#REF!,#REF!,#REF!,#REF!,#REF!,#REF!,#REF!,#REF!,#REF!,#REF!,#REF!,#REF!,#REF!,#REF!,#REF!</definedName>
    <definedName name="__APW_RESTORE_DATA633__" hidden="1">#REF!,#REF!,#REF!,#REF!,#REF!,#REF!,#REF!,#REF!,#REF!,#REF!,#REF!,#REF!,#REF!,#REF!,#REF!</definedName>
    <definedName name="__APW_RESTORE_DATA634__" hidden="1">#REF!,#REF!,#REF!,#REF!,#REF!,#REF!,#REF!,#REF!,#REF!,#REF!,#REF!,#REF!,#REF!,#REF!,#REF!</definedName>
    <definedName name="__APW_RESTORE_DATA635__" hidden="1">#REF!,#REF!,#REF!,#REF!,#REF!,#REF!,#REF!,#REF!,#REF!,#REF!,#REF!,#REF!,#REF!,#REF!,#REF!</definedName>
    <definedName name="__APW_RESTORE_DATA636__" hidden="1">#REF!,#REF!,#REF!,#REF!,#REF!,#REF!,#REF!,#REF!,#REF!,#REF!,#REF!,#REF!,#REF!,#REF!,#REF!</definedName>
    <definedName name="__APW_RESTORE_DATA637__" hidden="1">#REF!,#REF!,#REF!,#REF!,#REF!,#REF!,#REF!,#REF!,#REF!,#REF!,#REF!,#REF!,#REF!,#REF!,#REF!</definedName>
    <definedName name="__APW_RESTORE_DATA638__" hidden="1">#REF!,#REF!,#REF!,#REF!,#REF!,#REF!,#REF!,#REF!,#REF!,#REF!,#REF!,#REF!,#REF!,#REF!,#REF!</definedName>
    <definedName name="__APW_RESTORE_DATA639__" hidden="1">#REF!,#REF!</definedName>
    <definedName name="__APW_RESTORE_DATA64__" hidden="1">#REF!,#REF!,#REF!,#REF!,#REF!,#REF!,#REF!,#REF!,#REF!,#REF!,#REF!,#REF!,#REF!,#REF!,#REF!</definedName>
    <definedName name="__APW_RESTORE_DATA640__" hidden="1">#REF!,#REF!,#REF!,#REF!,#REF!,#REF!,#REF!,#REF!,#REF!,#REF!,#REF!,#REF!,#REF!,#REF!,#REF!</definedName>
    <definedName name="__APW_RESTORE_DATA641__" hidden="1">#REF!,#REF!,#REF!,#REF!,#REF!,#REF!,#REF!,#REF!,#REF!,#REF!,#REF!,#REF!,#REF!,#REF!,#REF!</definedName>
    <definedName name="__APW_RESTORE_DATA642__" hidden="1">#REF!,#REF!,#REF!,#REF!,#REF!,#REF!,#REF!,#REF!,#REF!,#REF!,#REF!,#REF!,#REF!,#REF!,#REF!</definedName>
    <definedName name="__APW_RESTORE_DATA643__" hidden="1">#REF!,#REF!,#REF!,#REF!,#REF!,#REF!,#REF!,#REF!,#REF!,#REF!,#REF!,#REF!,#REF!,#REF!,#REF!</definedName>
    <definedName name="__APW_RESTORE_DATA644__" hidden="1">#REF!,#REF!</definedName>
    <definedName name="__APW_RESTORE_DATA645__" hidden="1">#REF!,#REF!,#REF!,#REF!,#REF!,#REF!,#REF!,#REF!,#REF!,#REF!,#REF!,#REF!,#REF!,#REF!,#REF!</definedName>
    <definedName name="__APW_RESTORE_DATA646__" hidden="1">#REF!,#REF!,#REF!,#REF!,#REF!,#REF!</definedName>
    <definedName name="__APW_RESTORE_DATA647__" hidden="1">#REF!,#REF!,#REF!,#REF!,#REF!,#REF!,#REF!,#REF!,#REF!,#REF!,#REF!,#REF!,#REF!,#REF!,#REF!,#REF!</definedName>
    <definedName name="__APW_RESTORE_DATA648__" hidden="1">#REF!,#REF!,#REF!,#REF!,#REF!,#REF!,#REF!,#REF!,#REF!,#REF!,#REF!,#REF!,#REF!,#REF!,#REF!,#REF!</definedName>
    <definedName name="__APW_RESTORE_DATA649__" hidden="1">#REF!,#REF!</definedName>
    <definedName name="__APW_RESTORE_DATA65__" hidden="1">#REF!,#REF!,#REF!,#REF!,#REF!,#REF!,#REF!,#REF!,#REF!,#REF!,#REF!,#REF!,#REF!,#REF!,#REF!</definedName>
    <definedName name="__APW_RESTORE_DATA650__" hidden="1">#REF!,#REF!,#REF!,#REF!,#REF!,#REF!,#REF!,#REF!,#REF!,#REF!,#REF!,#REF!,#REF!,#REF!,#REF!,#REF!</definedName>
    <definedName name="__APW_RESTORE_DATA651__" hidden="1">#REF!,#REF!,#REF!,#REF!,#REF!,#REF!,#REF!,#REF!,#REF!,#REF!,#REF!,#REF!,#REF!,#REF!,#REF!,#REF!</definedName>
    <definedName name="__APW_RESTORE_DATA652__" hidden="1">#REF!,#REF!,#REF!,#REF!,#REF!,#REF!,#REF!,#REF!,#REF!,#REF!,#REF!,#REF!,#REF!,#REF!,#REF!,#REF!</definedName>
    <definedName name="__APW_RESTORE_DATA653__" hidden="1">#REF!,#REF!,#REF!,#REF!,#REF!,#REF!,#REF!,#REF!,#REF!,#REF!,#REF!,#REF!,#REF!,#REF!,#REF!</definedName>
    <definedName name="__APW_RESTORE_DATA654__" hidden="1">#REF!,#REF!,#REF!,#REF!,#REF!,#REF!,#REF!,#REF!,#REF!,#REF!,#REF!,#REF!,#REF!,#REF!,#REF!</definedName>
    <definedName name="__APW_RESTORE_DATA655__" hidden="1">#REF!,#REF!,#REF!,#REF!,#REF!,#REF!,#REF!,#REF!,#REF!,#REF!,#REF!,#REF!,#REF!,#REF!,#REF!</definedName>
    <definedName name="__APW_RESTORE_DATA656__" hidden="1">#REF!,#REF!,#REF!,#REF!,#REF!,#REF!,#REF!,#REF!,#REF!,#REF!,#REF!,#REF!,#REF!,#REF!,#REF!</definedName>
    <definedName name="__APW_RESTORE_DATA657__" hidden="1">#REF!,#REF!,#REF!,#REF!,#REF!,#REF!,#REF!,#REF!,#REF!,#REF!,#REF!,#REF!,#REF!,#REF!,#REF!</definedName>
    <definedName name="__APW_RESTORE_DATA658__" hidden="1">#REF!,#REF!,#REF!,#REF!,#REF!,#REF!,#REF!,#REF!,#REF!,#REF!,#REF!,#REF!,#REF!,#REF!,#REF!</definedName>
    <definedName name="__APW_RESTORE_DATA659__" hidden="1">#REF!,#REF!,#REF!,#REF!,#REF!,#REF!,#REF!,#REF!,#REF!,#REF!,#REF!,#REF!,#REF!,#REF!,#REF!</definedName>
    <definedName name="__APW_RESTORE_DATA66__" hidden="1">#REF!,#REF!,#REF!,#REF!,#REF!,#REF!,#REF!,#REF!,#REF!,#REF!,#REF!,#REF!,#REF!,#REF!,#REF!</definedName>
    <definedName name="__APW_RESTORE_DATA660__" hidden="1">#REF!,#REF!,#REF!,#REF!,#REF!,#REF!,#REF!,#REF!,#REF!,#REF!,#REF!,#REF!,#REF!,#REF!,#REF!</definedName>
    <definedName name="__APW_RESTORE_DATA661__" hidden="1">#REF!,#REF!,#REF!,#REF!,#REF!,#REF!,#REF!,#REF!,#REF!,#REF!,#REF!,#REF!,#REF!,#REF!,#REF!</definedName>
    <definedName name="__APW_RESTORE_DATA662__" hidden="1">#REF!,#REF!,#REF!,#REF!,#REF!,#REF!,#REF!,#REF!,#REF!,#REF!,#REF!,#REF!,#REF!,#REF!,#REF!</definedName>
    <definedName name="__APW_RESTORE_DATA663__" hidden="1">#REF!,#REF!,#REF!,#REF!,#REF!,#REF!,#REF!,#REF!,#REF!,#REF!,#REF!,#REF!,#REF!,#REF!,#REF!</definedName>
    <definedName name="__APW_RESTORE_DATA664__" hidden="1">#REF!,#REF!</definedName>
    <definedName name="__APW_RESTORE_DATA665__" hidden="1">#REF!,#REF!</definedName>
    <definedName name="__APW_RESTORE_DATA666__" hidden="1">#REF!,#REF!,#REF!,#REF!,#REF!,#REF!,#REF!,#REF!,#REF!,#REF!,#REF!,#REF!,#REF!,#REF!,#REF!</definedName>
    <definedName name="__APW_RESTORE_DATA667__" hidden="1">#REF!,#REF!,#REF!,#REF!,#REF!,#REF!,#REF!,#REF!,#REF!,#REF!,#REF!,#REF!,#REF!,#REF!,#REF!</definedName>
    <definedName name="__APW_RESTORE_DATA668__" hidden="1">#REF!,#REF!,#REF!,#REF!,#REF!,#REF!,#REF!,#REF!,#REF!,#REF!,#REF!,#REF!,#REF!,#REF!,#REF!</definedName>
    <definedName name="__APW_RESTORE_DATA669__" hidden="1">#REF!,#REF!,#REF!,#REF!,#REF!,#REF!,#REF!,#REF!,#REF!,#REF!,#REF!,#REF!,#REF!,#REF!,#REF!</definedName>
    <definedName name="__APW_RESTORE_DATA67__" hidden="1">#REF!,#REF!,#REF!,#REF!,#REF!,#REF!,#REF!,#REF!,#REF!,#REF!,#REF!,#REF!,#REF!,#REF!,#REF!</definedName>
    <definedName name="__APW_RESTORE_DATA670__" hidden="1">#REF!,#REF!,#REF!,#REF!,#REF!,#REF!,#REF!,#REF!,#REF!,#REF!,#REF!,#REF!,#REF!,#REF!,#REF!</definedName>
    <definedName name="__APW_RESTORE_DATA671__" hidden="1">#REF!,#REF!,#REF!,#REF!,#REF!,#REF!,#REF!,#REF!,#REF!,#REF!,#REF!,#REF!,#REF!,#REF!,#REF!</definedName>
    <definedName name="__APW_RESTORE_DATA672__" hidden="1">#REF!,#REF!,#REF!,#REF!,#REF!,#REF!,#REF!,#REF!,#REF!,#REF!,#REF!,#REF!,#REF!,#REF!,#REF!</definedName>
    <definedName name="__APW_RESTORE_DATA673__" hidden="1">#REF!,#REF!,#REF!,#REF!,#REF!,#REF!,#REF!,#REF!,#REF!,#REF!,#REF!,#REF!,#REF!,#REF!,#REF!</definedName>
    <definedName name="__APW_RESTORE_DATA674__" hidden="1">#REF!,#REF!,#REF!,#REF!,#REF!,#REF!,#REF!,#REF!,#REF!,#REF!,#REF!,#REF!,#REF!,#REF!,#REF!</definedName>
    <definedName name="__APW_RESTORE_DATA675__" hidden="1">#REF!,#REF!,#REF!,#REF!,#REF!,#REF!,#REF!,#REF!,#REF!,#REF!,#REF!,#REF!,#REF!,#REF!,#REF!</definedName>
    <definedName name="__APW_RESTORE_DATA676__" hidden="1">#REF!,#REF!,#REF!,#REF!,#REF!,#REF!,#REF!,#REF!,#REF!,#REF!,#REF!,#REF!,#REF!,#REF!,#REF!</definedName>
    <definedName name="__APW_RESTORE_DATA677__" hidden="1">#REF!,#REF!,#REF!,#REF!,#REF!,#REF!,#REF!,#REF!,#REF!,#REF!,#REF!,#REF!,#REF!,#REF!,#REF!</definedName>
    <definedName name="__APW_RESTORE_DATA678__" hidden="1">#REF!,#REF!,#REF!,#REF!,#REF!,#REF!,#REF!,#REF!,#REF!,#REF!,#REF!,#REF!,#REF!,#REF!,#REF!</definedName>
    <definedName name="__APW_RESTORE_DATA679__" hidden="1">#REF!,#REF!,#REF!,#REF!,#REF!,#REF!,#REF!,#REF!,#REF!,#REF!,#REF!,#REF!,#REF!,#REF!,#REF!</definedName>
    <definedName name="__APW_RESTORE_DATA68__" hidden="1">#REF!,#REF!,#REF!,#REF!,#REF!,#REF!,#REF!,#REF!,#REF!,#REF!,#REF!,#REF!,#REF!,#REF!,#REF!</definedName>
    <definedName name="__APW_RESTORE_DATA680__" hidden="1">#REF!,#REF!,#REF!,#REF!,#REF!,#REF!,#REF!,#REF!,#REF!,#REF!,#REF!,#REF!,#REF!,#REF!,#REF!</definedName>
    <definedName name="__APW_RESTORE_DATA681__" hidden="1">#REF!,#REF!,#REF!,#REF!,#REF!,#REF!</definedName>
    <definedName name="__APW_RESTORE_DATA682__" hidden="1">#REF!,#REF!,#REF!,#REF!,#REF!,#REF!,#REF!,#REF!,#REF!,#REF!,#REF!,#REF!,#REF!,#REF!,#REF!,#REF!</definedName>
    <definedName name="__APW_RESTORE_DATA683__" hidden="1">#REF!,#REF!,#REF!,#REF!,#REF!,#REF!,#REF!,#REF!,#REF!,#REF!,#REF!,#REF!,#REF!,#REF!,#REF!,#REF!</definedName>
    <definedName name="__APW_RESTORE_DATA684__" hidden="1">#REF!,#REF!,#REF!,#REF!,#REF!,#REF!,#REF!,#REF!,#REF!,#REF!,#REF!,#REF!,#REF!,#REF!,#REF!,#REF!</definedName>
    <definedName name="__APW_RESTORE_DATA685__" hidden="1">#REF!,#REF!,#REF!,#REF!,#REF!,#REF!,#REF!,#REF!,#REF!,#REF!,#REF!,#REF!,#REF!,#REF!,#REF!,#REF!</definedName>
    <definedName name="__APW_RESTORE_DATA686__" hidden="1">#REF!,#REF!,#REF!,#REF!,#REF!,#REF!,#REF!,#REF!,#REF!,#REF!,#REF!,#REF!,#REF!,#REF!,#REF!,#REF!</definedName>
    <definedName name="__APW_RESTORE_DATA687__" hidden="1">#REF!,#REF!,#REF!,#REF!,#REF!,#REF!,#REF!,#REF!,#REF!,#REF!,#REF!,#REF!,#REF!,#REF!,#REF!,#REF!</definedName>
    <definedName name="__APW_RESTORE_DATA688__" hidden="1">#REF!,#REF!,#REF!,#REF!,#REF!,#REF!,#REF!,#REF!,#REF!,#REF!,#REF!,#REF!,#REF!,#REF!,#REF!</definedName>
    <definedName name="__APW_RESTORE_DATA689__" hidden="1">#REF!,#REF!,#REF!,#REF!,#REF!,#REF!,#REF!,#REF!,#REF!,#REF!,#REF!,#REF!,#REF!,#REF!,#REF!</definedName>
    <definedName name="__APW_RESTORE_DATA69__" hidden="1">#REF!,#REF!,#REF!,#REF!,#REF!,#REF!,#REF!,#REF!,#REF!,#REF!,#REF!,#REF!,#REF!,#REF!,#REF!</definedName>
    <definedName name="__APW_RESTORE_DATA690__" hidden="1">#REF!,#REF!,#REF!,#REF!,#REF!,#REF!,#REF!,#REF!,#REF!,#REF!,#REF!,#REF!,#REF!,#REF!,#REF!</definedName>
    <definedName name="__APW_RESTORE_DATA691__" hidden="1">#REF!,#REF!,#REF!,#REF!,#REF!,#REF!,#REF!,#REF!,#REF!,#REF!,#REF!,#REF!,#REF!,#REF!,#REF!</definedName>
    <definedName name="__APW_RESTORE_DATA692__" hidden="1">#REF!,#REF!,#REF!,#REF!,#REF!,#REF!,#REF!,#REF!,#REF!,#REF!,#REF!,#REF!,#REF!,#REF!,#REF!</definedName>
    <definedName name="__APW_RESTORE_DATA693__" hidden="1">#REF!,#REF!,#REF!,#REF!,#REF!,#REF!,#REF!,#REF!,#REF!,#REF!,#REF!,#REF!,#REF!,#REF!,#REF!</definedName>
    <definedName name="__APW_RESTORE_DATA694__" hidden="1">#REF!,#REF!,#REF!,#REF!,#REF!,#REF!,#REF!,#REF!,#REF!,#REF!,#REF!,#REF!,#REF!,#REF!,#REF!</definedName>
    <definedName name="__APW_RESTORE_DATA695__" hidden="1">#REF!,#REF!,#REF!,#REF!,#REF!,#REF!,#REF!,#REF!,#REF!,#REF!,#REF!,#REF!,#REF!,#REF!,#REF!</definedName>
    <definedName name="__APW_RESTORE_DATA696__" hidden="1">#REF!,#REF!,#REF!,#REF!,#REF!,#REF!,#REF!,#REF!,#REF!,#REF!,#REF!,#REF!,#REF!,#REF!,#REF!</definedName>
    <definedName name="__APW_RESTORE_DATA697__" hidden="1">#REF!,#REF!,#REF!,#REF!,#REF!,#REF!,#REF!,#REF!,#REF!,#REF!,#REF!,#REF!,#REF!,#REF!,#REF!</definedName>
    <definedName name="__APW_RESTORE_DATA698__" hidden="1">#REF!,#REF!,#REF!,#REF!,#REF!,#REF!,#REF!,#REF!,#REF!,#REF!,#REF!,#REF!,#REF!,#REF!,#REF!</definedName>
    <definedName name="__APW_RESTORE_DATA699__" hidden="1">#REF!,#REF!,#REF!,#REF!,#REF!,#REF!,#REF!,#REF!,#REF!,#REF!,#REF!,#REF!,#REF!,#REF!,#REF!</definedName>
    <definedName name="__APW_RESTORE_DATA7__" hidden="1">#REF!</definedName>
    <definedName name="__APW_RESTORE_DATA70__" hidden="1">#REF!,#REF!,#REF!,#REF!,#REF!,#REF!,#REF!,#REF!,#REF!,#REF!,#REF!,#REF!,#REF!,#REF!,#REF!</definedName>
    <definedName name="__APW_RESTORE_DATA700__" hidden="1">#REF!,#REF!,#REF!,#REF!,#REF!,#REF!,#REF!,#REF!,#REF!,#REF!,#REF!,#REF!,#REF!,#REF!,#REF!</definedName>
    <definedName name="__APW_RESTORE_DATA701__" hidden="1">#REF!,#REF!,#REF!,#REF!,#REF!,#REF!,#REF!,#REF!,#REF!,#REF!,#REF!,#REF!,#REF!,#REF!,#REF!</definedName>
    <definedName name="__APW_RESTORE_DATA702__" hidden="1">#REF!,#REF!,#REF!,#REF!,#REF!,#REF!,#REF!,#REF!,#REF!,#REF!,#REF!,#REF!,#REF!,#REF!,#REF!</definedName>
    <definedName name="__APW_RESTORE_DATA703__" hidden="1">#REF!,#REF!,#REF!,#REF!,#REF!,#REF!,#REF!,#REF!,#REF!,#REF!,#REF!,#REF!,#REF!,#REF!,#REF!</definedName>
    <definedName name="__APW_RESTORE_DATA704__" hidden="1">#REF!,#REF!,#REF!,#REF!,#REF!,#REF!,#REF!,#REF!,#REF!,#REF!,#REF!,#REF!,#REF!,#REF!,#REF!</definedName>
    <definedName name="__APW_RESTORE_DATA705__" hidden="1">#REF!,#REF!,#REF!,#REF!,#REF!,#REF!,#REF!,#REF!,#REF!,#REF!,#REF!,#REF!,#REF!,#REF!,#REF!</definedName>
    <definedName name="__APW_RESTORE_DATA706__" hidden="1">#REF!,#REF!,#REF!,#REF!,#REF!,#REF!,#REF!,#REF!,#REF!,#REF!,#REF!,#REF!,#REF!,#REF!,#REF!</definedName>
    <definedName name="__APW_RESTORE_DATA707__" hidden="1">#REF!,#REF!,#REF!,#REF!,#REF!,#REF!,#REF!,#REF!,#REF!,#REF!,#REF!,#REF!,#REF!,#REF!,#REF!</definedName>
    <definedName name="__APW_RESTORE_DATA708__" hidden="1">#REF!,#REF!,#REF!,#REF!,#REF!,#REF!,#REF!,#REF!,#REF!,#REF!,#REF!,#REF!,#REF!,#REF!,#REF!</definedName>
    <definedName name="__APW_RESTORE_DATA709__" hidden="1">#REF!,#REF!,#REF!,#REF!,#REF!,#REF!,#REF!,#REF!,#REF!,#REF!,#REF!,#REF!,#REF!,#REF!,#REF!</definedName>
    <definedName name="__APW_RESTORE_DATA71__" hidden="1">#REF!,#REF!,#REF!,#REF!,#REF!,#REF!,#REF!,#REF!,#REF!,#REF!,#REF!,#REF!,#REF!,#REF!,#REF!</definedName>
    <definedName name="__APW_RESTORE_DATA710__" hidden="1">#REF!,#REF!,#REF!,#REF!,#REF!,#REF!,#REF!,#REF!,#REF!,#REF!,#REF!,#REF!,#REF!,#REF!,#REF!</definedName>
    <definedName name="__APW_RESTORE_DATA711__" hidden="1">#REF!,#REF!,#REF!,#REF!,#REF!,#REF!,#REF!,#REF!,#REF!,#REF!,#REF!,#REF!,#REF!,#REF!,#REF!</definedName>
    <definedName name="__APW_RESTORE_DATA712__" hidden="1">#REF!,#REF!,#REF!,#REF!,#REF!,#REF!,#REF!,#REF!,#REF!,#REF!,#REF!,#REF!,#REF!,#REF!,#REF!</definedName>
    <definedName name="__APW_RESTORE_DATA713__" hidden="1">#REF!,#REF!,#REF!,#REF!,#REF!,#REF!,#REF!,#REF!,#REF!,#REF!,#REF!,#REF!,#REF!,#REF!,#REF!</definedName>
    <definedName name="__APW_RESTORE_DATA714__" hidden="1">#REF!,#REF!,#REF!,#REF!,#REF!,#REF!,#REF!,#REF!,#REF!,#REF!,#REF!,#REF!,#REF!,#REF!,#REF!</definedName>
    <definedName name="__APW_RESTORE_DATA715__" hidden="1">#REF!,#REF!,#REF!,#REF!,#REF!,#REF!,#REF!,#REF!,#REF!,#REF!,#REF!,#REF!,#REF!,#REF!,#REF!</definedName>
    <definedName name="__APW_RESTORE_DATA716__" hidden="1">#REF!,#REF!,#REF!,#REF!,#REF!,#REF!</definedName>
    <definedName name="__APW_RESTORE_DATA717__" hidden="1">#REF!</definedName>
    <definedName name="__APW_RESTORE_DATA718__" hidden="1">#REF!</definedName>
    <definedName name="__APW_RESTORE_DATA719__" hidden="1">#REF!,#REF!</definedName>
    <definedName name="__APW_RESTORE_DATA72__" hidden="1">#REF!,#REF!,#REF!,#REF!,#REF!,#REF!,#REF!,#REF!,#REF!,#REF!,#REF!,#REF!,#REF!,#REF!,#REF!</definedName>
    <definedName name="__APW_RESTORE_DATA720__" hidden="1">#REF!</definedName>
    <definedName name="__APW_RESTORE_DATA721__" hidden="1">#REF!,#REF!,#REF!,#REF!,#REF!,#REF!,#REF!,#REF!,#REF!,#REF!,#REF!,#REF!,#REF!,#REF!,#REF!,#REF!</definedName>
    <definedName name="__APW_RESTORE_DATA722__" hidden="1">#REF!,#REF!,#REF!,#REF!,#REF!,#REF!,#REF!,#REF!,#REF!,#REF!,#REF!,#REF!,#REF!,#REF!,#REF!,#REF!</definedName>
    <definedName name="__APW_RESTORE_DATA723__" hidden="1">#REF!,#REF!,#REF!,#REF!,#REF!,#REF!,#REF!,#REF!,#REF!,#REF!,#REF!,#REF!,#REF!,#REF!,#REF!,#REF!</definedName>
    <definedName name="__APW_RESTORE_DATA724__" hidden="1">#REF!,#REF!,#REF!,#REF!,#REF!,#REF!,#REF!,#REF!,#REF!,#REF!,#REF!,#REF!,#REF!,#REF!,#REF!,#REF!</definedName>
    <definedName name="__APW_RESTORE_DATA725__" hidden="1">#REF!,#REF!,#REF!,#REF!,#REF!,#REF!,#REF!,#REF!,#REF!,#REF!,#REF!,#REF!,#REF!,#REF!,#REF!,#REF!</definedName>
    <definedName name="__APW_RESTORE_DATA726__" hidden="1">#REF!,#REF!,#REF!,#REF!,#REF!,#REF!,#REF!,#REF!,#REF!,#REF!,#REF!,#REF!,#REF!,#REF!,#REF!,#REF!</definedName>
    <definedName name="__APW_RESTORE_DATA727__" hidden="1">#REF!,#REF!,#REF!,#REF!,#REF!,#REF!,#REF!,#REF!,#REF!,#REF!,#REF!,#REF!,#REF!,#REF!,#REF!</definedName>
    <definedName name="__APW_RESTORE_DATA728__" hidden="1">#REF!,#REF!,#REF!,#REF!,#REF!,#REF!,#REF!,#REF!,#REF!,#REF!,#REF!,#REF!,#REF!,#REF!,#REF!</definedName>
    <definedName name="__APW_RESTORE_DATA729__" hidden="1">#REF!,#REF!,#REF!,#REF!,#REF!,#REF!,#REF!,#REF!,#REF!,#REF!,#REF!,#REF!,#REF!,#REF!,#REF!</definedName>
    <definedName name="__APW_RESTORE_DATA73__" hidden="1">#REF!,#REF!,#REF!,#REF!,#REF!,#REF!,#REF!,#REF!,#REF!,#REF!,#REF!,#REF!,#REF!,#REF!,#REF!</definedName>
    <definedName name="__APW_RESTORE_DATA730__" hidden="1">#REF!,#REF!,#REF!,#REF!,#REF!,#REF!,#REF!,#REF!,#REF!,#REF!,#REF!,#REF!,#REF!,#REF!,#REF!</definedName>
    <definedName name="__APW_RESTORE_DATA731__" hidden="1">#REF!,#REF!,#REF!,#REF!,#REF!,#REF!,#REF!,#REF!,#REF!,#REF!,#REF!,#REF!,#REF!,#REF!,#REF!</definedName>
    <definedName name="__APW_RESTORE_DATA732__" hidden="1">#REF!,#REF!,#REF!,#REF!,#REF!,#REF!,#REF!,#REF!,#REF!,#REF!,#REF!,#REF!,#REF!,#REF!,#REF!</definedName>
    <definedName name="__APW_RESTORE_DATA733__" hidden="1">#REF!,#REF!,#REF!,#REF!,#REF!,#REF!,#REF!,#REF!,#REF!,#REF!,#REF!,#REF!,#REF!,#REF!,#REF!</definedName>
    <definedName name="__APW_RESTORE_DATA734__" hidden="1">#REF!,#REF!,#REF!,#REF!,#REF!,#REF!,#REF!,#REF!,#REF!,#REF!,#REF!,#REF!,#REF!,#REF!,#REF!</definedName>
    <definedName name="__APW_RESTORE_DATA735__" hidden="1">#REF!,#REF!,#REF!,#REF!,#REF!,#REF!,#REF!,#REF!,#REF!,#REF!,#REF!,#REF!,#REF!,#REF!,#REF!</definedName>
    <definedName name="__APW_RESTORE_DATA736__" hidden="1">#REF!,#REF!,#REF!,#REF!,#REF!,#REF!,#REF!,#REF!,#REF!,#REF!,#REF!,#REF!,#REF!,#REF!,#REF!</definedName>
    <definedName name="__APW_RESTORE_DATA737__" hidden="1">#REF!,#REF!,#REF!,#REF!,#REF!,#REF!,#REF!,#REF!,#REF!,#REF!,#REF!,#REF!,#REF!,#REF!,#REF!</definedName>
    <definedName name="__APW_RESTORE_DATA738__" hidden="1">#REF!,#REF!,#REF!,#REF!,#REF!,#REF!,#REF!,#REF!,#REF!,#REF!,#REF!,#REF!,#REF!,#REF!,#REF!</definedName>
    <definedName name="__APW_RESTORE_DATA739__" hidden="1">#REF!,#REF!,#REF!,#REF!,#REF!,#REF!,#REF!,#REF!,#REF!,#REF!,#REF!,#REF!,#REF!,#REF!,#REF!</definedName>
    <definedName name="__APW_RESTORE_DATA74__" hidden="1">#REF!,#REF!,#REF!,#REF!,#REF!,#REF!,#REF!</definedName>
    <definedName name="__APW_RESTORE_DATA740__" hidden="1">#REF!,#REF!,#REF!,#REF!,#REF!,#REF!,#REF!,#REF!,#REF!,#REF!,#REF!,#REF!,#REF!,#REF!,#REF!</definedName>
    <definedName name="__APW_RESTORE_DATA741__" hidden="1">#REF!,#REF!,#REF!,#REF!,#REF!,#REF!,#REF!,#REF!,#REF!,#REF!,#REF!,#REF!,#REF!,#REF!,#REF!</definedName>
    <definedName name="__APW_RESTORE_DATA742__" hidden="1">#REF!,#REF!,#REF!,#REF!,#REF!,#REF!,#REF!,#REF!,#REF!,#REF!,#REF!,#REF!,#REF!,#REF!,#REF!</definedName>
    <definedName name="__APW_RESTORE_DATA743__" hidden="1">#REF!,#REF!,#REF!,#REF!,#REF!,#REF!,#REF!,#REF!,#REF!,#REF!,#REF!,#REF!,#REF!,#REF!,#REF!</definedName>
    <definedName name="__APW_RESTORE_DATA744__" hidden="1">#REF!,#REF!,#REF!,#REF!,#REF!,#REF!,#REF!,#REF!,#REF!,#REF!,#REF!,#REF!,#REF!,#REF!,#REF!</definedName>
    <definedName name="__APW_RESTORE_DATA745__" hidden="1">#REF!,#REF!,#REF!,#REF!,#REF!,#REF!,#REF!,#REF!,#REF!,#REF!,#REF!,#REF!,#REF!,#REF!,#REF!</definedName>
    <definedName name="__APW_RESTORE_DATA746__" hidden="1">#REF!,#REF!,#REF!,#REF!,#REF!,#REF!,#REF!,#REF!,#REF!,#REF!,#REF!,#REF!,#REF!,#REF!,#REF!</definedName>
    <definedName name="__APW_RESTORE_DATA747__" hidden="1">#REF!,#REF!,#REF!,#REF!,#REF!,#REF!,#REF!,#REF!,#REF!,#REF!,#REF!,#REF!,#REF!,#REF!,#REF!</definedName>
    <definedName name="__APW_RESTORE_DATA748__" hidden="1">#REF!,#REF!,#REF!,#REF!,#REF!,#REF!,#REF!,#REF!,#REF!,#REF!,#REF!,#REF!,#REF!,#REF!,#REF!</definedName>
    <definedName name="__APW_RESTORE_DATA749__" hidden="1">#REF!,#REF!,#REF!,#REF!,#REF!,#REF!,#REF!,#REF!,#REF!,#REF!,#REF!,#REF!,#REF!,#REF!,#REF!</definedName>
    <definedName name="__APW_RESTORE_DATA75__" hidden="1">#REF!,#REF!,#REF!,#REF!,#REF!,#REF!,#REF!,#REF!,#REF!,#REF!,#REF!,#REF!,#REF!,#REF!,#REF!,#REF!</definedName>
    <definedName name="__APW_RESTORE_DATA750__" hidden="1">#REF!,#REF!,#REF!,#REF!,#REF!,#REF!,#REF!,#REF!,#REF!,#REF!,#REF!,#REF!,#REF!,#REF!,#REF!</definedName>
    <definedName name="__APW_RESTORE_DATA751__" hidden="1">#REF!,#REF!,#REF!,#REF!,#REF!,#REF!,#REF!,#REF!,#REF!,#REF!,#REF!,#REF!,#REF!,#REF!,#REF!</definedName>
    <definedName name="__APW_RESTORE_DATA752__" hidden="1">#REF!,#REF!,#REF!,#REF!,#REF!,#REF!,#REF!,#REF!,#REF!,#REF!,#REF!,#REF!,#REF!,#REF!,#REF!</definedName>
    <definedName name="__APW_RESTORE_DATA753__" hidden="1">#REF!,#REF!,#REF!,#REF!,#REF!,#REF!,#REF!,#REF!,#REF!,#REF!,#REF!,#REF!,#REF!,#REF!,#REF!</definedName>
    <definedName name="__APW_RESTORE_DATA754__" hidden="1">#REF!,#REF!,#REF!,#REF!,#REF!,#REF!,#REF!,#REF!,#REF!,#REF!,#REF!,#REF!,#REF!,#REF!,#REF!</definedName>
    <definedName name="__APW_RESTORE_DATA755__" hidden="1">#REF!,#REF!,#REF!,#REF!,#REF!,#REF!</definedName>
    <definedName name="__APW_RESTORE_DATA756__" hidden="1">#REF!,#REF!,#REF!,#REF!,#REF!,#REF!,#REF!,#REF!,#REF!,#REF!,#REF!,#REF!,#REF!,#REF!,#REF!,#REF!</definedName>
    <definedName name="__APW_RESTORE_DATA757__" hidden="1">#REF!,#REF!,#REF!,#REF!,#REF!,#REF!,#REF!,#REF!,#REF!,#REF!,#REF!,#REF!,#REF!,#REF!,#REF!,#REF!</definedName>
    <definedName name="__APW_RESTORE_DATA758__" hidden="1">#REF!,#REF!,#REF!,#REF!,#REF!,#REF!,#REF!,#REF!,#REF!,#REF!,#REF!,#REF!,#REF!,#REF!,#REF!,#REF!</definedName>
    <definedName name="__APW_RESTORE_DATA759__" hidden="1">#REF!,#REF!,#REF!,#REF!,#REF!,#REF!,#REF!,#REF!,#REF!,#REF!,#REF!,#REF!,#REF!,#REF!,#REF!,#REF!</definedName>
    <definedName name="__APW_RESTORE_DATA76__" hidden="1">#REF!,#REF!</definedName>
    <definedName name="__APW_RESTORE_DATA760__" hidden="1">#REF!,#REF!,#REF!,#REF!,#REF!,#REF!,#REF!,#REF!,#REF!,#REF!,#REF!,#REF!,#REF!,#REF!,#REF!,#REF!</definedName>
    <definedName name="__APW_RESTORE_DATA761__" hidden="1">#REF!,#REF!,#REF!,#REF!,#REF!,#REF!,#REF!,#REF!,#REF!,#REF!,#REF!,#REF!,#REF!,#REF!,#REF!,#REF!</definedName>
    <definedName name="__APW_RESTORE_DATA762__" hidden="1">#REF!,#REF!,#REF!,#REF!,#REF!,#REF!,#REF!,#REF!,#REF!,#REF!,#REF!,#REF!,#REF!,#REF!,#REF!</definedName>
    <definedName name="__APW_RESTORE_DATA763__" hidden="1">#REF!,#REF!,#REF!,#REF!,#REF!,#REF!,#REF!,#REF!,#REF!,#REF!,#REF!,#REF!,#REF!,#REF!,#REF!</definedName>
    <definedName name="__APW_RESTORE_DATA764__" hidden="1">#REF!,#REF!,#REF!,#REF!,#REF!,#REF!,#REF!,#REF!,#REF!,#REF!,#REF!,#REF!,#REF!,#REF!,#REF!</definedName>
    <definedName name="__APW_RESTORE_DATA765__" hidden="1">#REF!,#REF!,#REF!,#REF!,#REF!,#REF!,#REF!,#REF!,#REF!,#REF!,#REF!,#REF!,#REF!,#REF!,#REF!</definedName>
    <definedName name="__APW_RESTORE_DATA766__" hidden="1">#REF!,#REF!,#REF!,#REF!,#REF!,#REF!,#REF!,#REF!,#REF!,#REF!,#REF!,#REF!,#REF!,#REF!,#REF!</definedName>
    <definedName name="__APW_RESTORE_DATA767__" hidden="1">#REF!,#REF!,#REF!,#REF!,#REF!,#REF!,#REF!,#REF!,#REF!,#REF!,#REF!,#REF!,#REF!,#REF!,#REF!</definedName>
    <definedName name="__APW_RESTORE_DATA768__" hidden="1">#REF!,#REF!,#REF!,#REF!,#REF!,#REF!,#REF!,#REF!,#REF!,#REF!,#REF!,#REF!,#REF!,#REF!,#REF!</definedName>
    <definedName name="__APW_RESTORE_DATA769__" hidden="1">#REF!,#REF!,#REF!,#REF!,#REF!,#REF!,#REF!,#REF!,#REF!,#REF!,#REF!,#REF!,#REF!,#REF!,#REF!</definedName>
    <definedName name="__APW_RESTORE_DATA77__" hidden="1">#REF!,#REF!</definedName>
    <definedName name="__APW_RESTORE_DATA770__" hidden="1">#REF!,#REF!,#REF!,#REF!,#REF!,#REF!,#REF!,#REF!,#REF!,#REF!,#REF!,#REF!,#REF!,#REF!,#REF!</definedName>
    <definedName name="__APW_RESTORE_DATA771__" hidden="1">#REF!,#REF!,#REF!,#REF!,#REF!,#REF!,#REF!,#REF!,#REF!,#REF!,#REF!,#REF!,#REF!,#REF!,#REF!</definedName>
    <definedName name="__APW_RESTORE_DATA772__" hidden="1">#REF!,#REF!,#REF!,#REF!,#REF!,#REF!,#REF!,#REF!,#REF!,#REF!,#REF!,#REF!,#REF!,#REF!,#REF!</definedName>
    <definedName name="__APW_RESTORE_DATA773__" hidden="1">#REF!,#REF!,#REF!,#REF!,#REF!,#REF!,#REF!,#REF!,#REF!,#REF!,#REF!,#REF!,#REF!,#REF!,#REF!</definedName>
    <definedName name="__APW_RESTORE_DATA774__" hidden="1">#REF!,#REF!,#REF!,#REF!,#REF!,#REF!,#REF!,#REF!,#REF!,#REF!,#REF!,#REF!,#REF!,#REF!,#REF!</definedName>
    <definedName name="__APW_RESTORE_DATA775__" hidden="1">#REF!,#REF!,#REF!,#REF!,#REF!,#REF!,#REF!,#REF!,#REF!,#REF!,#REF!,#REF!,#REF!,#REF!,#REF!</definedName>
    <definedName name="__APW_RESTORE_DATA776__" hidden="1">#REF!,#REF!,#REF!,#REF!,#REF!,#REF!,#REF!,#REF!,#REF!,#REF!,#REF!,#REF!,#REF!,#REF!,#REF!</definedName>
    <definedName name="__APW_RESTORE_DATA777__" hidden="1">#REF!,#REF!,#REF!,#REF!,#REF!,#REF!,#REF!,#REF!,#REF!,#REF!,#REF!,#REF!,#REF!,#REF!,#REF!</definedName>
    <definedName name="__APW_RESTORE_DATA778__" hidden="1">#REF!,#REF!,#REF!,#REF!,#REF!,#REF!,#REF!,#REF!,#REF!,#REF!,#REF!,#REF!,#REF!,#REF!,#REF!</definedName>
    <definedName name="__APW_RESTORE_DATA779__" hidden="1">#REF!,#REF!,#REF!,#REF!,#REF!,#REF!,#REF!,#REF!,#REF!,#REF!,#REF!,#REF!,#REF!,#REF!,#REF!</definedName>
    <definedName name="__APW_RESTORE_DATA78__" hidden="1">#REF!,#REF!,#REF!,#REF!,#REF!,#REF!,#REF!,#REF!,#REF!,#REF!,#REF!,#REF!,#REF!,#REF!,#REF!,#REF!</definedName>
    <definedName name="__APW_RESTORE_DATA780__" hidden="1">#REF!,#REF!,#REF!,#REF!,#REF!,#REF!,#REF!,#REF!,#REF!,#REF!,#REF!,#REF!,#REF!,#REF!,#REF!</definedName>
    <definedName name="__APW_RESTORE_DATA781__" hidden="1">#REF!,#REF!,#REF!,#REF!,#REF!,#REF!,#REF!,#REF!,#REF!,#REF!,#REF!,#REF!,#REF!,#REF!,#REF!</definedName>
    <definedName name="__APW_RESTORE_DATA782__" hidden="1">#REF!,#REF!,#REF!,#REF!,#REF!,#REF!,#REF!,#REF!,#REF!,#REF!,#REF!,#REF!,#REF!,#REF!,#REF!</definedName>
    <definedName name="__APW_RESTORE_DATA783__" hidden="1">#REF!,#REF!,#REF!,#REF!,#REF!,#REF!,#REF!,#REF!,#REF!,#REF!,#REF!,#REF!,#REF!,#REF!,#REF!</definedName>
    <definedName name="__APW_RESTORE_DATA784__" hidden="1">#REF!,#REF!,#REF!,#REF!,#REF!,#REF!,#REF!,#REF!,#REF!,#REF!,#REF!,#REF!,#REF!,#REF!,#REF!</definedName>
    <definedName name="__APW_RESTORE_DATA785__" hidden="1">#REF!,#REF!,#REF!,#REF!,#REF!,#REF!,#REF!,#REF!,#REF!,#REF!,#REF!,#REF!,#REF!,#REF!,#REF!</definedName>
    <definedName name="__APW_RESTORE_DATA786__" hidden="1">#REF!,#REF!,#REF!,#REF!,#REF!,#REF!,#REF!,#REF!,#REF!,#REF!,#REF!,#REF!,#REF!,#REF!,#REF!</definedName>
    <definedName name="__APW_RESTORE_DATA787__" hidden="1">#REF!,#REF!,#REF!,#REF!,#REF!,#REF!,#REF!,#REF!,#REF!,#REF!,#REF!,#REF!,#REF!,#REF!,#REF!</definedName>
    <definedName name="__APW_RESTORE_DATA788__" hidden="1">#REF!,#REF!,#REF!,#REF!,#REF!,#REF!,#REF!,#REF!,#REF!,#REF!,#REF!,#REF!,#REF!,#REF!,#REF!</definedName>
    <definedName name="__APW_RESTORE_DATA789__" hidden="1">#REF!,#REF!,#REF!,#REF!,#REF!,#REF!,#REF!,#REF!,#REF!,#REF!,#REF!,#REF!,#REF!,#REF!,#REF!</definedName>
    <definedName name="__APW_RESTORE_DATA79__" hidden="1">#REF!,#REF!,#REF!,#REF!,#REF!,#REF!,#REF!,#REF!,#REF!,#REF!,#REF!,#REF!,#REF!,#REF!,#REF!,#REF!</definedName>
    <definedName name="__APW_RESTORE_DATA790__" hidden="1">#REF!,#REF!,#REF!,#REF!,#REF!,#REF!</definedName>
    <definedName name="__APW_RESTORE_DATA791__" hidden="1">#REF!,#REF!,#REF!,#REF!,#REF!,#REF!,#REF!,#REF!,#REF!,#REF!,#REF!,#REF!,#REF!,#REF!,#REF!,#REF!</definedName>
    <definedName name="__APW_RESTORE_DATA792__" hidden="1">#REF!,#REF!,#REF!,#REF!,#REF!,#REF!,#REF!,#REF!,#REF!,#REF!,#REF!,#REF!,#REF!,#REF!,#REF!,#REF!</definedName>
    <definedName name="__APW_RESTORE_DATA793__" hidden="1">#REF!,#REF!,#REF!,#REF!,#REF!,#REF!,#REF!,#REF!,#REF!,#REF!,#REF!,#REF!,#REF!,#REF!,#REF!,#REF!</definedName>
    <definedName name="__APW_RESTORE_DATA794__" hidden="1">#REF!,#REF!,#REF!,#REF!,#REF!,#REF!,#REF!,#REF!,#REF!,#REF!,#REF!,#REF!,#REF!,#REF!,#REF!,#REF!</definedName>
    <definedName name="__APW_RESTORE_DATA795__" hidden="1">#REF!,#REF!,#REF!,#REF!,#REF!,#REF!,#REF!,#REF!,#REF!,#REF!,#REF!,#REF!,#REF!,#REF!,#REF!,#REF!</definedName>
    <definedName name="__APW_RESTORE_DATA796__" hidden="1">#REF!,#REF!,#REF!,#REF!,#REF!,#REF!,#REF!,#REF!,#REF!,#REF!,#REF!,#REF!,#REF!,#REF!,#REF!,#REF!</definedName>
    <definedName name="__APW_RESTORE_DATA797__" hidden="1">#REF!,#REF!,#REF!,#REF!,#REF!,#REF!,#REF!,#REF!,#REF!,#REF!,#REF!,#REF!,#REF!,#REF!,#REF!</definedName>
    <definedName name="__APW_RESTORE_DATA798__" hidden="1">#REF!,#REF!,#REF!,#REF!,#REF!,#REF!,#REF!,#REF!,#REF!,#REF!,#REF!,#REF!,#REF!,#REF!,#REF!</definedName>
    <definedName name="__APW_RESTORE_DATA799__" hidden="1">#REF!,#REF!,#REF!,#REF!,#REF!,#REF!,#REF!,#REF!,#REF!,#REF!,#REF!,#REF!,#REF!,#REF!,#REF!</definedName>
    <definedName name="__APW_RESTORE_DATA8__" hidden="1">#REF!</definedName>
    <definedName name="__APW_RESTORE_DATA80__" hidden="1">#REF!,#REF!,#REF!,#REF!,#REF!,#REF!,#REF!,#REF!,#REF!,#REF!,#REF!,#REF!,#REF!,#REF!,#REF!,#REF!</definedName>
    <definedName name="__APW_RESTORE_DATA800__" hidden="1">#REF!,#REF!,#REF!,#REF!,#REF!,#REF!,#REF!,#REF!,#REF!,#REF!,#REF!,#REF!,#REF!,#REF!,#REF!</definedName>
    <definedName name="__APW_RESTORE_DATA801__" hidden="1">#REF!,#REF!,#REF!,#REF!,#REF!,#REF!,#REF!,#REF!,#REF!,#REF!,#REF!,#REF!,#REF!,#REF!,#REF!</definedName>
    <definedName name="__APW_RESTORE_DATA802__" hidden="1">#REF!,#REF!,#REF!,#REF!,#REF!,#REF!,#REF!,#REF!,#REF!,#REF!,#REF!,#REF!,#REF!,#REF!,#REF!</definedName>
    <definedName name="__APW_RESTORE_DATA803__" hidden="1">#REF!,#REF!,#REF!,#REF!,#REF!,#REF!,#REF!,#REF!,#REF!,#REF!,#REF!,#REF!,#REF!,#REF!,#REF!</definedName>
    <definedName name="__APW_RESTORE_DATA804__" hidden="1">#REF!,#REF!,#REF!,#REF!,#REF!,#REF!,#REF!,#REF!,#REF!,#REF!,#REF!,#REF!,#REF!,#REF!,#REF!</definedName>
    <definedName name="__APW_RESTORE_DATA805__" hidden="1">#REF!,#REF!,#REF!,#REF!,#REF!,#REF!,#REF!,#REF!,#REF!,#REF!,#REF!,#REF!,#REF!,#REF!,#REF!</definedName>
    <definedName name="__APW_RESTORE_DATA806__" hidden="1">#REF!,#REF!,#REF!,#REF!,#REF!,#REF!,#REF!,#REF!,#REF!,#REF!,#REF!,#REF!,#REF!,#REF!,#REF!</definedName>
    <definedName name="__APW_RESTORE_DATA807__" hidden="1">#REF!,#REF!,#REF!,#REF!,#REF!,#REF!,#REF!,#REF!,#REF!,#REF!,#REF!,#REF!,#REF!,#REF!,#REF!</definedName>
    <definedName name="__APW_RESTORE_DATA808__" hidden="1">#REF!,#REF!,#REF!,#REF!,#REF!,#REF!,#REF!,#REF!,#REF!,#REF!,#REF!,#REF!,#REF!,#REF!,#REF!</definedName>
    <definedName name="__APW_RESTORE_DATA809__" hidden="1">#REF!,#REF!,#REF!,#REF!,#REF!,#REF!,#REF!,#REF!,#REF!,#REF!,#REF!,#REF!,#REF!,#REF!,#REF!</definedName>
    <definedName name="__APW_RESTORE_DATA81__" hidden="1">#REF!,#REF!,#REF!,#REF!,#REF!,#REF!,#REF!,#REF!,#REF!,#REF!,#REF!,#REF!,#REF!,#REF!,#REF!</definedName>
    <definedName name="__APW_RESTORE_DATA810__" hidden="1">#REF!,#REF!,#REF!,#REF!,#REF!,#REF!,#REF!,#REF!,#REF!,#REF!,#REF!,#REF!,#REF!,#REF!,#REF!</definedName>
    <definedName name="__APW_RESTORE_DATA811__" hidden="1">#REF!,#REF!,#REF!,#REF!,#REF!,#REF!,#REF!,#REF!,#REF!,#REF!,#REF!,#REF!,#REF!,#REF!,#REF!</definedName>
    <definedName name="__APW_RESTORE_DATA812__" hidden="1">#REF!,#REF!,#REF!,#REF!,#REF!,#REF!,#REF!,#REF!,#REF!,#REF!,#REF!,#REF!,#REF!,#REF!,#REF!</definedName>
    <definedName name="__APW_RESTORE_DATA813__" hidden="1">#REF!,#REF!,#REF!,#REF!,#REF!,#REF!,#REF!,#REF!,#REF!,#REF!,#REF!,#REF!,#REF!,#REF!,#REF!</definedName>
    <definedName name="__APW_RESTORE_DATA814__" hidden="1">#REF!,#REF!,#REF!,#REF!,#REF!,#REF!,#REF!,#REF!,#REF!,#REF!,#REF!,#REF!,#REF!,#REF!,#REF!</definedName>
    <definedName name="__APW_RESTORE_DATA815__" hidden="1">#REF!,#REF!,#REF!,#REF!,#REF!,#REF!,#REF!,#REF!,#REF!,#REF!,#REF!,#REF!,#REF!,#REF!,#REF!</definedName>
    <definedName name="__APW_RESTORE_DATA816__" hidden="1">#REF!,#REF!,#REF!,#REF!,#REF!,#REF!,#REF!,#REF!,#REF!,#REF!,#REF!,#REF!,#REF!,#REF!,#REF!</definedName>
    <definedName name="__APW_RESTORE_DATA817__" hidden="1">#REF!,#REF!,#REF!,#REF!,#REF!,#REF!,#REF!,#REF!,#REF!,#REF!,#REF!,#REF!,#REF!,#REF!,#REF!</definedName>
    <definedName name="__APW_RESTORE_DATA818__" hidden="1">#REF!,#REF!,#REF!,#REF!,#REF!,#REF!,#REF!,#REF!,#REF!,#REF!,#REF!,#REF!,#REF!,#REF!,#REF!</definedName>
    <definedName name="__APW_RESTORE_DATA819__" hidden="1">#REF!,#REF!,#REF!,#REF!,#REF!,#REF!,#REF!,#REF!,#REF!,#REF!,#REF!,#REF!,#REF!,#REF!,#REF!</definedName>
    <definedName name="__APW_RESTORE_DATA82__" hidden="1">#REF!,#REF!,#REF!,#REF!,#REF!,#REF!,#REF!,#REF!,#REF!,#REF!,#REF!,#REF!,#REF!,#REF!,#REF!</definedName>
    <definedName name="__APW_RESTORE_DATA820__" hidden="1">#REF!,#REF!,#REF!,#REF!,#REF!,#REF!,#REF!,#REF!,#REF!,#REF!,#REF!,#REF!,#REF!,#REF!,#REF!</definedName>
    <definedName name="__APW_RESTORE_DATA821__" hidden="1">#REF!,#REF!,#REF!,#REF!,#REF!,#REF!,#REF!,#REF!,#REF!,#REF!,#REF!,#REF!,#REF!,#REF!,#REF!</definedName>
    <definedName name="__APW_RESTORE_DATA822__" hidden="1">#REF!,#REF!,#REF!,#REF!,#REF!,#REF!,#REF!,#REF!,#REF!,#REF!,#REF!,#REF!,#REF!,#REF!,#REF!</definedName>
    <definedName name="__APW_RESTORE_DATA823__" hidden="1">#REF!,#REF!,#REF!,#REF!,#REF!,#REF!,#REF!,#REF!,#REF!,#REF!,#REF!,#REF!,#REF!,#REF!,#REF!</definedName>
    <definedName name="__APW_RESTORE_DATA824__" hidden="1">#REF!,#REF!,#REF!,#REF!,#REF!,#REF!,#REF!,#REF!,#REF!,#REF!,#REF!,#REF!,#REF!,#REF!,#REF!</definedName>
    <definedName name="__APW_RESTORE_DATA825__" hidden="1">#REF!,#REF!,#REF!,#REF!,#REF!,#REF!</definedName>
    <definedName name="__APW_RESTORE_DATA826__" hidden="1">#REF!,#REF!,#REF!,#REF!,#REF!,#REF!,#REF!,#REF!,#REF!,#REF!,#REF!,#REF!,#REF!,#REF!,#REF!,#REF!</definedName>
    <definedName name="__APW_RESTORE_DATA827__" hidden="1">#REF!,#REF!,#REF!,#REF!,#REF!,#REF!,#REF!,#REF!,#REF!,#REF!,#REF!,#REF!,#REF!,#REF!,#REF!,#REF!</definedName>
    <definedName name="__APW_RESTORE_DATA828__" hidden="1">#REF!,#REF!,#REF!,#REF!,#REF!,#REF!,#REF!,#REF!,#REF!,#REF!,#REF!,#REF!,#REF!,#REF!,#REF!,#REF!</definedName>
    <definedName name="__APW_RESTORE_DATA829__" hidden="1">#REF!,#REF!,#REF!,#REF!,#REF!,#REF!,#REF!,#REF!,#REF!,#REF!,#REF!,#REF!,#REF!,#REF!,#REF!,#REF!</definedName>
    <definedName name="__APW_RESTORE_DATA83__" hidden="1">#REF!,#REF!,#REF!,#REF!,#REF!,#REF!,#REF!,#REF!,#REF!,#REF!,#REF!,#REF!,#REF!,#REF!,#REF!</definedName>
    <definedName name="__APW_RESTORE_DATA830__" hidden="1">#REF!,#REF!,#REF!,#REF!,#REF!,#REF!,#REF!,#REF!,#REF!,#REF!,#REF!,#REF!,#REF!,#REF!,#REF!,#REF!</definedName>
    <definedName name="__APW_RESTORE_DATA831__" hidden="1">#REF!,#REF!,#REF!,#REF!,#REF!,#REF!,#REF!,#REF!,#REF!,#REF!,#REF!,#REF!,#REF!,#REF!,#REF!,#REF!</definedName>
    <definedName name="__APW_RESTORE_DATA832__" hidden="1">#REF!,#REF!,#REF!,#REF!,#REF!,#REF!,#REF!,#REF!,#REF!,#REF!,#REF!,#REF!,#REF!,#REF!,#REF!</definedName>
    <definedName name="__APW_RESTORE_DATA833__" hidden="1">#REF!,#REF!,#REF!,#REF!,#REF!,#REF!,#REF!,#REF!,#REF!,#REF!,#REF!,#REF!,#REF!,#REF!,#REF!</definedName>
    <definedName name="__APW_RESTORE_DATA834__" hidden="1">#REF!,#REF!,#REF!,#REF!,#REF!,#REF!,#REF!,#REF!,#REF!,#REF!,#REF!,#REF!,#REF!,#REF!,#REF!</definedName>
    <definedName name="__APW_RESTORE_DATA835__" hidden="1">#REF!,#REF!,#REF!,#REF!,#REF!,#REF!,#REF!,#REF!,#REF!,#REF!,#REF!,#REF!,#REF!,#REF!,#REF!</definedName>
    <definedName name="__APW_RESTORE_DATA836__" hidden="1">#REF!,#REF!,#REF!,#REF!,#REF!,#REF!,#REF!,#REF!,#REF!,#REF!,#REF!,#REF!,#REF!,#REF!,#REF!</definedName>
    <definedName name="__APW_RESTORE_DATA837__" hidden="1">#REF!,#REF!,#REF!,#REF!,#REF!,#REF!,#REF!,#REF!,#REF!,#REF!,#REF!,#REF!,#REF!,#REF!,#REF!</definedName>
    <definedName name="__APW_RESTORE_DATA838__" hidden="1">#REF!,#REF!,#REF!,#REF!,#REF!,#REF!,#REF!,#REF!,#REF!,#REF!,#REF!,#REF!,#REF!,#REF!,#REF!</definedName>
    <definedName name="__APW_RESTORE_DATA839__" hidden="1">#REF!,#REF!,#REF!,#REF!,#REF!,#REF!,#REF!,#REF!,#REF!,#REF!,#REF!,#REF!,#REF!,#REF!,#REF!</definedName>
    <definedName name="__APW_RESTORE_DATA84__" hidden="1">#REF!,#REF!,#REF!,#REF!,#REF!,#REF!,#REF!,#REF!,#REF!,#REF!,#REF!,#REF!,#REF!,#REF!,#REF!</definedName>
    <definedName name="__APW_RESTORE_DATA840__" hidden="1">#REF!,#REF!,#REF!,#REF!,#REF!,#REF!,#REF!,#REF!,#REF!,#REF!,#REF!,#REF!,#REF!,#REF!,#REF!</definedName>
    <definedName name="__APW_RESTORE_DATA841__" hidden="1">#REF!,#REF!,#REF!,#REF!,#REF!,#REF!,#REF!,#REF!,#REF!,#REF!,#REF!,#REF!,#REF!,#REF!,#REF!</definedName>
    <definedName name="__APW_RESTORE_DATA842__" hidden="1">#REF!,#REF!,#REF!,#REF!,#REF!,#REF!,#REF!,#REF!,#REF!,#REF!,#REF!,#REF!,#REF!,#REF!,#REF!</definedName>
    <definedName name="__APW_RESTORE_DATA843__" hidden="1">#REF!,#REF!,#REF!,#REF!,#REF!,#REF!,#REF!,#REF!,#REF!,#REF!,#REF!,#REF!,#REF!,#REF!,#REF!</definedName>
    <definedName name="__APW_RESTORE_DATA844__" hidden="1">#REF!,#REF!,#REF!,#REF!,#REF!,#REF!,#REF!,#REF!,#REF!,#REF!,#REF!,#REF!,#REF!,#REF!,#REF!</definedName>
    <definedName name="__APW_RESTORE_DATA845__" hidden="1">#REF!,#REF!,#REF!,#REF!,#REF!,#REF!,#REF!,#REF!,#REF!,#REF!,#REF!,#REF!,#REF!,#REF!,#REF!</definedName>
    <definedName name="__APW_RESTORE_DATA846__" hidden="1">#REF!,#REF!,#REF!,#REF!,#REF!,#REF!,#REF!,#REF!,#REF!,#REF!,#REF!,#REF!,#REF!,#REF!,#REF!</definedName>
    <definedName name="__APW_RESTORE_DATA847__" hidden="1">#REF!,#REF!,#REF!,#REF!,#REF!,#REF!,#REF!,#REF!,#REF!,#REF!,#REF!,#REF!,#REF!,#REF!,#REF!</definedName>
    <definedName name="__APW_RESTORE_DATA848__" hidden="1">#REF!,#REF!,#REF!,#REF!,#REF!,#REF!,#REF!,#REF!,#REF!,#REF!,#REF!,#REF!,#REF!,#REF!,#REF!</definedName>
    <definedName name="__APW_RESTORE_DATA849__" hidden="1">#REF!,#REF!,#REF!,#REF!,#REF!,#REF!,#REF!,#REF!,#REF!,#REF!,#REF!,#REF!,#REF!,#REF!,#REF!</definedName>
    <definedName name="__APW_RESTORE_DATA85__" hidden="1">#REF!,#REF!,#REF!,#REF!,#REF!,#REF!,#REF!,#REF!,#REF!,#REF!,#REF!,#REF!,#REF!,#REF!,#REF!</definedName>
    <definedName name="__APW_RESTORE_DATA850__" hidden="1">#REF!,#REF!,#REF!,#REF!,#REF!,#REF!,#REF!,#REF!,#REF!,#REF!,#REF!,#REF!,#REF!,#REF!,#REF!</definedName>
    <definedName name="__APW_RESTORE_DATA851__" hidden="1">#REF!,#REF!,#REF!,#REF!,#REF!,#REF!,#REF!,#REF!,#REF!,#REF!,#REF!,#REF!,#REF!,#REF!,#REF!</definedName>
    <definedName name="__APW_RESTORE_DATA852__" hidden="1">#REF!,#REF!,#REF!,#REF!,#REF!,#REF!,#REF!,#REF!,#REF!,#REF!,#REF!,#REF!,#REF!,#REF!,#REF!</definedName>
    <definedName name="__APW_RESTORE_DATA853__" hidden="1">#REF!,#REF!,#REF!,#REF!,#REF!,#REF!,#REF!,#REF!,#REF!,#REF!,#REF!,#REF!,#REF!,#REF!,#REF!</definedName>
    <definedName name="__APW_RESTORE_DATA854__" hidden="1">#REF!,#REF!,#REF!,#REF!,#REF!,#REF!,#REF!,#REF!,#REF!,#REF!,#REF!,#REF!,#REF!,#REF!,#REF!</definedName>
    <definedName name="__APW_RESTORE_DATA855__" hidden="1">#REF!,#REF!,#REF!,#REF!,#REF!,#REF!,#REF!,#REF!,#REF!,#REF!,#REF!,#REF!,#REF!,#REF!,#REF!</definedName>
    <definedName name="__APW_RESTORE_DATA856__" hidden="1">#REF!,#REF!,#REF!,#REF!,#REF!,#REF!,#REF!,#REF!,#REF!,#REF!,#REF!,#REF!,#REF!,#REF!,#REF!</definedName>
    <definedName name="__APW_RESTORE_DATA857__" hidden="1">#REF!,#REF!,#REF!,#REF!,#REF!,#REF!,#REF!,#REF!,#REF!,#REF!,#REF!,#REF!,#REF!,#REF!,#REF!</definedName>
    <definedName name="__APW_RESTORE_DATA858__" hidden="1">#REF!,#REF!,#REF!,#REF!,#REF!,#REF!,#REF!,#REF!,#REF!,#REF!,#REF!,#REF!,#REF!,#REF!,#REF!</definedName>
    <definedName name="__APW_RESTORE_DATA859__" hidden="1">#REF!,#REF!,#REF!,#REF!,#REF!,#REF!,#REF!,#REF!,#REF!,#REF!,#REF!,#REF!,#REF!,#REF!,#REF!</definedName>
    <definedName name="__APW_RESTORE_DATA86__" hidden="1">#REF!,#REF!,#REF!,#REF!,#REF!,#REF!,#REF!,#REF!,#REF!,#REF!,#REF!,#REF!,#REF!,#REF!,#REF!</definedName>
    <definedName name="__APW_RESTORE_DATA860__" hidden="1">#REF!,#REF!,#REF!,#REF!,#REF!,#REF!</definedName>
    <definedName name="__APW_RESTORE_DATA861__" hidden="1">#REF!</definedName>
    <definedName name="__APW_RESTORE_DATA862__" hidden="1">#REF!</definedName>
    <definedName name="__APW_RESTORE_DATA863__" hidden="1">#REF!</definedName>
    <definedName name="__APW_RESTORE_DATA864__" hidden="1">#REF!</definedName>
    <definedName name="__APW_RESTORE_DATA865__" hidden="1">#REF!,#REF!,#REF!,#REF!,#REF!,#REF!,#REF!,#REF!,#REF!,#REF!,#REF!,#REF!,#REF!,#REF!,#REF!,#REF!</definedName>
    <definedName name="__APW_RESTORE_DATA866__" hidden="1">#REF!,#REF!,#REF!,#REF!,#REF!,#REF!,#REF!,#REF!,#REF!,#REF!,#REF!,#REF!,#REF!,#REF!,#REF!,#REF!</definedName>
    <definedName name="__APW_RESTORE_DATA867__" hidden="1">#REF!,#REF!,#REF!,#REF!,#REF!,#REF!,#REF!,#REF!,#REF!,#REF!,#REF!,#REF!,#REF!,#REF!,#REF!,#REF!</definedName>
    <definedName name="__APW_RESTORE_DATA868__" hidden="1">#REF!,#REF!,#REF!,#REF!,#REF!,#REF!,#REF!,#REF!,#REF!,#REF!,#REF!,#REF!,#REF!,#REF!,#REF!,#REF!</definedName>
    <definedName name="__APW_RESTORE_DATA869__" hidden="1">#REF!,#REF!,#REF!,#REF!,#REF!,#REF!,#REF!,#REF!,#REF!,#REF!,#REF!,#REF!,#REF!,#REF!,#REF!,#REF!</definedName>
    <definedName name="__APW_RESTORE_DATA87__" hidden="1">#REF!,#REF!,#REF!,#REF!,#REF!,#REF!,#REF!,#REF!,#REF!,#REF!,#REF!,#REF!,#REF!,#REF!,#REF!</definedName>
    <definedName name="__APW_RESTORE_DATA870__" hidden="1">#REF!,#REF!,#REF!,#REF!,#REF!,#REF!,#REF!,#REF!,#REF!,#REF!,#REF!,#REF!,#REF!,#REF!,#REF!,#REF!</definedName>
    <definedName name="__APW_RESTORE_DATA871__" hidden="1">#REF!,#REF!,#REF!,#REF!,#REF!,#REF!,#REF!,#REF!,#REF!,#REF!,#REF!,#REF!,#REF!,#REF!,#REF!</definedName>
    <definedName name="__APW_RESTORE_DATA872__" hidden="1">#REF!,#REF!,#REF!,#REF!,#REF!,#REF!,#REF!,#REF!,#REF!,#REF!,#REF!,#REF!,#REF!,#REF!,#REF!</definedName>
    <definedName name="__APW_RESTORE_DATA873__" hidden="1">#REF!,#REF!,#REF!,#REF!,#REF!,#REF!,#REF!,#REF!,#REF!,#REF!,#REF!,#REF!,#REF!,#REF!,#REF!</definedName>
    <definedName name="__APW_RESTORE_DATA874__" hidden="1">#REF!,#REF!,#REF!,#REF!,#REF!,#REF!,#REF!,#REF!,#REF!,#REF!,#REF!,#REF!,#REF!,#REF!,#REF!</definedName>
    <definedName name="__APW_RESTORE_DATA875__" hidden="1">#REF!,#REF!,#REF!,#REF!,#REF!,#REF!,#REF!,#REF!,#REF!,#REF!,#REF!,#REF!,#REF!,#REF!,#REF!</definedName>
    <definedName name="__APW_RESTORE_DATA876__" hidden="1">#REF!,#REF!,#REF!,#REF!,#REF!,#REF!,#REF!,#REF!,#REF!,#REF!,#REF!,#REF!,#REF!,#REF!,#REF!</definedName>
    <definedName name="__APW_RESTORE_DATA877__" hidden="1">#REF!,#REF!,#REF!,#REF!,#REF!,#REF!,#REF!,#REF!,#REF!,#REF!,#REF!,#REF!,#REF!,#REF!,#REF!</definedName>
    <definedName name="__APW_RESTORE_DATA878__" hidden="1">#REF!,#REF!,#REF!,#REF!,#REF!,#REF!,#REF!,#REF!,#REF!,#REF!,#REF!,#REF!,#REF!,#REF!,#REF!</definedName>
    <definedName name="__APW_RESTORE_DATA879__" hidden="1">#REF!,#REF!,#REF!,#REF!,#REF!,#REF!,#REF!,#REF!,#REF!,#REF!,#REF!,#REF!,#REF!,#REF!,#REF!</definedName>
    <definedName name="__APW_RESTORE_DATA88__" hidden="1">#REF!,#REF!,#REF!,#REF!,#REF!,#REF!,#REF!,#REF!,#REF!,#REF!,#REF!,#REF!,#REF!,#REF!,#REF!</definedName>
    <definedName name="__APW_RESTORE_DATA880__" hidden="1">#REF!,#REF!,#REF!,#REF!,#REF!,#REF!,#REF!,#REF!,#REF!,#REF!,#REF!,#REF!,#REF!,#REF!,#REF!</definedName>
    <definedName name="__APW_RESTORE_DATA881__" hidden="1">#REF!,#REF!,#REF!,#REF!,#REF!,#REF!,#REF!,#REF!,#REF!,#REF!,#REF!,#REF!,#REF!,#REF!,#REF!</definedName>
    <definedName name="__APW_RESTORE_DATA882__" hidden="1">#REF!,#REF!,#REF!,#REF!,#REF!,#REF!,#REF!,#REF!,#REF!,#REF!,#REF!,#REF!,#REF!,#REF!,#REF!</definedName>
    <definedName name="__APW_RESTORE_DATA883__" hidden="1">#REF!,#REF!,#REF!,#REF!,#REF!,#REF!,#REF!,#REF!,#REF!,#REF!,#REF!,#REF!,#REF!,#REF!,#REF!</definedName>
    <definedName name="__APW_RESTORE_DATA884__" hidden="1">#REF!,#REF!,#REF!,#REF!,#REF!,#REF!,#REF!,#REF!,#REF!,#REF!,#REF!,#REF!,#REF!,#REF!,#REF!</definedName>
    <definedName name="__APW_RESTORE_DATA885__" hidden="1">#REF!,#REF!,#REF!,#REF!,#REF!,#REF!,#REF!,#REF!,#REF!,#REF!,#REF!,#REF!,#REF!,#REF!,#REF!</definedName>
    <definedName name="__APW_RESTORE_DATA886__" hidden="1">#REF!,#REF!,#REF!,#REF!,#REF!,#REF!,#REF!,#REF!,#REF!,#REF!,#REF!,#REF!,#REF!,#REF!,#REF!</definedName>
    <definedName name="__APW_RESTORE_DATA887__" hidden="1">#REF!,#REF!,#REF!,#REF!,#REF!,#REF!,#REF!,#REF!,#REF!,#REF!,#REF!,#REF!,#REF!,#REF!,#REF!</definedName>
    <definedName name="__APW_RESTORE_DATA888__" hidden="1">#REF!,#REF!,#REF!,#REF!,#REF!,#REF!,#REF!,#REF!,#REF!,#REF!,#REF!,#REF!,#REF!,#REF!,#REF!</definedName>
    <definedName name="__APW_RESTORE_DATA889__" hidden="1">#REF!,#REF!,#REF!,#REF!,#REF!,#REF!,#REF!,#REF!,#REF!,#REF!,#REF!,#REF!,#REF!,#REF!,#REF!</definedName>
    <definedName name="__APW_RESTORE_DATA89__" hidden="1">#REF!,#REF!,#REF!,#REF!,#REF!,#REF!,#REF!,#REF!,#REF!,#REF!,#REF!,#REF!,#REF!,#REF!,#REF!</definedName>
    <definedName name="__APW_RESTORE_DATA890__" hidden="1">#REF!,#REF!,#REF!,#REF!,#REF!,#REF!,#REF!,#REF!,#REF!,#REF!,#REF!,#REF!,#REF!,#REF!,#REF!</definedName>
    <definedName name="__APW_RESTORE_DATA891__" hidden="1">#REF!,#REF!,#REF!,#REF!,#REF!,#REF!,#REF!,#REF!,#REF!,#REF!,#REF!,#REF!,#REF!,#REF!,#REF!</definedName>
    <definedName name="__APW_RESTORE_DATA892__" hidden="1">#REF!,#REF!,#REF!,#REF!,#REF!,#REF!,#REF!,#REF!,#REF!,#REF!,#REF!,#REF!,#REF!,#REF!,#REF!</definedName>
    <definedName name="__APW_RESTORE_DATA893__" hidden="1">#REF!,#REF!,#REF!,#REF!,#REF!,#REF!,#REF!,#REF!,#REF!,#REF!,#REF!,#REF!,#REF!,#REF!,#REF!</definedName>
    <definedName name="__APW_RESTORE_DATA894__" hidden="1">#REF!,#REF!,#REF!,#REF!,#REF!,#REF!,#REF!,#REF!,#REF!,#REF!,#REF!,#REF!,#REF!,#REF!,#REF!</definedName>
    <definedName name="__APW_RESTORE_DATA895__" hidden="1">#REF!,#REF!,#REF!,#REF!,#REF!,#REF!,#REF!,#REF!,#REF!,#REF!,#REF!,#REF!,#REF!,#REF!,#REF!</definedName>
    <definedName name="__APW_RESTORE_DATA896__" hidden="1">#REF!,#REF!,#REF!,#REF!,#REF!,#REF!,#REF!,#REF!,#REF!,#REF!,#REF!,#REF!,#REF!,#REF!,#REF!</definedName>
    <definedName name="__APW_RESTORE_DATA897__" hidden="1">#REF!,#REF!,#REF!,#REF!,#REF!,#REF!,#REF!,#REF!,#REF!,#REF!,#REF!,#REF!,#REF!,#REF!,#REF!</definedName>
    <definedName name="__APW_RESTORE_DATA898__" hidden="1">#REF!,#REF!,#REF!,#REF!,#REF!,#REF!,#REF!,#REF!,#REF!,#REF!,#REF!,#REF!,#REF!,#REF!,#REF!</definedName>
    <definedName name="__APW_RESTORE_DATA899__" hidden="1">#REF!,#REF!,#REF!,#REF!,#REF!,#REF!</definedName>
    <definedName name="__APW_RESTORE_DATA9__" hidden="1">#REF!</definedName>
    <definedName name="__APW_RESTORE_DATA90__" hidden="1">#REF!,#REF!</definedName>
    <definedName name="__APW_RESTORE_DATA900__" hidden="1">#REF!,#REF!,#REF!,#REF!,#REF!,#REF!,#REF!,#REF!,#REF!,#REF!,#REF!,#REF!,#REF!,#REF!,#REF!,#REF!</definedName>
    <definedName name="__APW_RESTORE_DATA901__" hidden="1">#REF!,#REF!,#REF!,#REF!,#REF!,#REF!,#REF!,#REF!,#REF!,#REF!,#REF!,#REF!,#REF!,#REF!,#REF!,#REF!</definedName>
    <definedName name="__APW_RESTORE_DATA902__" hidden="1">#REF!,#REF!,#REF!,#REF!,#REF!,#REF!,#REF!,#REF!,#REF!,#REF!,#REF!,#REF!,#REF!,#REF!,#REF!,#REF!</definedName>
    <definedName name="__APW_RESTORE_DATA903__" hidden="1">#REF!,#REF!,#REF!,#REF!,#REF!,#REF!,#REF!,#REF!,#REF!,#REF!,#REF!,#REF!,#REF!,#REF!,#REF!,#REF!</definedName>
    <definedName name="__APW_RESTORE_DATA904__" hidden="1">#REF!,#REF!,#REF!,#REF!,#REF!,#REF!,#REF!,#REF!,#REF!,#REF!,#REF!,#REF!,#REF!,#REF!,#REF!,#REF!</definedName>
    <definedName name="__APW_RESTORE_DATA905__" hidden="1">#REF!,#REF!,#REF!,#REF!,#REF!,#REF!,#REF!,#REF!,#REF!,#REF!,#REF!,#REF!,#REF!,#REF!,#REF!,#REF!</definedName>
    <definedName name="__APW_RESTORE_DATA906__" hidden="1">#REF!,#REF!,#REF!,#REF!,#REF!,#REF!,#REF!,#REF!,#REF!,#REF!,#REF!,#REF!,#REF!,#REF!,#REF!</definedName>
    <definedName name="__APW_RESTORE_DATA907__" hidden="1">#REF!,#REF!,#REF!,#REF!,#REF!,#REF!,#REF!,#REF!,#REF!,#REF!,#REF!,#REF!,#REF!,#REF!,#REF!</definedName>
    <definedName name="__APW_RESTORE_DATA908__" hidden="1">#REF!,#REF!,#REF!,#REF!,#REF!,#REF!,#REF!,#REF!,#REF!,#REF!,#REF!,#REF!,#REF!,#REF!,#REF!</definedName>
    <definedName name="__APW_RESTORE_DATA909__" hidden="1">#REF!,#REF!,#REF!,#REF!,#REF!,#REF!,#REF!,#REF!,#REF!,#REF!,#REF!,#REF!,#REF!,#REF!,#REF!</definedName>
    <definedName name="__APW_RESTORE_DATA91__" hidden="1">#REF!,#REF!,#REF!,#REF!,#REF!,#REF!,#REF!,#REF!,#REF!,#REF!,#REF!,#REF!,#REF!,#REF!,#REF!</definedName>
    <definedName name="__APW_RESTORE_DATA910__" hidden="1">#REF!,#REF!,#REF!,#REF!,#REF!,#REF!,#REF!,#REF!,#REF!,#REF!,#REF!,#REF!,#REF!,#REF!,#REF!</definedName>
    <definedName name="__APW_RESTORE_DATA911__" hidden="1">#REF!,#REF!,#REF!,#REF!,#REF!,#REF!,#REF!,#REF!,#REF!,#REF!,#REF!,#REF!,#REF!,#REF!,#REF!</definedName>
    <definedName name="__APW_RESTORE_DATA912__" hidden="1">#REF!,#REF!,#REF!,#REF!,#REF!,#REF!,#REF!,#REF!,#REF!,#REF!,#REF!,#REF!,#REF!,#REF!,#REF!</definedName>
    <definedName name="__APW_RESTORE_DATA913__" hidden="1">#REF!,#REF!,#REF!,#REF!,#REF!,#REF!,#REF!,#REF!,#REF!,#REF!,#REF!,#REF!,#REF!,#REF!,#REF!</definedName>
    <definedName name="__APW_RESTORE_DATA914__" hidden="1">#REF!,#REF!,#REF!,#REF!,#REF!,#REF!,#REF!,#REF!,#REF!,#REF!,#REF!,#REF!,#REF!,#REF!,#REF!</definedName>
    <definedName name="__APW_RESTORE_DATA915__" hidden="1">#REF!,#REF!,#REF!,#REF!,#REF!,#REF!,#REF!,#REF!,#REF!,#REF!,#REF!,#REF!,#REF!,#REF!,#REF!</definedName>
    <definedName name="__APW_RESTORE_DATA916__" hidden="1">#REF!,#REF!,#REF!,#REF!,#REF!,#REF!,#REF!,#REF!,#REF!,#REF!,#REF!,#REF!,#REF!,#REF!,#REF!</definedName>
    <definedName name="__APW_RESTORE_DATA917__" hidden="1">#REF!,#REF!,#REF!,#REF!,#REF!,#REF!,#REF!,#REF!,#REF!,#REF!,#REF!,#REF!,#REF!,#REF!,#REF!</definedName>
    <definedName name="__APW_RESTORE_DATA918__" hidden="1">#REF!,#REF!,#REF!,#REF!,#REF!,#REF!,#REF!,#REF!,#REF!,#REF!,#REF!,#REF!,#REF!,#REF!,#REF!</definedName>
    <definedName name="__APW_RESTORE_DATA919__" hidden="1">#REF!,#REF!,#REF!,#REF!,#REF!,#REF!,#REF!,#REF!,#REF!,#REF!,#REF!,#REF!,#REF!,#REF!,#REF!</definedName>
    <definedName name="__APW_RESTORE_DATA92__" hidden="1">#REF!,#REF!,#REF!,#REF!,#REF!,#REF!,#REF!,#REF!,#REF!,#REF!,#REF!,#REF!,#REF!,#REF!,#REF!</definedName>
    <definedName name="__APW_RESTORE_DATA920__" hidden="1">#REF!,#REF!,#REF!,#REF!,#REF!,#REF!,#REF!,#REF!,#REF!,#REF!,#REF!,#REF!,#REF!,#REF!,#REF!</definedName>
    <definedName name="__APW_RESTORE_DATA921__" hidden="1">#REF!,#REF!,#REF!,#REF!,#REF!,#REF!,#REF!,#REF!,#REF!,#REF!,#REF!,#REF!,#REF!,#REF!,#REF!</definedName>
    <definedName name="__APW_RESTORE_DATA922__" hidden="1">#REF!,#REF!,#REF!,#REF!,#REF!,#REF!,#REF!,#REF!,#REF!,#REF!,#REF!,#REF!,#REF!,#REF!,#REF!</definedName>
    <definedName name="__APW_RESTORE_DATA923__" hidden="1">#REF!,#REF!,#REF!,#REF!,#REF!,#REF!,#REF!,#REF!,#REF!,#REF!,#REF!,#REF!,#REF!,#REF!,#REF!</definedName>
    <definedName name="__APW_RESTORE_DATA924__" hidden="1">#REF!,#REF!,#REF!,#REF!,#REF!,#REF!,#REF!,#REF!,#REF!,#REF!,#REF!,#REF!,#REF!,#REF!,#REF!</definedName>
    <definedName name="__APW_RESTORE_DATA925__" hidden="1">#REF!,#REF!,#REF!,#REF!,#REF!,#REF!,#REF!,#REF!,#REF!,#REF!,#REF!,#REF!,#REF!,#REF!,#REF!</definedName>
    <definedName name="__APW_RESTORE_DATA926__" hidden="1">#REF!,#REF!,#REF!,#REF!,#REF!,#REF!,#REF!,#REF!,#REF!,#REF!,#REF!,#REF!,#REF!,#REF!,#REF!</definedName>
    <definedName name="__APW_RESTORE_DATA927__" hidden="1">#REF!,#REF!,#REF!,#REF!,#REF!,#REF!,#REF!,#REF!,#REF!,#REF!,#REF!,#REF!,#REF!,#REF!,#REF!</definedName>
    <definedName name="__APW_RESTORE_DATA928__" hidden="1">#REF!,#REF!,#REF!,#REF!,#REF!,#REF!,#REF!,#REF!,#REF!,#REF!,#REF!,#REF!,#REF!,#REF!,#REF!</definedName>
    <definedName name="__APW_RESTORE_DATA929__" hidden="1">#REF!,#REF!,#REF!,#REF!,#REF!,#REF!,#REF!,#REF!,#REF!,#REF!,#REF!,#REF!,#REF!,#REF!,#REF!</definedName>
    <definedName name="__APW_RESTORE_DATA93__" hidden="1">#REF!,#REF!,#REF!,#REF!,#REF!,#REF!,#REF!,#REF!,#REF!,#REF!,#REF!,#REF!,#REF!,#REF!,#REF!</definedName>
    <definedName name="__APW_RESTORE_DATA930__" hidden="1">#REF!,#REF!,#REF!,#REF!,#REF!,#REF!,#REF!,#REF!,#REF!,#REF!,#REF!,#REF!,#REF!,#REF!,#REF!</definedName>
    <definedName name="__APW_RESTORE_DATA931__" hidden="1">#REF!,#REF!,#REF!,#REF!,#REF!,#REF!,#REF!,#REF!,#REF!,#REF!,#REF!,#REF!,#REF!,#REF!,#REF!</definedName>
    <definedName name="__APW_RESTORE_DATA932__" hidden="1">#REF!,#REF!,#REF!,#REF!,#REF!,#REF!,#REF!,#REF!,#REF!,#REF!,#REF!,#REF!,#REF!,#REF!,#REF!</definedName>
    <definedName name="__APW_RESTORE_DATA933__" hidden="1">#REF!,#REF!,#REF!,#REF!,#REF!,#REF!,#REF!,#REF!,#REF!,#REF!,#REF!,#REF!,#REF!,#REF!,#REF!</definedName>
    <definedName name="__APW_RESTORE_DATA934__" hidden="1">#REF!,#REF!,#REF!,#REF!,#REF!,#REF!</definedName>
    <definedName name="__APW_RESTORE_DATA935__" hidden="1">#REF!,#REF!,#REF!,#REF!,#REF!,#REF!,#REF!,#REF!,#REF!,#REF!,#REF!,#REF!,#REF!,#REF!,#REF!,#REF!</definedName>
    <definedName name="__APW_RESTORE_DATA936__" hidden="1">#REF!,#REF!,#REF!,#REF!,#REF!,#REF!,#REF!,#REF!,#REF!,#REF!,#REF!,#REF!,#REF!,#REF!,#REF!,#REF!</definedName>
    <definedName name="__APW_RESTORE_DATA937__" hidden="1">#REF!,#REF!,#REF!,#REF!,#REF!,#REF!,#REF!,#REF!,#REF!,#REF!,#REF!,#REF!,#REF!,#REF!,#REF!,#REF!</definedName>
    <definedName name="__APW_RESTORE_DATA938__" hidden="1">#REF!,#REF!,#REF!,#REF!,#REF!,#REF!,#REF!,#REF!,#REF!,#REF!,#REF!,#REF!,#REF!,#REF!,#REF!,#REF!</definedName>
    <definedName name="__APW_RESTORE_DATA939__" hidden="1">#REF!,#REF!,#REF!,#REF!,#REF!,#REF!,#REF!,#REF!,#REF!,#REF!,#REF!,#REF!,#REF!,#REF!,#REF!,#REF!</definedName>
    <definedName name="__APW_RESTORE_DATA94__" hidden="1">#REF!,#REF!,#REF!,#REF!,#REF!,#REF!,#REF!,#REF!,#REF!,#REF!,#REF!,#REF!,#REF!,#REF!,#REF!</definedName>
    <definedName name="__APW_RESTORE_DATA940__" hidden="1">#REF!,#REF!,#REF!,#REF!,#REF!,#REF!,#REF!,#REF!,#REF!,#REF!,#REF!,#REF!,#REF!,#REF!,#REF!,#REF!</definedName>
    <definedName name="__APW_RESTORE_DATA941__" hidden="1">#REF!,#REF!,#REF!,#REF!,#REF!,#REF!,#REF!,#REF!,#REF!,#REF!,#REF!,#REF!,#REF!,#REF!,#REF!</definedName>
    <definedName name="__APW_RESTORE_DATA942__" hidden="1">#REF!,#REF!,#REF!,#REF!,#REF!,#REF!,#REF!,#REF!,#REF!,#REF!,#REF!,#REF!,#REF!,#REF!,#REF!</definedName>
    <definedName name="__APW_RESTORE_DATA943__" hidden="1">#REF!,#REF!,#REF!,#REF!,#REF!,#REF!,#REF!,#REF!,#REF!,#REF!,#REF!,#REF!,#REF!,#REF!,#REF!</definedName>
    <definedName name="__APW_RESTORE_DATA944__" hidden="1">#REF!,#REF!,#REF!,#REF!,#REF!,#REF!,#REF!,#REF!,#REF!,#REF!,#REF!,#REF!,#REF!,#REF!,#REF!</definedName>
    <definedName name="__APW_RESTORE_DATA945__" hidden="1">#REF!,#REF!,#REF!,#REF!,#REF!,#REF!,#REF!,#REF!,#REF!,#REF!,#REF!,#REF!,#REF!,#REF!,#REF!</definedName>
    <definedName name="__APW_RESTORE_DATA946__" hidden="1">#REF!,#REF!,#REF!,#REF!,#REF!,#REF!,#REF!,#REF!,#REF!,#REF!,#REF!,#REF!,#REF!,#REF!,#REF!</definedName>
    <definedName name="__APW_RESTORE_DATA947__" hidden="1">#REF!,#REF!,#REF!,#REF!,#REF!,#REF!,#REF!,#REF!,#REF!,#REF!,#REF!,#REF!,#REF!,#REF!,#REF!</definedName>
    <definedName name="__APW_RESTORE_DATA948__" hidden="1">#REF!,#REF!,#REF!,#REF!,#REF!,#REF!,#REF!,#REF!,#REF!,#REF!,#REF!,#REF!,#REF!,#REF!,#REF!</definedName>
    <definedName name="__APW_RESTORE_DATA949__" hidden="1">#REF!,#REF!,#REF!,#REF!,#REF!,#REF!,#REF!,#REF!,#REF!,#REF!,#REF!,#REF!,#REF!,#REF!,#REF!</definedName>
    <definedName name="__APW_RESTORE_DATA95__" hidden="1">#REF!,#REF!</definedName>
    <definedName name="__APW_RESTORE_DATA950__" hidden="1">#REF!,#REF!,#REF!,#REF!,#REF!,#REF!,#REF!,#REF!,#REF!,#REF!,#REF!,#REF!,#REF!,#REF!,#REF!</definedName>
    <definedName name="__APW_RESTORE_DATA951__" hidden="1">#REF!,#REF!,#REF!,#REF!,#REF!,#REF!,#REF!,#REF!,#REF!,#REF!,#REF!,#REF!,#REF!,#REF!,#REF!</definedName>
    <definedName name="__APW_RESTORE_DATA952__" hidden="1">#REF!,#REF!,#REF!,#REF!,#REF!,#REF!,#REF!,#REF!,#REF!,#REF!,#REF!,#REF!,#REF!,#REF!,#REF!</definedName>
    <definedName name="__APW_RESTORE_DATA953__" hidden="1">#REF!,#REF!,#REF!,#REF!,#REF!,#REF!,#REF!,#REF!,#REF!,#REF!,#REF!,#REF!,#REF!,#REF!,#REF!</definedName>
    <definedName name="__APW_RESTORE_DATA954__" hidden="1">#REF!,#REF!,#REF!,#REF!,#REF!,#REF!,#REF!,#REF!,#REF!,#REF!,#REF!,#REF!,#REF!,#REF!,#REF!</definedName>
    <definedName name="__APW_RESTORE_DATA955__" hidden="1">#REF!,#REF!,#REF!,#REF!,#REF!,#REF!,#REF!,#REF!,#REF!,#REF!,#REF!,#REF!,#REF!,#REF!,#REF!</definedName>
    <definedName name="__APW_RESTORE_DATA956__" hidden="1">#REF!,#REF!,#REF!,#REF!,#REF!,#REF!,#REF!,#REF!,#REF!,#REF!,#REF!,#REF!,#REF!,#REF!,#REF!</definedName>
    <definedName name="__APW_RESTORE_DATA957__" hidden="1">#REF!,#REF!,#REF!,#REF!,#REF!,#REF!,#REF!,#REF!,#REF!,#REF!,#REF!,#REF!,#REF!,#REF!,#REF!</definedName>
    <definedName name="__APW_RESTORE_DATA958__" hidden="1">#REF!,#REF!,#REF!,#REF!,#REF!,#REF!,#REF!,#REF!,#REF!,#REF!,#REF!,#REF!,#REF!,#REF!,#REF!</definedName>
    <definedName name="__APW_RESTORE_DATA959__" hidden="1">#REF!,#REF!,#REF!,#REF!,#REF!,#REF!,#REF!,#REF!,#REF!,#REF!,#REF!,#REF!,#REF!,#REF!,#REF!</definedName>
    <definedName name="__APW_RESTORE_DATA96__" hidden="1">#REF!,#REF!,#REF!,#REF!,#REF!,#REF!,#REF!,#REF!,#REF!,#REF!,#REF!,#REF!,#REF!,#REF!,#REF!</definedName>
    <definedName name="__APW_RESTORE_DATA960__" hidden="1">#REF!,#REF!,#REF!,#REF!,#REF!,#REF!,#REF!,#REF!,#REF!,#REF!,#REF!,#REF!,#REF!,#REF!,#REF!</definedName>
    <definedName name="__APW_RESTORE_DATA961__" hidden="1">#REF!,#REF!,#REF!,#REF!,#REF!,#REF!,#REF!,#REF!,#REF!,#REF!,#REF!,#REF!,#REF!,#REF!,#REF!</definedName>
    <definedName name="__APW_RESTORE_DATA962__" hidden="1">#REF!,#REF!,#REF!,#REF!,#REF!,#REF!,#REF!,#REF!,#REF!,#REF!,#REF!,#REF!,#REF!,#REF!,#REF!</definedName>
    <definedName name="__APW_RESTORE_DATA963__" hidden="1">#REF!,#REF!,#REF!,#REF!,#REF!,#REF!,#REF!,#REF!,#REF!,#REF!,#REF!,#REF!,#REF!,#REF!,#REF!</definedName>
    <definedName name="__APW_RESTORE_DATA964__" hidden="1">#REF!,#REF!,#REF!,#REF!,#REF!,#REF!,#REF!,#REF!,#REF!,#REF!,#REF!,#REF!,#REF!,#REF!,#REF!</definedName>
    <definedName name="__APW_RESTORE_DATA965__" hidden="1">#REF!,#REF!,#REF!,#REF!,#REF!,#REF!,#REF!,#REF!,#REF!,#REF!,#REF!,#REF!,#REF!,#REF!,#REF!</definedName>
    <definedName name="__APW_RESTORE_DATA966__" hidden="1">#REF!,#REF!,#REF!,#REF!,#REF!,#REF!,#REF!,#REF!,#REF!,#REF!,#REF!,#REF!,#REF!,#REF!,#REF!</definedName>
    <definedName name="__APW_RESTORE_DATA967__" hidden="1">#REF!,#REF!,#REF!,#REF!,#REF!,#REF!,#REF!,#REF!,#REF!,#REF!,#REF!,#REF!,#REF!,#REF!,#REF!</definedName>
    <definedName name="__APW_RESTORE_DATA968__" hidden="1">#REF!,#REF!,#REF!,#REF!,#REF!,#REF!,#REF!,#REF!,#REF!,#REF!,#REF!,#REF!,#REF!,#REF!,#REF!</definedName>
    <definedName name="__APW_RESTORE_DATA969__" hidden="1">#REF!,#REF!,#REF!,#REF!,#REF!,#REF!</definedName>
    <definedName name="__APW_RESTORE_DATA97__" hidden="1">#REF!,#REF!,#REF!,#REF!,#REF!,#REF!,#REF!,#REF!,#REF!,#REF!,#REF!,#REF!,#REF!,#REF!,#REF!</definedName>
    <definedName name="__APW_RESTORE_DATA970__" hidden="1">#REF!,#REF!,#REF!,#REF!,#REF!,#REF!,#REF!,#REF!,#REF!,#REF!,#REF!,#REF!,#REF!,#REF!,#REF!,#REF!</definedName>
    <definedName name="__APW_RESTORE_DATA971__" hidden="1">#REF!,#REF!,#REF!,#REF!,#REF!,#REF!,#REF!,#REF!,#REF!,#REF!,#REF!,#REF!,#REF!,#REF!,#REF!,#REF!</definedName>
    <definedName name="__APW_RESTORE_DATA972__" hidden="1">#REF!,#REF!,#REF!,#REF!,#REF!,#REF!,#REF!,#REF!,#REF!,#REF!,#REF!,#REF!,#REF!,#REF!,#REF!,#REF!</definedName>
    <definedName name="__APW_RESTORE_DATA973__" hidden="1">#REF!,#REF!,#REF!,#REF!,#REF!,#REF!,#REF!,#REF!,#REF!,#REF!,#REF!,#REF!,#REF!,#REF!,#REF!,#REF!</definedName>
    <definedName name="__APW_RESTORE_DATA974__" hidden="1">#REF!,#REF!,#REF!,#REF!,#REF!,#REF!,#REF!,#REF!,#REF!,#REF!,#REF!,#REF!,#REF!,#REF!,#REF!,#REF!</definedName>
    <definedName name="__APW_RESTORE_DATA975__" hidden="1">#REF!,#REF!,#REF!,#REF!,#REF!,#REF!,#REF!,#REF!,#REF!,#REF!,#REF!,#REF!,#REF!,#REF!,#REF!,#REF!</definedName>
    <definedName name="__APW_RESTORE_DATA976__" hidden="1">#REF!,#REF!,#REF!,#REF!,#REF!,#REF!,#REF!,#REF!,#REF!,#REF!,#REF!,#REF!,#REF!,#REF!,#REF!</definedName>
    <definedName name="__APW_RESTORE_DATA977__" hidden="1">#REF!,#REF!,#REF!,#REF!,#REF!,#REF!,#REF!,#REF!,#REF!,#REF!,#REF!,#REF!,#REF!,#REF!,#REF!</definedName>
    <definedName name="__APW_RESTORE_DATA978__" hidden="1">#REF!,#REF!,#REF!,#REF!,#REF!,#REF!,#REF!,#REF!,#REF!,#REF!,#REF!,#REF!,#REF!,#REF!,#REF!</definedName>
    <definedName name="__APW_RESTORE_DATA979__" hidden="1">#REF!,#REF!,#REF!,#REF!,#REF!,#REF!,#REF!,#REF!,#REF!,#REF!,#REF!,#REF!,#REF!,#REF!,#REF!</definedName>
    <definedName name="__APW_RESTORE_DATA98__" hidden="1">#REF!,#REF!,#REF!,#REF!,#REF!,#REF!,#REF!,#REF!,#REF!,#REF!,#REF!,#REF!,#REF!,#REF!,#REF!</definedName>
    <definedName name="__APW_RESTORE_DATA980__" hidden="1">#REF!,#REF!,#REF!,#REF!,#REF!,#REF!,#REF!,#REF!,#REF!,#REF!,#REF!,#REF!,#REF!,#REF!,#REF!</definedName>
    <definedName name="__APW_RESTORE_DATA981__" hidden="1">#REF!,#REF!,#REF!,#REF!,#REF!,#REF!,#REF!,#REF!,#REF!,#REF!,#REF!,#REF!,#REF!,#REF!,#REF!</definedName>
    <definedName name="__APW_RESTORE_DATA982__" hidden="1">#REF!,#REF!,#REF!,#REF!,#REF!,#REF!,#REF!,#REF!,#REF!,#REF!,#REF!,#REF!,#REF!,#REF!,#REF!</definedName>
    <definedName name="__APW_RESTORE_DATA983__" hidden="1">#REF!,#REF!,#REF!,#REF!,#REF!,#REF!,#REF!,#REF!,#REF!,#REF!,#REF!,#REF!,#REF!,#REF!,#REF!</definedName>
    <definedName name="__APW_RESTORE_DATA984__" hidden="1">#REF!,#REF!,#REF!,#REF!,#REF!,#REF!,#REF!,#REF!,#REF!,#REF!,#REF!,#REF!,#REF!,#REF!,#REF!</definedName>
    <definedName name="__APW_RESTORE_DATA985__" hidden="1">#REF!,#REF!,#REF!,#REF!,#REF!,#REF!,#REF!,#REF!,#REF!,#REF!,#REF!,#REF!,#REF!,#REF!,#REF!</definedName>
    <definedName name="__APW_RESTORE_DATA986__" hidden="1">#REF!,#REF!,#REF!,#REF!,#REF!,#REF!,#REF!,#REF!,#REF!,#REF!,#REF!,#REF!,#REF!,#REF!,#REF!</definedName>
    <definedName name="__APW_RESTORE_DATA987__" hidden="1">#REF!,#REF!,#REF!,#REF!,#REF!,#REF!,#REF!,#REF!,#REF!,#REF!,#REF!,#REF!,#REF!,#REF!,#REF!</definedName>
    <definedName name="__APW_RESTORE_DATA988__" hidden="1">#REF!,#REF!,#REF!,#REF!,#REF!,#REF!,#REF!,#REF!,#REF!,#REF!,#REF!,#REF!,#REF!,#REF!,#REF!</definedName>
    <definedName name="__APW_RESTORE_DATA989__" hidden="1">#REF!,#REF!,#REF!,#REF!,#REF!,#REF!,#REF!,#REF!,#REF!,#REF!,#REF!,#REF!,#REF!,#REF!,#REF!</definedName>
    <definedName name="__APW_RESTORE_DATA99__" hidden="1">#REF!,#REF!,#REF!,#REF!,#REF!,#REF!,#REF!,#REF!,#REF!,#REF!,#REF!,#REF!,#REF!,#REF!,#REF!</definedName>
    <definedName name="__APW_RESTORE_DATA990__" hidden="1">#REF!,#REF!,#REF!,#REF!,#REF!,#REF!,#REF!,#REF!,#REF!,#REF!,#REF!,#REF!,#REF!,#REF!,#REF!</definedName>
    <definedName name="__APW_RESTORE_DATA991__" hidden="1">#REF!,#REF!,#REF!,#REF!,#REF!,#REF!,#REF!,#REF!,#REF!,#REF!,#REF!,#REF!,#REF!,#REF!,#REF!</definedName>
    <definedName name="__APW_RESTORE_DATA992__" hidden="1">#REF!,#REF!,#REF!,#REF!,#REF!,#REF!,#REF!,#REF!,#REF!,#REF!,#REF!,#REF!,#REF!,#REF!,#REF!</definedName>
    <definedName name="__APW_RESTORE_DATA993__" hidden="1">#REF!,#REF!,#REF!,#REF!,#REF!,#REF!,#REF!,#REF!,#REF!,#REF!,#REF!,#REF!,#REF!,#REF!,#REF!</definedName>
    <definedName name="__APW_RESTORE_DATA994__" hidden="1">#REF!,#REF!,#REF!,#REF!,#REF!,#REF!,#REF!,#REF!,#REF!,#REF!,#REF!,#REF!,#REF!,#REF!,#REF!</definedName>
    <definedName name="__APW_RESTORE_DATA995__" hidden="1">#REF!,#REF!,#REF!,#REF!,#REF!,#REF!,#REF!,#REF!,#REF!,#REF!,#REF!,#REF!,#REF!,#REF!,#REF!</definedName>
    <definedName name="__APW_RESTORE_DATA996__" hidden="1">#REF!,#REF!,#REF!,#REF!,#REF!,#REF!,#REF!,#REF!,#REF!,#REF!,#REF!,#REF!,#REF!,#REF!,#REF!</definedName>
    <definedName name="__APW_RESTORE_DATA997__" hidden="1">#REF!,#REF!,#REF!,#REF!,#REF!,#REF!,#REF!,#REF!,#REF!,#REF!,#REF!,#REF!,#REF!,#REF!,#REF!</definedName>
    <definedName name="__APW_RESTORE_DATA998__" hidden="1">#REF!,#REF!,#REF!,#REF!,#REF!,#REF!,#REF!,#REF!,#REF!,#REF!,#REF!,#REF!,#REF!,#REF!,#REF!</definedName>
    <definedName name="__APW_RESTORE_DATA999__" hidden="1">#REF!,#REF!,#REF!,#REF!,#REF!,#REF!,#REF!,#REF!,#REF!,#REF!,#REF!,#REF!,#REF!,#REF!,#REF!</definedName>
    <definedName name="__APW_RESTORE_HYPERLINK0__" hidden="1">#REF!</definedName>
    <definedName name="__APW_RESTORE_HYPERLINK1__" hidden="1">#REF!</definedName>
    <definedName name="__APW_RESTORE_HYPERLINK10__" hidden="1">#REF!</definedName>
    <definedName name="__APW_RESTORE_HYPERLINK100__" hidden="1">#REF!</definedName>
    <definedName name="__APW_RESTORE_HYPERLINK101__" hidden="1">#REF!</definedName>
    <definedName name="__APW_RESTORE_HYPERLINK102__" hidden="1">#REF!</definedName>
    <definedName name="__APW_RESTORE_HYPERLINK103__" hidden="1">#REF!</definedName>
    <definedName name="__APW_RESTORE_HYPERLINK104__" hidden="1">#REF!</definedName>
    <definedName name="__APW_RESTORE_HYPERLINK105__" hidden="1">#REF!</definedName>
    <definedName name="__APW_RESTORE_HYPERLINK106__" hidden="1">#REF!</definedName>
    <definedName name="__APW_RESTORE_HYPERLINK107__" hidden="1">#REF!</definedName>
    <definedName name="__APW_RESTORE_HYPERLINK108__" hidden="1">#REF!</definedName>
    <definedName name="__APW_RESTORE_HYPERLINK109__" hidden="1">#REF!</definedName>
    <definedName name="__APW_RESTORE_HYPERLINK11__" hidden="1">#REF!</definedName>
    <definedName name="__APW_RESTORE_HYPERLINK110__" hidden="1">#REF!</definedName>
    <definedName name="__APW_RESTORE_HYPERLINK111__" hidden="1">#REF!</definedName>
    <definedName name="__APW_RESTORE_HYPERLINK112__" hidden="1">#REF!</definedName>
    <definedName name="__APW_RESTORE_HYPERLINK113__" hidden="1">#REF!</definedName>
    <definedName name="__APW_RESTORE_HYPERLINK114__" hidden="1">#REF!</definedName>
    <definedName name="__APW_RESTORE_HYPERLINK115__" hidden="1">#REF!</definedName>
    <definedName name="__APW_RESTORE_HYPERLINK116__" hidden="1">#REF!</definedName>
    <definedName name="__APW_RESTORE_HYPERLINK117__" hidden="1">#REF!</definedName>
    <definedName name="__APW_RESTORE_HYPERLINK118__" hidden="1">#REF!</definedName>
    <definedName name="__APW_RESTORE_HYPERLINK12__" hidden="1">#REF!</definedName>
    <definedName name="__APW_RESTORE_HYPERLINK13__" hidden="1">#REF!</definedName>
    <definedName name="__APW_RESTORE_HYPERLINK14__" hidden="1">#REF!</definedName>
    <definedName name="__APW_RESTORE_HYPERLINK15__" hidden="1">#REF!</definedName>
    <definedName name="__APW_RESTORE_HYPERLINK16__" hidden="1">#REF!</definedName>
    <definedName name="__APW_RESTORE_HYPERLINK17__" hidden="1">#REF!</definedName>
    <definedName name="__APW_RESTORE_HYPERLINK18__" hidden="1">#REF!</definedName>
    <definedName name="__APW_RESTORE_HYPERLINK19__" hidden="1">#REF!</definedName>
    <definedName name="__APW_RESTORE_HYPERLINK2__" hidden="1">#REF!</definedName>
    <definedName name="__APW_RESTORE_HYPERLINK20__" hidden="1">#REF!</definedName>
    <definedName name="__APW_RESTORE_HYPERLINK21__" hidden="1">#REF!</definedName>
    <definedName name="__APW_RESTORE_HYPERLINK22__" hidden="1">#REF!</definedName>
    <definedName name="__APW_RESTORE_HYPERLINK23__" hidden="1">#REF!</definedName>
    <definedName name="__APW_RESTORE_HYPERLINK24__" hidden="1">#REF!</definedName>
    <definedName name="__APW_RESTORE_HYPERLINK25__" hidden="1">#REF!</definedName>
    <definedName name="__APW_RESTORE_HYPERLINK26__" hidden="1">#REF!</definedName>
    <definedName name="__APW_RESTORE_HYPERLINK27__" hidden="1">#REF!</definedName>
    <definedName name="__APW_RESTORE_HYPERLINK28__" hidden="1">#REF!</definedName>
    <definedName name="__APW_RESTORE_HYPERLINK29__" hidden="1">#REF!</definedName>
    <definedName name="__APW_RESTORE_HYPERLINK3__" hidden="1">#REF!</definedName>
    <definedName name="__APW_RESTORE_HYPERLINK30__" hidden="1">#REF!</definedName>
    <definedName name="__APW_RESTORE_HYPERLINK31__" hidden="1">#REF!</definedName>
    <definedName name="__APW_RESTORE_HYPERLINK32__" hidden="1">#REF!</definedName>
    <definedName name="__APW_RESTORE_HYPERLINK33__" hidden="1">#REF!</definedName>
    <definedName name="__APW_RESTORE_HYPERLINK34__" hidden="1">#REF!</definedName>
    <definedName name="__APW_RESTORE_HYPERLINK35__" hidden="1">#REF!</definedName>
    <definedName name="__APW_RESTORE_HYPERLINK36__" hidden="1">#REF!</definedName>
    <definedName name="__APW_RESTORE_HYPERLINK37__" hidden="1">#REF!</definedName>
    <definedName name="__APW_RESTORE_HYPERLINK38__" hidden="1">#REF!</definedName>
    <definedName name="__APW_RESTORE_HYPERLINK39__" hidden="1">#REF!</definedName>
    <definedName name="__APW_RESTORE_HYPERLINK4__" hidden="1">#REF!</definedName>
    <definedName name="__APW_RESTORE_HYPERLINK40__" hidden="1">#REF!</definedName>
    <definedName name="__APW_RESTORE_HYPERLINK41__" hidden="1">#REF!</definedName>
    <definedName name="__APW_RESTORE_HYPERLINK42__" hidden="1">#REF!</definedName>
    <definedName name="__APW_RESTORE_HYPERLINK43__" hidden="1">#REF!</definedName>
    <definedName name="__APW_RESTORE_HYPERLINK44__" hidden="1">#REF!</definedName>
    <definedName name="__APW_RESTORE_HYPERLINK45__" hidden="1">#REF!</definedName>
    <definedName name="__APW_RESTORE_HYPERLINK46__" hidden="1">#REF!</definedName>
    <definedName name="__APW_RESTORE_HYPERLINK47__" hidden="1">#REF!</definedName>
    <definedName name="__APW_RESTORE_HYPERLINK48__" hidden="1">#REF!</definedName>
    <definedName name="__APW_RESTORE_HYPERLINK49__" hidden="1">#REF!</definedName>
    <definedName name="__APW_RESTORE_HYPERLINK5__" hidden="1">#REF!</definedName>
    <definedName name="__APW_RESTORE_HYPERLINK50__" hidden="1">#REF!</definedName>
    <definedName name="__APW_RESTORE_HYPERLINK51__" hidden="1">#REF!</definedName>
    <definedName name="__APW_RESTORE_HYPERLINK52__" hidden="1">#REF!</definedName>
    <definedName name="__APW_RESTORE_HYPERLINK53__" hidden="1">#REF!</definedName>
    <definedName name="__APW_RESTORE_HYPERLINK54__" hidden="1">#REF!</definedName>
    <definedName name="__APW_RESTORE_HYPERLINK55__" hidden="1">#REF!</definedName>
    <definedName name="__APW_RESTORE_HYPERLINK56__" hidden="1">#REF!</definedName>
    <definedName name="__APW_RESTORE_HYPERLINK57__" hidden="1">#REF!</definedName>
    <definedName name="__APW_RESTORE_HYPERLINK58__" hidden="1">#REF!</definedName>
    <definedName name="__APW_RESTORE_HYPERLINK59__" hidden="1">#REF!</definedName>
    <definedName name="__APW_RESTORE_HYPERLINK6__" hidden="1">#REF!</definedName>
    <definedName name="__APW_RESTORE_HYPERLINK60__" hidden="1">#REF!</definedName>
    <definedName name="__APW_RESTORE_HYPERLINK61__" hidden="1">#REF!</definedName>
    <definedName name="__APW_RESTORE_HYPERLINK62__" hidden="1">#REF!</definedName>
    <definedName name="__APW_RESTORE_HYPERLINK63__" hidden="1">#REF!</definedName>
    <definedName name="__APW_RESTORE_HYPERLINK64__" hidden="1">#REF!</definedName>
    <definedName name="__APW_RESTORE_HYPERLINK65__" hidden="1">#REF!</definedName>
    <definedName name="__APW_RESTORE_HYPERLINK66__" hidden="1">#REF!</definedName>
    <definedName name="__APW_RESTORE_HYPERLINK67__" hidden="1">#REF!</definedName>
    <definedName name="__APW_RESTORE_HYPERLINK68__" hidden="1">#REF!</definedName>
    <definedName name="__APW_RESTORE_HYPERLINK69__" hidden="1">#REF!</definedName>
    <definedName name="__APW_RESTORE_HYPERLINK7__" hidden="1">#REF!</definedName>
    <definedName name="__APW_RESTORE_HYPERLINK70__" hidden="1">#REF!</definedName>
    <definedName name="__APW_RESTORE_HYPERLINK71__" hidden="1">#REF!</definedName>
    <definedName name="__APW_RESTORE_HYPERLINK72__" hidden="1">#REF!</definedName>
    <definedName name="__APW_RESTORE_HYPERLINK73__" hidden="1">#REF!</definedName>
    <definedName name="__APW_RESTORE_HYPERLINK74__" hidden="1">#REF!</definedName>
    <definedName name="__APW_RESTORE_HYPERLINK75__" hidden="1">#REF!</definedName>
    <definedName name="__APW_RESTORE_HYPERLINK76__" hidden="1">#REF!</definedName>
    <definedName name="__APW_RESTORE_HYPERLINK77__" hidden="1">#REF!</definedName>
    <definedName name="__APW_RESTORE_HYPERLINK78__" hidden="1">#REF!</definedName>
    <definedName name="__APW_RESTORE_HYPERLINK79__" hidden="1">#REF!</definedName>
    <definedName name="__APW_RESTORE_HYPERLINK8__" hidden="1">#REF!</definedName>
    <definedName name="__APW_RESTORE_HYPERLINK80__" hidden="1">#REF!</definedName>
    <definedName name="__APW_RESTORE_HYPERLINK81__" hidden="1">#REF!</definedName>
    <definedName name="__APW_RESTORE_HYPERLINK82__" hidden="1">#REF!</definedName>
    <definedName name="__APW_RESTORE_HYPERLINK83__" hidden="1">#REF!</definedName>
    <definedName name="__APW_RESTORE_HYPERLINK84__" hidden="1">#REF!</definedName>
    <definedName name="__APW_RESTORE_HYPERLINK85__" hidden="1">#REF!</definedName>
    <definedName name="__APW_RESTORE_HYPERLINK86__" hidden="1">#REF!</definedName>
    <definedName name="__APW_RESTORE_HYPERLINK87__" hidden="1">#REF!</definedName>
    <definedName name="__APW_RESTORE_HYPERLINK88__" hidden="1">#REF!</definedName>
    <definedName name="__APW_RESTORE_HYPERLINK89__" hidden="1">#REF!</definedName>
    <definedName name="__APW_RESTORE_HYPERLINK9__" hidden="1">#REF!</definedName>
    <definedName name="__APW_RESTORE_HYPERLINK90__" hidden="1">#REF!</definedName>
    <definedName name="__APW_RESTORE_HYPERLINK91__" hidden="1">#REF!</definedName>
    <definedName name="__APW_RESTORE_HYPERLINK92__" hidden="1">#REF!</definedName>
    <definedName name="__APW_RESTORE_HYPERLINK93__" hidden="1">#REF!</definedName>
    <definedName name="__APW_RESTORE_HYPERLINK94__" hidden="1">#REF!</definedName>
    <definedName name="__APW_RESTORE_HYPERLINK95__" hidden="1">#REF!</definedName>
    <definedName name="__APW_RESTORE_HYPERLINK96__" hidden="1">#REF!</definedName>
    <definedName name="__APW_RESTORE_HYPERLINK97__" hidden="1">#REF!</definedName>
    <definedName name="__APW_RESTORE_HYPERLINK98__" hidden="1">#REF!</definedName>
    <definedName name="__APW_RESTORE_HYPERLINK99__" hidden="1">#REF!</definedName>
    <definedName name="__ASS6434" localSheetId="8"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ASS6434" localSheetId="6"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ASS6434"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_CAP10" localSheetId="8" hidden="1">{"LC",#N/A,FALSE,"FC-15 Cap Expend"}</definedName>
    <definedName name="__CAP10" localSheetId="6" hidden="1">{"LC",#N/A,FALSE,"FC-15 Cap Expend"}</definedName>
    <definedName name="__CAP10" hidden="1">{"LC",#N/A,FALSE,"FC-15 Cap Expend"}</definedName>
    <definedName name="__DP6434" localSheetId="8" hidden="1">{"TOTALDPAK",#N/A,FALSE,"DPAK PRODUCTION";"HADPAK",#N/A,FALSE,"DPAK PRODUCTION";"PSIDPAK",#N/A,FALSE,"DPAK PRODUCTION"}</definedName>
    <definedName name="__DP6434" localSheetId="6" hidden="1">{"TOTALDPAK",#N/A,FALSE,"DPAK PRODUCTION";"HADPAK",#N/A,FALSE,"DPAK PRODUCTION";"PSIDPAK",#N/A,FALSE,"DPAK PRODUCTION"}</definedName>
    <definedName name="__DP6434" hidden="1">{"TOTALDPAK",#N/A,FALSE,"DPAK PRODUCTION";"HADPAK",#N/A,FALSE,"DPAK PRODUCTION";"PSIDPAK",#N/A,FALSE,"DPAK PRODUCTION"}</definedName>
    <definedName name="__FA16434" localSheetId="8"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FA16434" localSheetId="6"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_FA2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_FA2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_FA26434" hidden="1">{"TOTALFAB",#N/A,FALSE,"WAFER FAB 2 EXPENSE";"FABPRODUCTION",#N/A,FALSE,"WAFER FAB 2 EXPENSE";"FABENGINEERING",#N/A,FALSE,"WAFER FAB 2 EXPENSE";"FABEQUIPSUPPORT",#N/A,FALSE,"WAFER FAB 2 EXPENSE";"FABPRODUCTLINE",#N/A,FALSE,"WAFER FAB 2 EXPENSE";"FABMATERIALS",#N/A,FALSE,"WAFER FAB 2 EXPENSE"}</definedName>
    <definedName name="__FA9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_FA9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_FA96434" hidden="1">{"TOTALFAB",#N/A,FALSE,"WAFER FAB 2 EXPENSE";"FABPRODUCTION",#N/A,FALSE,"WAFER FAB 2 EXPENSE";"FABENGINEERING",#N/A,FALSE,"WAFER FAB 2 EXPENSE";"FABEQUIPSUPPORT",#N/A,FALSE,"WAFER FAB 2 EXPENSE";"FABPRODUCTLINE",#N/A,FALSE,"WAFER FAB 2 EXPENSE";"FABMATERIALS",#N/A,FALSE,"WAFER FAB 2 EXPENSE"}</definedName>
    <definedName name="__FAC6434" localSheetId="8" hidden="1">{"TOTAL",#N/A,FALSE,"FACILITIES EXPENSE";"TOTALDETAIL",#N/A,FALSE,"FACILITIES EXPENSE";"MATERIALS",#N/A,FALSE,"FACILITIES EXPENSE";"FACILITIES",#N/A,FALSE,"FACILITIES EXPENSE";"CHEM",#N/A,FALSE,"FACILITIES EXPENSE";"GENSVC",#N/A,FALSE,"FACILITIES EXPENSE";"SAFETY",#N/A,FALSE,"FACILITIES EXPENSE"}</definedName>
    <definedName name="__FAC6434" localSheetId="6" hidden="1">{"TOTAL",#N/A,FALSE,"FACILITIES EXPENSE";"TOTALDETAIL",#N/A,FALSE,"FACILITIES EXPENSE";"MATERIALS",#N/A,FALSE,"FACILITIES EXPENSE";"FACILITIES",#N/A,FALSE,"FACILITIES EXPENSE";"CHEM",#N/A,FALSE,"FACILITIES EXPENSE";"GENSVC",#N/A,FALSE,"FACILITIES EXPENSE";"SAFETY",#N/A,FALSE,"FACILITIES EXPENSE"}</definedName>
    <definedName name="__FAC6434" hidden="1">{"TOTAL",#N/A,FALSE,"FACILITIES EXPENSE";"TOTALDETAIL",#N/A,FALSE,"FACILITIES EXPENSE";"MATERIALS",#N/A,FALSE,"FACILITIES EXPENSE";"FACILITIES",#N/A,FALSE,"FACILITIES EXPENSE";"CHEM",#N/A,FALSE,"FACILITIES EXPENSE";"GENSVC",#N/A,FALSE,"FACILITIES EXPENSE";"SAFETY",#N/A,FALSE,"FACILITIES EXPENSE"}</definedName>
    <definedName name="__FDS_HYPERLINK_TOGGLE_STATE__" hidden="1">"ON"</definedName>
    <definedName name="__IntlFixup" hidden="1">TRUE</definedName>
    <definedName name="__new2" localSheetId="8" hidden="1">{"FY97Q1 nvs",#N/A,FALSE,"FY97 - Q1";"FY97Q2 nvs",#N/A,FALSE,"FY97 - Q2";"FY97Q3 nvs",#N/A,FALSE,"FY97 - Q3";"FY97Q4 nvs",#N/A,FALSE,"FY97 - Q4"}</definedName>
    <definedName name="__new2" localSheetId="6" hidden="1">{"FY97Q1 nvs",#N/A,FALSE,"FY97 - Q1";"FY97Q2 nvs",#N/A,FALSE,"FY97 - Q2";"FY97Q3 nvs",#N/A,FALSE,"FY97 - Q3";"FY97Q4 nvs",#N/A,FALSE,"FY97 - Q4"}</definedName>
    <definedName name="__new2" hidden="1">{"FY97Q1 nvs",#N/A,FALSE,"FY97 - Q1";"FY97Q2 nvs",#N/A,FALSE,"FY97 - Q2";"FY97Q3 nvs",#N/A,FALSE,"FY97 - Q3";"FY97Q4 nvs",#N/A,FALSE,"FY97 - Q4"}</definedName>
    <definedName name="__new3" localSheetId="8" hidden="1">{"FY98Q1 nvs",#N/A,FALSE,"FY98 - Q1";"FY98Q2 nvs",#N/A,FALSE,"FY98 - Q2";"FY98Q3 nvs",#N/A,FALSE,"FY98 - Q3";"FY98Q4 nvs",#N/A,FALSE,"FY98 - Q4"}</definedName>
    <definedName name="__new3" localSheetId="6" hidden="1">{"FY98Q1 nvs",#N/A,FALSE,"FY98 - Q1";"FY98Q2 nvs",#N/A,FALSE,"FY98 - Q2";"FY98Q3 nvs",#N/A,FALSE,"FY98 - Q3";"FY98Q4 nvs",#N/A,FALSE,"FY98 - Q4"}</definedName>
    <definedName name="__new3" hidden="1">{"FY98Q1 nvs",#N/A,FALSE,"FY98 - Q1";"FY98Q2 nvs",#N/A,FALSE,"FY98 - Q2";"FY98Q3 nvs",#N/A,FALSE,"FY98 - Q3";"FY98Q4 nvs",#N/A,FALSE,"FY98 - Q4"}</definedName>
    <definedName name="__new4" localSheetId="8" hidden="1">{"INPUT",#N/A,FALSE,"REVENUE AND GM ";"CONTROL",#N/A,FALSE,"REVENUE AND GM ";"SWITCH",#N/A,FALSE,"REVENUE AND GM ";"OUTPUT",#N/A,FALSE,"REVENUE AND GM ";"TOTAL",#N/A,FALSE,"REVENUE AND GM "}</definedName>
    <definedName name="__new4" localSheetId="6" hidden="1">{"INPUT",#N/A,FALSE,"REVENUE AND GM ";"CONTROL",#N/A,FALSE,"REVENUE AND GM ";"SWITCH",#N/A,FALSE,"REVENUE AND GM ";"OUTPUT",#N/A,FALSE,"REVENUE AND GM ";"TOTAL",#N/A,FALSE,"REVENUE AND GM "}</definedName>
    <definedName name="__new4" hidden="1">{"INPUT",#N/A,FALSE,"REVENUE AND GM ";"CONTROL",#N/A,FALSE,"REVENUE AND GM ";"SWITCH",#N/A,FALSE,"REVENUE AND GM ";"OUTPUT",#N/A,FALSE,"REVENUE AND GM ";"TOTAL",#N/A,FALSE,"REVENUE AND GM "}</definedName>
    <definedName name="__new5" localSheetId="8" hidden="1">{"FY97Total",#N/A,FALSE,"FY97 - Total";"FY98Total",#N/A,FALSE,"FY98 - Total"}</definedName>
    <definedName name="__new5" localSheetId="6" hidden="1">{"FY97Total",#N/A,FALSE,"FY97 - Total";"FY98Total",#N/A,FALSE,"FY98 - Total"}</definedName>
    <definedName name="__new5" hidden="1">{"FY97Total",#N/A,FALSE,"FY97 - Total";"FY98Total",#N/A,FALSE,"FY98 - Total"}</definedName>
    <definedName name="__new6" localSheetId="8" hidden="1">{"FY97Q1",#N/A,FALSE,"FY97 - Q1";"FY97Q2",#N/A,FALSE,"FY97 - Q2";"FY97Q3",#N/A,FALSE,"FY97 - Q3";"FY97Q4",#N/A,FALSE,"FY97 - Q4"}</definedName>
    <definedName name="__new6" localSheetId="6" hidden="1">{"FY97Q1",#N/A,FALSE,"FY97 - Q1";"FY97Q2",#N/A,FALSE,"FY97 - Q2";"FY97Q3",#N/A,FALSE,"FY97 - Q3";"FY97Q4",#N/A,FALSE,"FY97 - Q4"}</definedName>
    <definedName name="__new6" hidden="1">{"FY97Q1",#N/A,FALSE,"FY97 - Q1";"FY97Q2",#N/A,FALSE,"FY97 - Q2";"FY97Q3",#N/A,FALSE,"FY97 - Q3";"FY97Q4",#N/A,FALSE,"FY97 - Q4"}</definedName>
    <definedName name="__QR6434" localSheetId="8"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QR6434" localSheetId="6"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QR6434"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_TEM6434" localSheetId="8" hidden="1">{"ALLOCATION1",#N/A,FALSE,"EXPENSE ALLOCATIONS";"ALLOCATION2",#N/A,FALSE,"EXPENSE ALLOCATIONS";"ALLOCATION3",#N/A,FALSE,"EXPENSE ALLOCATIONS";"ALLOCATION4",#N/A,FALSE,"EXPENSE ALLOCATIONS"}</definedName>
    <definedName name="__TEM6434" localSheetId="6" hidden="1">{"ALLOCATION1",#N/A,FALSE,"EXPENSE ALLOCATIONS";"ALLOCATION2",#N/A,FALSE,"EXPENSE ALLOCATIONS";"ALLOCATION3",#N/A,FALSE,"EXPENSE ALLOCATIONS";"ALLOCATION4",#N/A,FALSE,"EXPENSE ALLOCATIONS"}</definedName>
    <definedName name="__TEM6434" hidden="1">{"ALLOCATION1",#N/A,FALSE,"EXPENSE ALLOCATIONS";"ALLOCATION2",#N/A,FALSE,"EXPENSE ALLOCATIONS";"ALLOCATION3",#N/A,FALSE,"EXPENSE ALLOCATIONS";"ALLOCATION4",#N/A,FALSE,"EXPENSE ALLOCATIONS"}</definedName>
    <definedName name="__xlfn.BAHTTEXT" hidden="1">#NAME?</definedName>
    <definedName name="_18_123Grap" hidden="1">#REF!</definedName>
    <definedName name="_2013_">#REF!</definedName>
    <definedName name="_21__123Graph_ACHART_1" hidden="1">#REF!</definedName>
    <definedName name="_24__123Graph_BCHART_1" hidden="1">#REF!</definedName>
    <definedName name="_36_0__123Grap" hidden="1">#REF!</definedName>
    <definedName name="_6_123Grap" hidden="1">#REF!</definedName>
    <definedName name="_9_0__123Grap" hidden="1">#REF!</definedName>
    <definedName name="_a2" localSheetId="8" hidden="1">{#N/A,#N/A,FALSE,"Sheet1"}</definedName>
    <definedName name="_a2" localSheetId="6" hidden="1">{#N/A,#N/A,FALSE,"Sheet1"}</definedName>
    <definedName name="_a2" hidden="1">{#N/A,#N/A,FALSE,"Sheet1"}</definedName>
    <definedName name="_a3" localSheetId="8" hidden="1">{#N/A,#N/A,FALSE,"Sheet1"}</definedName>
    <definedName name="_a3" localSheetId="6" hidden="1">{#N/A,#N/A,FALSE,"Sheet1"}</definedName>
    <definedName name="_a3" hidden="1">{#N/A,#N/A,FALSE,"Sheet1"}</definedName>
    <definedName name="_ALL6434" localSheetId="8" hidden="1">{"ALLOCATION1",#N/A,FALSE,"EXPENSE ALLOCATIONS";"ALLOCATION2",#N/A,FALSE,"EXPENSE ALLOCATIONS";"ALLOCATION3",#N/A,FALSE,"EXPENSE ALLOCATIONS";"ALLOCATION4",#N/A,FALSE,"EXPENSE ALLOCATIONS"}</definedName>
    <definedName name="_ALL6434" localSheetId="6" hidden="1">{"ALLOCATION1",#N/A,FALSE,"EXPENSE ALLOCATIONS";"ALLOCATION2",#N/A,FALSE,"EXPENSE ALLOCATIONS";"ALLOCATION3",#N/A,FALSE,"EXPENSE ALLOCATIONS";"ALLOCATION4",#N/A,FALSE,"EXPENSE ALLOCATIONS"}</definedName>
    <definedName name="_ALL6434" hidden="1">{"ALLOCATION1",#N/A,FALSE,"EXPENSE ALLOCATIONS";"ALLOCATION2",#N/A,FALSE,"EXPENSE ALLOCATIONS";"ALLOCATION3",#N/A,FALSE,"EXPENSE ALLOCATIONS";"ALLOCATION4",#N/A,FALSE,"EXPENSE ALLOCATIONS"}</definedName>
    <definedName name="_ASS6434" localSheetId="8"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ASS6434" localSheetId="6"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ASS6434"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_CAP10" localSheetId="8" hidden="1">{"LC",#N/A,FALSE,"FC-15 Cap Expend"}</definedName>
    <definedName name="_CAP10" localSheetId="6" hidden="1">{"LC",#N/A,FALSE,"FC-15 Cap Expend"}</definedName>
    <definedName name="_CAP10" hidden="1">{"LC",#N/A,FALSE,"FC-15 Cap Expend"}</definedName>
    <definedName name="_DP6434" localSheetId="8" hidden="1">{"TOTALDPAK",#N/A,FALSE,"DPAK PRODUCTION";"HADPAK",#N/A,FALSE,"DPAK PRODUCTION";"PSIDPAK",#N/A,FALSE,"DPAK PRODUCTION"}</definedName>
    <definedName name="_DP6434" localSheetId="6" hidden="1">{"TOTALDPAK",#N/A,FALSE,"DPAK PRODUCTION";"HADPAK",#N/A,FALSE,"DPAK PRODUCTION";"PSIDPAK",#N/A,FALSE,"DPAK PRODUCTION"}</definedName>
    <definedName name="_DP6434" hidden="1">{"TOTALDPAK",#N/A,FALSE,"DPAK PRODUCTION";"HADPAK",#N/A,FALSE,"DPAK PRODUCTION";"PSIDPAK",#N/A,FALSE,"DPAK PRODUCTION"}</definedName>
    <definedName name="_EURO">#REF!</definedName>
    <definedName name="_FA16434" localSheetId="8"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FA16434" localSheetId="6"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FA16434"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_FA2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FA2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FA26434" hidden="1">{"TOTALFAB",#N/A,FALSE,"WAFER FAB 2 EXPENSE";"FABPRODUCTION",#N/A,FALSE,"WAFER FAB 2 EXPENSE";"FABENGINEERING",#N/A,FALSE,"WAFER FAB 2 EXPENSE";"FABEQUIPSUPPORT",#N/A,FALSE,"WAFER FAB 2 EXPENSE";"FABPRODUCTLINE",#N/A,FALSE,"WAFER FAB 2 EXPENSE";"FABMATERIALS",#N/A,FALSE,"WAFER FAB 2 EXPENSE"}</definedName>
    <definedName name="_FA96434"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_FA96434"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_FA96434" hidden="1">{"TOTALFAB",#N/A,FALSE,"WAFER FAB 2 EXPENSE";"FABPRODUCTION",#N/A,FALSE,"WAFER FAB 2 EXPENSE";"FABENGINEERING",#N/A,FALSE,"WAFER FAB 2 EXPENSE";"FABEQUIPSUPPORT",#N/A,FALSE,"WAFER FAB 2 EXPENSE";"FABPRODUCTLINE",#N/A,FALSE,"WAFER FAB 2 EXPENSE";"FABMATERIALS",#N/A,FALSE,"WAFER FAB 2 EXPENSE"}</definedName>
    <definedName name="_FAC6434" localSheetId="8" hidden="1">{"TOTAL",#N/A,FALSE,"FACILITIES EXPENSE";"TOTALDETAIL",#N/A,FALSE,"FACILITIES EXPENSE";"MATERIALS",#N/A,FALSE,"FACILITIES EXPENSE";"FACILITIES",#N/A,FALSE,"FACILITIES EXPENSE";"CHEM",#N/A,FALSE,"FACILITIES EXPENSE";"GENSVC",#N/A,FALSE,"FACILITIES EXPENSE";"SAFETY",#N/A,FALSE,"FACILITIES EXPENSE"}</definedName>
    <definedName name="_FAC6434" localSheetId="6" hidden="1">{"TOTAL",#N/A,FALSE,"FACILITIES EXPENSE";"TOTALDETAIL",#N/A,FALSE,"FACILITIES EXPENSE";"MATERIALS",#N/A,FALSE,"FACILITIES EXPENSE";"FACILITIES",#N/A,FALSE,"FACILITIES EXPENSE";"CHEM",#N/A,FALSE,"FACILITIES EXPENSE";"GENSVC",#N/A,FALSE,"FACILITIES EXPENSE";"SAFETY",#N/A,FALSE,"FACILITIES EXPENSE"}</definedName>
    <definedName name="_FAC6434" hidden="1">{"TOTAL",#N/A,FALSE,"FACILITIES EXPENSE";"TOTALDETAIL",#N/A,FALSE,"FACILITIES EXPENSE";"MATERIALS",#N/A,FALSE,"FACILITIES EXPENSE";"FACILITIES",#N/A,FALSE,"FACILITIES EXPENSE";"CHEM",#N/A,FALSE,"FACILITIES EXPENSE";"GENSVC",#N/A,FALSE,"FACILITIES EXPENSE";"SAFETY",#N/A,FALSE,"FACILITIES EXPENSE"}</definedName>
    <definedName name="_Fill" hidden="1">#REF!</definedName>
    <definedName name="_Key1" hidden="1">#REF!</definedName>
    <definedName name="_Key2" hidden="1">#REF!</definedName>
    <definedName name="_new2" localSheetId="8" hidden="1">{"FY97Q1 nvs",#N/A,FALSE,"FY97 - Q1";"FY97Q2 nvs",#N/A,FALSE,"FY97 - Q2";"FY97Q3 nvs",#N/A,FALSE,"FY97 - Q3";"FY97Q4 nvs",#N/A,FALSE,"FY97 - Q4"}</definedName>
    <definedName name="_new2" localSheetId="6" hidden="1">{"FY97Q1 nvs",#N/A,FALSE,"FY97 - Q1";"FY97Q2 nvs",#N/A,FALSE,"FY97 - Q2";"FY97Q3 nvs",#N/A,FALSE,"FY97 - Q3";"FY97Q4 nvs",#N/A,FALSE,"FY97 - Q4"}</definedName>
    <definedName name="_new2" hidden="1">{"FY97Q1 nvs",#N/A,FALSE,"FY97 - Q1";"FY97Q2 nvs",#N/A,FALSE,"FY97 - Q2";"FY97Q3 nvs",#N/A,FALSE,"FY97 - Q3";"FY97Q4 nvs",#N/A,FALSE,"FY97 - Q4"}</definedName>
    <definedName name="_new3" localSheetId="8" hidden="1">{"FY98Q1 nvs",#N/A,FALSE,"FY98 - Q1";"FY98Q2 nvs",#N/A,FALSE,"FY98 - Q2";"FY98Q3 nvs",#N/A,FALSE,"FY98 - Q3";"FY98Q4 nvs",#N/A,FALSE,"FY98 - Q4"}</definedName>
    <definedName name="_new3" localSheetId="6" hidden="1">{"FY98Q1 nvs",#N/A,FALSE,"FY98 - Q1";"FY98Q2 nvs",#N/A,FALSE,"FY98 - Q2";"FY98Q3 nvs",#N/A,FALSE,"FY98 - Q3";"FY98Q4 nvs",#N/A,FALSE,"FY98 - Q4"}</definedName>
    <definedName name="_new3" hidden="1">{"FY98Q1 nvs",#N/A,FALSE,"FY98 - Q1";"FY98Q2 nvs",#N/A,FALSE,"FY98 - Q2";"FY98Q3 nvs",#N/A,FALSE,"FY98 - Q3";"FY98Q4 nvs",#N/A,FALSE,"FY98 - Q4"}</definedName>
    <definedName name="_new4" localSheetId="8" hidden="1">{"INPUT",#N/A,FALSE,"REVENUE AND GM ";"CONTROL",#N/A,FALSE,"REVENUE AND GM ";"SWITCH",#N/A,FALSE,"REVENUE AND GM ";"OUTPUT",#N/A,FALSE,"REVENUE AND GM ";"TOTAL",#N/A,FALSE,"REVENUE AND GM "}</definedName>
    <definedName name="_new4" localSheetId="6" hidden="1">{"INPUT",#N/A,FALSE,"REVENUE AND GM ";"CONTROL",#N/A,FALSE,"REVENUE AND GM ";"SWITCH",#N/A,FALSE,"REVENUE AND GM ";"OUTPUT",#N/A,FALSE,"REVENUE AND GM ";"TOTAL",#N/A,FALSE,"REVENUE AND GM "}</definedName>
    <definedName name="_new4" hidden="1">{"INPUT",#N/A,FALSE,"REVENUE AND GM ";"CONTROL",#N/A,FALSE,"REVENUE AND GM ";"SWITCH",#N/A,FALSE,"REVENUE AND GM ";"OUTPUT",#N/A,FALSE,"REVENUE AND GM ";"TOTAL",#N/A,FALSE,"REVENUE AND GM "}</definedName>
    <definedName name="_new5" localSheetId="8" hidden="1">{"FY97Total",#N/A,FALSE,"FY97 - Total";"FY98Total",#N/A,FALSE,"FY98 - Total"}</definedName>
    <definedName name="_new5" localSheetId="6" hidden="1">{"FY97Total",#N/A,FALSE,"FY97 - Total";"FY98Total",#N/A,FALSE,"FY98 - Total"}</definedName>
    <definedName name="_new5" hidden="1">{"FY97Total",#N/A,FALSE,"FY97 - Total";"FY98Total",#N/A,FALSE,"FY98 - Total"}</definedName>
    <definedName name="_new6" localSheetId="8" hidden="1">{"FY97Q1",#N/A,FALSE,"FY97 - Q1";"FY97Q2",#N/A,FALSE,"FY97 - Q2";"FY97Q3",#N/A,FALSE,"FY97 - Q3";"FY97Q4",#N/A,FALSE,"FY97 - Q4"}</definedName>
    <definedName name="_new6" localSheetId="6" hidden="1">{"FY97Q1",#N/A,FALSE,"FY97 - Q1";"FY97Q2",#N/A,FALSE,"FY97 - Q2";"FY97Q3",#N/A,FALSE,"FY97 - Q3";"FY97Q4",#N/A,FALSE,"FY97 - Q4"}</definedName>
    <definedName name="_new6" hidden="1">{"FY97Q1",#N/A,FALSE,"FY97 - Q1";"FY97Q2",#N/A,FALSE,"FY97 - Q2";"FY97Q3",#N/A,FALSE,"FY97 - Q3";"FY97Q4",#N/A,FALSE,"FY97 - Q4"}</definedName>
    <definedName name="_Order1" hidden="1">255</definedName>
    <definedName name="_Order2" hidden="1">255</definedName>
    <definedName name="_P00balance_sheet_2" hidden="1">#REF!</definedName>
    <definedName name="_P00DCF_Summary" hidden="1">#REF!</definedName>
    <definedName name="_P00drivers_quarterly" hidden="1">#REF!</definedName>
    <definedName name="_P00finacials_quarterly_nots" hidden="1">#REF!</definedName>
    <definedName name="_P00financials_quarterly" hidden="1">#REF!</definedName>
    <definedName name="_P00yearly2" hidden="1">#REF!</definedName>
    <definedName name="_QR6434" localSheetId="8"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QR6434" localSheetId="6"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QR6434"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EM6434" localSheetId="8" hidden="1">{"ALLOCATION1",#N/A,FALSE,"EXPENSE ALLOCATIONS";"ALLOCATION2",#N/A,FALSE,"EXPENSE ALLOCATIONS";"ALLOCATION3",#N/A,FALSE,"EXPENSE ALLOCATIONS";"ALLOCATION4",#N/A,FALSE,"EXPENSE ALLOCATIONS"}</definedName>
    <definedName name="_TEM6434" localSheetId="6" hidden="1">{"ALLOCATION1",#N/A,FALSE,"EXPENSE ALLOCATIONS";"ALLOCATION2",#N/A,FALSE,"EXPENSE ALLOCATIONS";"ALLOCATION3",#N/A,FALSE,"EXPENSE ALLOCATIONS";"ALLOCATION4",#N/A,FALSE,"EXPENSE ALLOCATIONS"}</definedName>
    <definedName name="_TEM6434" hidden="1">{"ALLOCATION1",#N/A,FALSE,"EXPENSE ALLOCATIONS";"ALLOCATION2",#N/A,FALSE,"EXPENSE ALLOCATIONS";"ALLOCATION3",#N/A,FALSE,"EXPENSE ALLOCATIONS";"ALLOCATION4",#N/A,FALSE,"EXPENSE ALLOCATIONS"}</definedName>
    <definedName name="_tva20">100/120</definedName>
    <definedName name="_tva5">0.05</definedName>
    <definedName name="_TVA83">0.8333</definedName>
    <definedName name="_USD">#REF!</definedName>
    <definedName name="_vn5">1</definedName>
    <definedName name="_Zbalance_sheet_2" localSheetId="8" hidden="1">{0,0,0,0,1,-4105,70.8661417322835,53.8582677165354,70.8661417322835,70.8661417322835,2,FALSE,FALSE,FALSE,FALSE,FALSE,#N/A,1,112,1,1,"","","","","","",FALSE}</definedName>
    <definedName name="_Zbalance_sheet_2" localSheetId="6" hidden="1">{0,0,0,0,1,-4105,70.8661417322835,53.8582677165354,70.8661417322835,70.8661417322835,2,FALSE,FALSE,FALSE,FALSE,FALSE,#N/A,1,112,1,1,"","","","","","",FALSE}</definedName>
    <definedName name="_Zbalance_sheet_2" hidden="1">{0,0,0,0,1,-4105,70.8661417322835,53.8582677165354,70.8661417322835,70.8661417322835,2,FALSE,FALSE,FALSE,FALSE,FALSE,#N/A,1,112,1,1,"","","","","","",FALSE}</definedName>
    <definedName name="_ZDCF_Summary" localSheetId="8" hidden="1">{0,0,0,0,1,-4105,41.04,53.8582677165354,64.08,51.84,2,FALSE,FALSE,FALSE,FALSE,FALSE,#N/A,1,65,1,1,"","","","","","",FALSE}</definedName>
    <definedName name="_ZDCF_Summary" localSheetId="6" hidden="1">{0,0,0,0,1,-4105,41.04,53.8582677165354,64.08,51.84,2,FALSE,FALSE,FALSE,FALSE,FALSE,#N/A,1,65,1,1,"","","","","","",FALSE}</definedName>
    <definedName name="_ZDCF_Summary" hidden="1">{0,0,0,0,1,-4105,41.04,53.8582677165354,64.08,51.84,2,FALSE,FALSE,FALSE,FALSE,FALSE,#N/A,1,65,1,1,"","","","","","",FALSE}</definedName>
    <definedName name="_Zdrivers_quarterly" localSheetId="8" hidden="1">{0,0,0,0,1,-4105,59.76,25.5118110236221,69.12,70.8661417322835,2,FALSE,FALSE,FALSE,FALSE,FALSE,#N/A,1,63,1,1,"","","","","","",FALSE}</definedName>
    <definedName name="_Zdrivers_quarterly" localSheetId="6" hidden="1">{0,0,0,0,1,-4105,59.76,25.5118110236221,69.12,70.8661417322835,2,FALSE,FALSE,FALSE,FALSE,FALSE,#N/A,1,63,1,1,"","","","","","",FALSE}</definedName>
    <definedName name="_Zdrivers_quarterly" hidden="1">{0,0,0,0,1,-4105,59.76,25.5118110236221,69.12,70.8661417322835,2,FALSE,FALSE,FALSE,FALSE,FALSE,#N/A,1,63,1,1,"","","","","","",FALSE}</definedName>
    <definedName name="_Zfinacials_quarterly_nots" localSheetId="8" hidden="1">{0,0,0,0,1,-4105,70.8661417322835,53.8582677165354,70.8661417322835,70.8661417322835,2,FALSE,FALSE,FALSE,FALSE,FALSE,#N/A,1,55,1,1,"","","","","","",FALSE}</definedName>
    <definedName name="_Zfinacials_quarterly_nots" localSheetId="6" hidden="1">{0,0,0,0,1,-4105,70.8661417322835,53.8582677165354,70.8661417322835,70.8661417322835,2,FALSE,FALSE,FALSE,FALSE,FALSE,#N/A,1,55,1,1,"","","","","","",FALSE}</definedName>
    <definedName name="_Zfinacials_quarterly_nots" hidden="1">{0,0,0,0,1,-4105,70.8661417322835,53.8582677165354,70.8661417322835,70.8661417322835,2,FALSE,FALSE,FALSE,FALSE,FALSE,#N/A,1,55,1,1,"","","","","","",FALSE}</definedName>
    <definedName name="_Zfinancials_quarterly" localSheetId="8" hidden="1">{0,0,0,0,1,-4105,70.8661417322835,53.8582677165354,70.8661417322835,70.8661417322835,2,FALSE,FALSE,FALSE,FALSE,FALSE,#N/A,1,55,1,1,"","","","","","",FALSE}</definedName>
    <definedName name="_Zfinancials_quarterly" localSheetId="6" hidden="1">{0,0,0,0,1,-4105,70.8661417322835,53.8582677165354,70.8661417322835,70.8661417322835,2,FALSE,FALSE,FALSE,FALSE,FALSE,#N/A,1,55,1,1,"","","","","","",FALSE}</definedName>
    <definedName name="_Zfinancials_quarterly" hidden="1">{0,0,0,0,1,-4105,70.8661417322835,53.8582677165354,70.8661417322835,70.8661417322835,2,FALSE,FALSE,FALSE,FALSE,FALSE,#N/A,1,55,1,1,"","","","","","",FALSE}</definedName>
    <definedName name="_Zyearly" localSheetId="8" hidden="1">{0,0,0,0,1,-4105,14.1732283464567,53.8582677165354,70.8661417322835,70.8661417322835,2,FALSE,FALSE,FALSE,FALSE,FALSE,#N/A,1,75,1,1,"","","","","","",FALSE}</definedName>
    <definedName name="_Zyearly" localSheetId="6" hidden="1">{0,0,0,0,1,-4105,14.1732283464567,53.8582677165354,70.8661417322835,70.8661417322835,2,FALSE,FALSE,FALSE,FALSE,FALSE,#N/A,1,75,1,1,"","","","","","",FALSE}</definedName>
    <definedName name="_Zyearly" hidden="1">{0,0,0,0,1,-4105,14.1732283464567,53.8582677165354,70.8661417322835,70.8661417322835,2,FALSE,FALSE,FALSE,FALSE,FALSE,#N/A,1,75,1,1,"","","","","","",FALSE}</definedName>
    <definedName name="_Zyearly2" localSheetId="8" hidden="1">{0,0,0,0,1,-4105,70.8661417322835,53.8582677165354,70.8661417322835,70.8661417322835,2,FALSE,FALSE,FALSE,FALSE,FALSE,#N/A,1,75,1,1,"","","","","","",FALSE}</definedName>
    <definedName name="_Zyearly2" localSheetId="6" hidden="1">{0,0,0,0,1,-4105,70.8661417322835,53.8582677165354,70.8661417322835,70.8661417322835,2,FALSE,FALSE,FALSE,FALSE,FALSE,#N/A,1,75,1,1,"","","","","","",FALSE}</definedName>
    <definedName name="_Zyearly2" hidden="1">{0,0,0,0,1,-4105,70.8661417322835,53.8582677165354,70.8661417322835,70.8661417322835,2,FALSE,FALSE,FALSE,FALSE,FALSE,#N/A,1,75,1,1,"","","","","","",FALSE}</definedName>
    <definedName name="_xlnm._FilterDatabase" localSheetId="8" hidden="1">'Beta Damodaran'!$A$1:$AA$106</definedName>
    <definedName name="a" localSheetId="8" hidden="1">{"'PRODUCTIONCOST SHEET'!$B$3:$G$48"}</definedName>
    <definedName name="a" localSheetId="6" hidden="1">{"'PRODUCTIONCOST SHEET'!$B$3:$G$48"}</definedName>
    <definedName name="a" hidden="1">{"'PRODUCTIONCOST SHEET'!$B$3:$G$48"}</definedName>
    <definedName name="A154a1">#REF!</definedName>
    <definedName name="aa" localSheetId="8" hidden="1">{#N/A,#N/A,FALSE,"DI 2 YEAR MASTER SCHEDULE"}</definedName>
    <definedName name="aa" localSheetId="6" hidden="1">{#N/A,#N/A,FALSE,"DI 2 YEAR MASTER SCHEDULE"}</definedName>
    <definedName name="aa" hidden="1">{#N/A,#N/A,FALSE,"DI 2 YEAR MASTER SCHEDULE"}</definedName>
    <definedName name="aaa" localSheetId="8" hidden="1">{#N/A,#N/A,FALSE,"DI 2 YEAR MASTER SCHEDULE"}</definedName>
    <definedName name="aaa" localSheetId="6" hidden="1">{#N/A,#N/A,FALSE,"DI 2 YEAR MASTER SCHEDULE"}</definedName>
    <definedName name="aaa" hidden="1">{#N/A,#N/A,FALSE,"DI 2 YEAR MASTER SCHEDULE"}</definedName>
    <definedName name="AAA_DOCTOPS" hidden="1">"AAA_SET"</definedName>
    <definedName name="AAA_duser" hidden="1">"OFF"</definedName>
    <definedName name="aaaa" localSheetId="8" hidden="1">{"Japan_Capers_Ed_Pub",#N/A,FALSE,"DI 2 YEAR MASTER SCHEDULE"}</definedName>
    <definedName name="aaaa" localSheetId="6" hidden="1">{"Japan_Capers_Ed_Pub",#N/A,FALSE,"DI 2 YEAR MASTER SCHEDULE"}</definedName>
    <definedName name="aaaa" hidden="1">{"Japan_Capers_Ed_Pub",#N/A,FALSE,"DI 2 YEAR MASTER SCHEDULE"}</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 localSheetId="8" hidden="1">{"FY98Q1 var",#N/A,FALSE,"FY98 - Q1";"FY98Q2 var",#N/A,FALSE,"FY98 - Q2";"FY98Q3 var",#N/A,FALSE,"FY98 - Q3";"FY98Q4 var",#N/A,FALSE,"FY98 - Q4"}</definedName>
    <definedName name="ab" localSheetId="6" hidden="1">{"FY98Q1 var",#N/A,FALSE,"FY98 - Q1";"FY98Q2 var",#N/A,FALSE,"FY98 - Q2";"FY98Q3 var",#N/A,FALSE,"FY98 - Q3";"FY98Q4 var",#N/A,FALSE,"FY98 - Q4"}</definedName>
    <definedName name="ab" hidden="1">{"FY98Q1 var",#N/A,FALSE,"FY98 - Q1";"FY98Q2 var",#N/A,FALSE,"FY98 - Q2";"FY98Q3 var",#N/A,FALSE,"FY98 - Q3";"FY98Q4 var",#N/A,FALSE,"FY98 - Q4"}</definedName>
    <definedName name="AccessDatabase" hidden="1">"C:\DATA\Kevin\Kevin's Model.mdb"</definedName>
    <definedName name="ACCOUNT_CHANGE" hidden="1">"ACCOUNT_CHANGE"</definedName>
    <definedName name="ACCOUNTS_PAY" hidden="1">"ACCOUNTS_PAY"</definedName>
    <definedName name="ACCRUED_EXP" hidden="1">"ACCRUED_EXP"</definedName>
    <definedName name="ACwvu.CapersView."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daos">1.2</definedName>
    <definedName name="ADD_PAID_IN" hidden="1">"ADD_PAID_IN"</definedName>
    <definedName name="AI_Version">#REF!</definedName>
    <definedName name="aim" localSheetId="8" hidden="1">{#N/A,#N/A,FALSE,"Cover";#N/A,#N/A,FALSE,"Contents-Pg1";#N/A,#N/A,FALSE,"High-Com-pg2";#N/A,#N/A,FALSE,"1 Full";#N/A,#N/A,FALSE,"1chts";#N/A,#N/A,FALSE,"Table 2";#N/A,#N/A,FALSE,"3New Iss";#N/A,#N/A,FALSE,"4Money raised";#N/A,#N/A,FALSE,"5Aim";#N/A,#N/A,FALSE,"AiM charts";#N/A,#N/A,FALSE,"6FT Smll";#N/A,#N/A,FALSE,"11SEATS";#N/A,#N/A,FALSE,"12Notes"}</definedName>
    <definedName name="aim" localSheetId="6"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imband" localSheetId="8" hidden="1">{#N/A,#N/A,FALSE,"Cover";#N/A,#N/A,FALSE,"Contents-Pg1";#N/A,#N/A,FALSE,"High-Com-pg2";#N/A,#N/A,FALSE,"1 Full";#N/A,#N/A,FALSE,"1chts";#N/A,#N/A,FALSE,"Table 2";#N/A,#N/A,FALSE,"3New Iss";#N/A,#N/A,FALSE,"4Money raised";#N/A,#N/A,FALSE,"5Aim";#N/A,#N/A,FALSE,"AiM charts";#N/A,#N/A,FALSE,"6FT Smll";#N/A,#N/A,FALSE,"11SEATS";#N/A,#N/A,FALSE,"12Notes"}</definedName>
    <definedName name="aimband" localSheetId="6" hidden="1">{#N/A,#N/A,FALSE,"Cover";#N/A,#N/A,FALSE,"Contents-Pg1";#N/A,#N/A,FALSE,"High-Com-pg2";#N/A,#N/A,FALSE,"1 Full";#N/A,#N/A,FALSE,"1chts";#N/A,#N/A,FALSE,"Table 2";#N/A,#N/A,FALSE,"3New Iss";#N/A,#N/A,FALSE,"4Money raised";#N/A,#N/A,FALSE,"5Aim";#N/A,#N/A,FALSE,"AiM charts";#N/A,#N/A,FALSE,"6FT Smll";#N/A,#N/A,FALSE,"11SEATS";#N/A,#N/A,FALSE,"12Notes"}</definedName>
    <definedName name="aimband" hidden="1">{#N/A,#N/A,FALSE,"Cover";#N/A,#N/A,FALSE,"Contents-Pg1";#N/A,#N/A,FALSE,"High-Com-pg2";#N/A,#N/A,FALSE,"1 Full";#N/A,#N/A,FALSE,"1chts";#N/A,#N/A,FALSE,"Table 2";#N/A,#N/A,FALSE,"3New Iss";#N/A,#N/A,FALSE,"4Money raised";#N/A,#N/A,FALSE,"5Aim";#N/A,#N/A,FALSE,"AiM charts";#N/A,#N/A,FALSE,"6FT Smll";#N/A,#N/A,FALSE,"11SEATS";#N/A,#N/A,FALSE,"12Notes"}</definedName>
    <definedName name="ANIMATION_MUST_START">#REF!</definedName>
    <definedName name="ANN_PAY_Capital">#REF!</definedName>
    <definedName name="ANN_PAY_FirstCell">#REF!</definedName>
    <definedName name="ANN_PAY_N">#REF!</definedName>
    <definedName name="ANN_PAY_Percent">#REF!</definedName>
    <definedName name="anscount" hidden="1">1</definedName>
    <definedName name="arancio" localSheetId="8" hidden="1">{"FY98Q1 var",#N/A,FALSE,"FY98 - Q1";"FY98Q2 var",#N/A,FALSE,"FY98 - Q2";"FY98Q3 var",#N/A,FALSE,"FY98 - Q3";"FY98Q4 var",#N/A,FALSE,"FY98 - Q4"}</definedName>
    <definedName name="arancio" localSheetId="6" hidden="1">{"FY98Q1 var",#N/A,FALSE,"FY98 - Q1";"FY98Q2 var",#N/A,FALSE,"FY98 - Q2";"FY98Q3 var",#N/A,FALSE,"FY98 - Q3";"FY98Q4 var",#N/A,FALSE,"FY98 - Q4"}</definedName>
    <definedName name="arancio" hidden="1">{"FY98Q1 var",#N/A,FALSE,"FY98 - Q1";"FY98Q2 var",#N/A,FALSE,"FY98 - Q2";"FY98Q3 var",#N/A,FALSE,"FY98 - Q3";"FY98Q4 var",#N/A,FALSE,"FY98 - Q4"}</definedName>
    <definedName name="argrg" localSheetId="8" hidden="1">#REF!,#REF!,#REF!,#REF!,#REF!,#REF!,#REF!,#REF!,#REF!,#REF!,#REF!,#REF!,#REF!,#REF!,#REF!</definedName>
    <definedName name="argrg" localSheetId="6" hidden="1">#REF!,#REF!,#REF!,#REF!,#REF!,#REF!,#REF!,#REF!,#REF!,#REF!,#REF!,#REF!,#REF!,#REF!,#REF!</definedName>
    <definedName name="argrg" hidden="1">#REF!,#REF!,#REF!,#REF!,#REF!,#REF!,#REF!,#REF!,#REF!,#REF!,#REF!,#REF!,#REF!,#REF!,#REF!</definedName>
    <definedName name="AS2DocOpenMode" hidden="1">"AS2DocumentEdit"</definedName>
    <definedName name="asdfasdfasd" localSheetId="8" hidden="1">{"ReportTop",#N/A,FALSE,"report top"}</definedName>
    <definedName name="asdfasdfasd" localSheetId="6" hidden="1">{"ReportTop",#N/A,FALSE,"report top"}</definedName>
    <definedName name="asdfasdfasd" hidden="1">{"ReportTop",#N/A,FALSE,"report top"}</definedName>
    <definedName name="asdfasdre"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asdfasdre"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asdfasdre" hidden="1">{TRUE,TRUE,-1.25,-15.5,604.5,369,FALSE,FALSE,TRUE,TRUE,0,1,83,1,38,4,5,4,TRUE,TRUE,3,TRUE,1,TRUE,75,"Swvu.inputs._.raw._.data.","ACwvu.inputs._.raw._.data.",#N/A,FALSE,FALSE,0.5,0.5,0.5,0.5,2,"&amp;F","&amp;A&amp;RPage &amp;P",FALSE,FALSE,FALSE,FALSE,1,60,#N/A,#N/A,"=R1C61:R53C89","=C1:C5",#N/A,#N/A,FALSE,FALSE,FALSE,1,600,600,FALSE,FALSE,TRUE,TRUE,TRUE}</definedName>
    <definedName name="asdsa" localSheetId="8" hidden="1">{"FY97Tot nvs",#N/A,FALSE,"FY97 - Total";"FY98Tot nvs",#N/A,FALSE,"FY98 - Total"}</definedName>
    <definedName name="asdsa" localSheetId="6" hidden="1">{"FY97Tot nvs",#N/A,FALSE,"FY97 - Total";"FY98Tot nvs",#N/A,FALSE,"FY98 - Total"}</definedName>
    <definedName name="asdsa" hidden="1">{"FY97Tot nvs",#N/A,FALSE,"FY97 - Total";"FY98Tot nvs",#N/A,FALSE,"FY98 - Total"}</definedName>
    <definedName name="aser" localSheetId="8" hidden="1">{"FY97Tot nvs",#N/A,FALSE,"FY97 - Total";"FY98Tot nvs",#N/A,FALSE,"FY98 - Total"}</definedName>
    <definedName name="aser" localSheetId="6" hidden="1">{"FY97Tot nvs",#N/A,FALSE,"FY97 - Total";"FY98Tot nvs",#N/A,FALSE,"FY98 - Total"}</definedName>
    <definedName name="aser" hidden="1">{"FY97Tot nvs",#N/A,FALSE,"FY97 - Total";"FY98Tot nvs",#N/A,FALSE,"FY98 - Total"}</definedName>
    <definedName name="asfd" localSheetId="8" hidden="1">{"ALLOCATION1",#N/A,FALSE,"EXPENSE ALLOCATIONS";"ALLOCATION2",#N/A,FALSE,"EXPENSE ALLOCATIONS";"ALLOCATION3",#N/A,FALSE,"EXPENSE ALLOCATIONS";"ALLOCATION4",#N/A,FALSE,"EXPENSE ALLOCATIONS"}</definedName>
    <definedName name="asfd" localSheetId="6" hidden="1">{"ALLOCATION1",#N/A,FALSE,"EXPENSE ALLOCATIONS";"ALLOCATION2",#N/A,FALSE,"EXPENSE ALLOCATIONS";"ALLOCATION3",#N/A,FALSE,"EXPENSE ALLOCATIONS";"ALLOCATION4",#N/A,FALSE,"EXPENSE ALLOCATIONS"}</definedName>
    <definedName name="asfd" hidden="1">{"ALLOCATION1",#N/A,FALSE,"EXPENSE ALLOCATIONS";"ALLOCATION2",#N/A,FALSE,"EXPENSE ALLOCATIONS";"ALLOCATION3",#N/A,FALSE,"EXPENSE ALLOCATIONS";"ALLOCATION4",#N/A,FALSE,"EXPENSE ALLOCATIONS"}</definedName>
    <definedName name="ASSET_TURNS" hidden="1">"ASSET_TURNS"</definedName>
    <definedName name="AUto1" localSheetId="8" hidden="1">{#N/A,#N/A,FALSE,"Sheet1"}</definedName>
    <definedName name="AUto1" localSheetId="6" hidden="1">{#N/A,#N/A,FALSE,"Sheet1"}</definedName>
    <definedName name="AUto1" hidden="1">{#N/A,#N/A,FALSE,"Sheet1"}</definedName>
    <definedName name="az" localSheetId="8" hidden="1">{#VALUE!,#N/A,FALSE,0}</definedName>
    <definedName name="az" localSheetId="6" hidden="1">{#VALUE!,#N/A,FALSE,0}</definedName>
    <definedName name="az" hidden="1">{#VALUE!,#N/A,FALSE,0}</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bb" localSheetId="8" hidden="1">{#N/A,#N/A,FALSE,"Assessment";#N/A,#N/A,FALSE,"Staffing";#N/A,#N/A,FALSE,"Hires";#N/A,#N/A,FALSE,"Assumptions"}</definedName>
    <definedName name="bbb" localSheetId="6" hidden="1">{#N/A,#N/A,FALSE,"Assessment";#N/A,#N/A,FALSE,"Staffing";#N/A,#N/A,FALSE,"Hires";#N/A,#N/A,FALSE,"Assumptions"}</definedName>
    <definedName name="bbb" hidden="1">{#N/A,#N/A,FALSE,"Assessment";#N/A,#N/A,FALSE,"Staffing";#N/A,#N/A,FALSE,"Hires";#N/A,#N/A,FALSE,"Assumptions"}</definedName>
    <definedName name="bbbbb" localSheetId="8" hidden="1">{#N/A,#N/A,FALSE,"Assessment";#N/A,#N/A,FALSE,"Staffing";#N/A,#N/A,FALSE,"Hires";#N/A,#N/A,FALSE,"Assumptions"}</definedName>
    <definedName name="bbbbb" localSheetId="6" hidden="1">{#N/A,#N/A,FALSE,"Assessment";#N/A,#N/A,FALSE,"Staffing";#N/A,#N/A,FALSE,"Hires";#N/A,#N/A,FALSE,"Assumptions"}</definedName>
    <definedName name="bbbbb" hidden="1">{#N/A,#N/A,FALSE,"Assessment";#N/A,#N/A,FALSE,"Staffing";#N/A,#N/A,FALSE,"Hires";#N/A,#N/A,FALSE,"Assumptions"}</definedName>
    <definedName name="Bear" localSheetId="8" hidden="1">{#N/A,#N/A,FALSE,"TS";#N/A,#N/A,FALSE,"Combo";#N/A,#N/A,FALSE,"FAIR";#N/A,#N/A,FALSE,"RBC";#N/A,#N/A,FALSE,"xxxx";#N/A,#N/A,FALSE,"A_D";#N/A,#N/A,FALSE,"WACC";#N/A,#N/A,FALSE,"DCF";#N/A,#N/A,FALSE,"LBO";#N/A,#N/A,FALSE,"AcqMults";#N/A,#N/A,FALSE,"CompMults"}</definedName>
    <definedName name="Bear" localSheetId="6" hidden="1">{#N/A,#N/A,FALSE,"TS";#N/A,#N/A,FALSE,"Combo";#N/A,#N/A,FALSE,"FAIR";#N/A,#N/A,FALSE,"RBC";#N/A,#N/A,FALSE,"xxxx";#N/A,#N/A,FALSE,"A_D";#N/A,#N/A,FALSE,"WACC";#N/A,#N/A,FALSE,"DCF";#N/A,#N/A,FALSE,"LBO";#N/A,#N/A,FALSE,"AcqMults";#N/A,#N/A,FALSE,"CompMults"}</definedName>
    <definedName name="Bear" hidden="1">{#N/A,#N/A,FALSE,"TS";#N/A,#N/A,FALSE,"Combo";#N/A,#N/A,FALSE,"FAIR";#N/A,#N/A,FALSE,"RBC";#N/A,#N/A,FALSE,"xxxx";#N/A,#N/A,FALSE,"A_D";#N/A,#N/A,FALSE,"WACC";#N/A,#N/A,FALSE,"DCF";#N/A,#N/A,FALSE,"LBO";#N/A,#N/A,FALSE,"AcqMults";#N/A,#N/A,FALSE,"CompMults"}</definedName>
    <definedName name="bello" localSheetId="8" hidden="1">{"FY98Q1",#N/A,FALSE,"FY98 - Q1";"FY98Q2",#N/A,FALSE,"FY98 - Q2";"FY98Q3",#N/A,FALSE,"FY98 - Q3";"FY98Q4",#N/A,FALSE,"FY98 - Q4"}</definedName>
    <definedName name="bello" localSheetId="6" hidden="1">{"FY98Q1",#N/A,FALSE,"FY98 - Q1";"FY98Q2",#N/A,FALSE,"FY98 - Q2";"FY98Q3",#N/A,FALSE,"FY98 - Q3";"FY98Q4",#N/A,FALSE,"FY98 - Q4"}</definedName>
    <definedName name="bello" hidden="1">{"FY98Q1",#N/A,FALSE,"FY98 - Q1";"FY98Q2",#N/A,FALSE,"FY98 - Q2";"FY98Q3",#N/A,FALSE,"FY98 - Q3";"FY98Q4",#N/A,FALSE,"FY98 - Q4"}</definedName>
    <definedName name="BEP_AVC">#REF!</definedName>
    <definedName name="BEP_FC">#REF!</definedName>
    <definedName name="BEP_FirstCell">#REF!</definedName>
    <definedName name="BEP_MR">#REF!</definedName>
    <definedName name="BEP_Msg">#REF!</definedName>
    <definedName name="BEP_Q0">#REF!</definedName>
    <definedName name="BEP_Qmax">#REF!</definedName>
    <definedName name="BEP_Qmin">#REF!</definedName>
    <definedName name="BEP_R0">#REF!</definedName>
    <definedName name="BEP_Step">#REF!</definedName>
    <definedName name="BEP1_AVC">#REF!</definedName>
    <definedName name="BEP1_FC">#REF!</definedName>
    <definedName name="BEP1_FirstCell">#REF!</definedName>
    <definedName name="BEP1_MR">#REF!</definedName>
    <definedName name="BEP1_Msg">#REF!</definedName>
    <definedName name="BEP1_Q0">#REF!</definedName>
    <definedName name="BEP1_Qmax">#REF!</definedName>
    <definedName name="BEP1_Qmin">#REF!</definedName>
    <definedName name="BEP1_R0">#REF!</definedName>
    <definedName name="BEP1_Step">#REF!</definedName>
    <definedName name="bgn" localSheetId="8" hidden="1">{#N/A,#N/A,FALSE,"Cover";#N/A,#N/A,FALSE,"Contents-Pg1";#N/A,#N/A,FALSE,"High-Com-pg2";#N/A,#N/A,FALSE,"1 Full";#N/A,#N/A,FALSE,"1chts";#N/A,#N/A,FALSE,"Table 2";#N/A,#N/A,FALSE,"3New Iss";#N/A,#N/A,FALSE,"4Money raised";#N/A,#N/A,FALSE,"5Aim";#N/A,#N/A,FALSE,"AiM charts";#N/A,#N/A,FALSE,"6FT Smll";#N/A,#N/A,FALSE,"11SEATS";#N/A,#N/A,FALSE,"12Notes"}</definedName>
    <definedName name="bgn" localSheetId="6" hidden="1">{#N/A,#N/A,FALSE,"Cover";#N/A,#N/A,FALSE,"Contents-Pg1";#N/A,#N/A,FALSE,"High-Com-pg2";#N/A,#N/A,FALSE,"1 Full";#N/A,#N/A,FALSE,"1chts";#N/A,#N/A,FALSE,"Table 2";#N/A,#N/A,FALSE,"3New Iss";#N/A,#N/A,FALSE,"4Money raised";#N/A,#N/A,FALSE,"5Aim";#N/A,#N/A,FALSE,"AiM charts";#N/A,#N/A,FALSE,"6FT Smll";#N/A,#N/A,FALSE,"11SEATS";#N/A,#N/A,FALSE,"12Notes"}</definedName>
    <definedName name="bgn" hidden="1">{#N/A,#N/A,FALSE,"Cover";#N/A,#N/A,FALSE,"Contents-Pg1";#N/A,#N/A,FALSE,"High-Com-pg2";#N/A,#N/A,FALSE,"1 Full";#N/A,#N/A,FALSE,"1chts";#N/A,#N/A,FALSE,"Table 2";#N/A,#N/A,FALSE,"3New Iss";#N/A,#N/A,FALSE,"4Money raised";#N/A,#N/A,FALSE,"5Aim";#N/A,#N/A,FALSE,"AiM charts";#N/A,#N/A,FALSE,"6FT Smll";#N/A,#N/A,FALSE,"11SEATS";#N/A,#N/A,FALSE,"12Notes"}</definedName>
    <definedName name="bgns" localSheetId="8" hidden="1">{#N/A,#N/A,FALSE,"Cover";#N/A,#N/A,FALSE,"Contents-Pg1";#N/A,#N/A,FALSE,"High-Com-pg2";#N/A,#N/A,FALSE,"1 Full";#N/A,#N/A,FALSE,"1chts";#N/A,#N/A,FALSE,"Table 2";#N/A,#N/A,FALSE,"3New Iss";#N/A,#N/A,FALSE,"4Money raised";#N/A,#N/A,FALSE,"5Aim";#N/A,#N/A,FALSE,"AiM charts";#N/A,#N/A,FALSE,"6FT Smll";#N/A,#N/A,FALSE,"11SEATS";#N/A,#N/A,FALSE,"12Notes"}</definedName>
    <definedName name="bgns" localSheetId="6" hidden="1">{#N/A,#N/A,FALSE,"Cover";#N/A,#N/A,FALSE,"Contents-Pg1";#N/A,#N/A,FALSE,"High-Com-pg2";#N/A,#N/A,FALSE,"1 Full";#N/A,#N/A,FALSE,"1chts";#N/A,#N/A,FALSE,"Table 2";#N/A,#N/A,FALSE,"3New Iss";#N/A,#N/A,FALSE,"4Money raised";#N/A,#N/A,FALSE,"5Aim";#N/A,#N/A,FALSE,"AiM charts";#N/A,#N/A,FALSE,"6FT Smll";#N/A,#N/A,FALSE,"11SEATS";#N/A,#N/A,FALSE,"12Notes"}</definedName>
    <definedName name="bgns" hidden="1">{#N/A,#N/A,FALSE,"Cover";#N/A,#N/A,FALSE,"Contents-Pg1";#N/A,#N/A,FALSE,"High-Com-pg2";#N/A,#N/A,FALSE,"1 Full";#N/A,#N/A,FALSE,"1chts";#N/A,#N/A,FALSE,"Table 2";#N/A,#N/A,FALSE,"3New Iss";#N/A,#N/A,FALSE,"4Money raised";#N/A,#N/A,FALSE,"5Aim";#N/A,#N/A,FALSE,"AiM charts";#N/A,#N/A,FALSE,"6FT Smll";#N/A,#N/A,FALSE,"11SEATS";#N/A,#N/A,FALSE,"12Notes"}</definedName>
    <definedName name="bgns2" localSheetId="8" hidden="1">{#N/A,#N/A,FALSE,"Cover";#N/A,#N/A,FALSE,"Contents-Pg1";#N/A,#N/A,FALSE,"High-Com-pg2";#N/A,#N/A,FALSE,"1 Full";#N/A,#N/A,FALSE,"1chts";#N/A,#N/A,FALSE,"Table 2";#N/A,#N/A,FALSE,"3New Iss";#N/A,#N/A,FALSE,"4Money raised";#N/A,#N/A,FALSE,"5Aim";#N/A,#N/A,FALSE,"AiM charts";#N/A,#N/A,FALSE,"6FT Smll";#N/A,#N/A,FALSE,"11SEATS";#N/A,#N/A,FALSE,"12Notes"}</definedName>
    <definedName name="bgns2" localSheetId="6" hidden="1">{#N/A,#N/A,FALSE,"Cover";#N/A,#N/A,FALSE,"Contents-Pg1";#N/A,#N/A,FALSE,"High-Com-pg2";#N/A,#N/A,FALSE,"1 Full";#N/A,#N/A,FALSE,"1chts";#N/A,#N/A,FALSE,"Table 2";#N/A,#N/A,FALSE,"3New Iss";#N/A,#N/A,FALSE,"4Money raised";#N/A,#N/A,FALSE,"5Aim";#N/A,#N/A,FALSE,"AiM charts";#N/A,#N/A,FALSE,"6FT Smll";#N/A,#N/A,FALSE,"11SEATS";#N/A,#N/A,FALSE,"12Notes"}</definedName>
    <definedName name="bgns2" hidden="1">{#N/A,#N/A,FALSE,"Cover";#N/A,#N/A,FALSE,"Contents-Pg1";#N/A,#N/A,FALSE,"High-Com-pg2";#N/A,#N/A,FALSE,"1 Full";#N/A,#N/A,FALSE,"1chts";#N/A,#N/A,FALSE,"Table 2";#N/A,#N/A,FALSE,"3New Iss";#N/A,#N/A,FALSE,"4Money raised";#N/A,#N/A,FALSE,"5Aim";#N/A,#N/A,FALSE,"AiM charts";#N/A,#N/A,FALSE,"6FT Smll";#N/A,#N/A,FALSE,"11SEATS";#N/A,#N/A,FALSE,"12Notes"}</definedName>
    <definedName name="bgns6" localSheetId="8" hidden="1">{#N/A,#N/A,FALSE,"Cover";#N/A,#N/A,FALSE,"Contents-Pg1";#N/A,#N/A,FALSE,"High-Com-pg2";#N/A,#N/A,FALSE,"1 Full";#N/A,#N/A,FALSE,"1chts";#N/A,#N/A,FALSE,"Table 2";#N/A,#N/A,FALSE,"3New Iss";#N/A,#N/A,FALSE,"4Money raised";#N/A,#N/A,FALSE,"5Aim";#N/A,#N/A,FALSE,"AiM charts";#N/A,#N/A,FALSE,"6FT Smll";#N/A,#N/A,FALSE,"11SEATS";#N/A,#N/A,FALSE,"12Notes"}</definedName>
    <definedName name="bgns6" localSheetId="6" hidden="1">{#N/A,#N/A,FALSE,"Cover";#N/A,#N/A,FALSE,"Contents-Pg1";#N/A,#N/A,FALSE,"High-Com-pg2";#N/A,#N/A,FALSE,"1 Full";#N/A,#N/A,FALSE,"1chts";#N/A,#N/A,FALSE,"Table 2";#N/A,#N/A,FALSE,"3New Iss";#N/A,#N/A,FALSE,"4Money raised";#N/A,#N/A,FALSE,"5Aim";#N/A,#N/A,FALSE,"AiM charts";#N/A,#N/A,FALSE,"6FT Smll";#N/A,#N/A,FALSE,"11SEATS";#N/A,#N/A,FALSE,"12Notes"}</definedName>
    <definedName name="bgns6" hidden="1">{#N/A,#N/A,FALSE,"Cover";#N/A,#N/A,FALSE,"Contents-Pg1";#N/A,#N/A,FALSE,"High-Com-pg2";#N/A,#N/A,FALSE,"1 Full";#N/A,#N/A,FALSE,"1chts";#N/A,#N/A,FALSE,"Table 2";#N/A,#N/A,FALSE,"3New Iss";#N/A,#N/A,FALSE,"4Money raised";#N/A,#N/A,FALSE,"5Aim";#N/A,#N/A,FALSE,"AiM charts";#N/A,#N/A,FALSE,"6FT Smll";#N/A,#N/A,FALSE,"11SEATS";#N/A,#N/A,FALSE,"12Notes"}</definedName>
    <definedName name="bla" localSheetId="8" hidden="1">{#N/A,#N/A,TRUE,"Main assumptions";#N/A,#N/A,TRUE,"Subscriber projections";#N/A,#N/A,TRUE,"Revenues";#N/A,#N/A,TRUE,"Opex";#N/A,#N/A,TRUE,"Capex";#N/A,#N/A,TRUE,"Working capital";#N/A,#N/A,TRUE,"P&amp;L";#N/A,#N/A,TRUE,"Cash";#N/A,#N/A,TRUE,"Balance";#N/A,#N/A,TRUE,"Valuation";#N/A,#N/A,TRUE,"Bench"}</definedName>
    <definedName name="bla" localSheetId="6" hidden="1">{#N/A,#N/A,TRUE,"Main assumptions";#N/A,#N/A,TRUE,"Subscriber projections";#N/A,#N/A,TRUE,"Revenues";#N/A,#N/A,TRUE,"Opex";#N/A,#N/A,TRUE,"Capex";#N/A,#N/A,TRUE,"Working capital";#N/A,#N/A,TRUE,"P&amp;L";#N/A,#N/A,TRUE,"Cash";#N/A,#N/A,TRUE,"Balance";#N/A,#N/A,TRUE,"Valuation";#N/A,#N/A,TRUE,"Bench"}</definedName>
    <definedName name="bla" hidden="1">{#N/A,#N/A,TRUE,"Main assumptions";#N/A,#N/A,TRUE,"Subscriber projections";#N/A,#N/A,TRUE,"Revenues";#N/A,#N/A,TRUE,"Opex";#N/A,#N/A,TRUE,"Capex";#N/A,#N/A,TRUE,"Working capital";#N/A,#N/A,TRUE,"P&amp;L";#N/A,#N/A,TRUE,"Cash";#N/A,#N/A,TRUE,"Balance";#N/A,#N/A,TRUE,"Valuation";#N/A,#N/A,TRUE,"Bench"}</definedName>
    <definedName name="bla_2" localSheetId="8" hidden="1">{#N/A,#N/A,TRUE,"Main assumptions";#N/A,#N/A,TRUE,"Subscriber projections";#N/A,#N/A,TRUE,"Revenues";#N/A,#N/A,TRUE,"Opex";#N/A,#N/A,TRUE,"Capex";#N/A,#N/A,TRUE,"Working capital";#N/A,#N/A,TRUE,"P&amp;L";#N/A,#N/A,TRUE,"Cash";#N/A,#N/A,TRUE,"Balance";#N/A,#N/A,TRUE,"Valuation";#N/A,#N/A,TRUE,"Bench"}</definedName>
    <definedName name="bla_2" localSheetId="6" hidden="1">{#N/A,#N/A,TRUE,"Main assumptions";#N/A,#N/A,TRUE,"Subscriber projections";#N/A,#N/A,TRUE,"Revenues";#N/A,#N/A,TRUE,"Opex";#N/A,#N/A,TRUE,"Capex";#N/A,#N/A,TRUE,"Working capital";#N/A,#N/A,TRUE,"P&amp;L";#N/A,#N/A,TRUE,"Cash";#N/A,#N/A,TRUE,"Balance";#N/A,#N/A,TRUE,"Valuation";#N/A,#N/A,TRUE,"Bench"}</definedName>
    <definedName name="bla_2" hidden="1">{#N/A,#N/A,TRUE,"Main assumptions";#N/A,#N/A,TRUE,"Subscriber projections";#N/A,#N/A,TRUE,"Revenues";#N/A,#N/A,TRUE,"Opex";#N/A,#N/A,TRUE,"Capex";#N/A,#N/A,TRUE,"Working capital";#N/A,#N/A,TRUE,"P&amp;L";#N/A,#N/A,TRUE,"Cash";#N/A,#N/A,TRUE,"Balance";#N/A,#N/A,TRUE,"Valuation";#N/A,#N/A,TRUE,"Bench"}</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8" hidden="1">#REF!</definedName>
    <definedName name="BLPH82" hidden="1">#REF!</definedName>
    <definedName name="BLPH83" hidden="1">#REF!</definedName>
    <definedName name="BLPH9" hidden="1">#REF!</definedName>
    <definedName name="bndwfb" localSheetId="8" hidden="1">{"FY97Total var",#N/A,FALSE,"FY97 - Total";"FY98Total var",#N/A,FALSE,"FY98 - Total"}</definedName>
    <definedName name="bndwfb" localSheetId="6" hidden="1">{"FY97Total var",#N/A,FALSE,"FY97 - Total";"FY98Total var",#N/A,FALSE,"FY98 - Total"}</definedName>
    <definedName name="bndwfb" hidden="1">{"FY97Total var",#N/A,FALSE,"FY97 - Total";"FY98Total var",#N/A,FALSE,"FY98 - Total"}</definedName>
    <definedName name="BOOK_VALUE" hidden="1">"BOOK_VALUE"</definedName>
    <definedName name="BRIK_BRIK_PRICE">#REF!</definedName>
    <definedName name="BRIK_CEMENT_1M">#REF!</definedName>
    <definedName name="BRIK_CEMENT_PRICE">#REF!</definedName>
    <definedName name="BRIK_H">#REF!</definedName>
    <definedName name="BRIK_L">#REF!</definedName>
    <definedName name="BRIK_PESOK_1M">#REF!</definedName>
    <definedName name="BRIK_PESOK_PRICE">#REF!</definedName>
    <definedName name="BRIK_PROEM_S">#REF!</definedName>
    <definedName name="BRIK_RESULTS">#REF!</definedName>
    <definedName name="BRIK_SHOV_H">#REF!</definedName>
    <definedName name="BRIK_W">#REF!</definedName>
    <definedName name="BRIK_WALL_H_M">#REF!</definedName>
    <definedName name="BRIK_WALL_H_N">#REF!</definedName>
    <definedName name="BRIK_WALL_L_M">#REF!</definedName>
    <definedName name="BRIK_WALL_L_N">#REF!</definedName>
    <definedName name="BRIK_WALL_W_M">#REF!</definedName>
    <definedName name="BRIK_WALL_W_N">#REF!</definedName>
    <definedName name="BRIK_WORK_PRICE">#REF!</definedName>
    <definedName name="but" localSheetId="8" hidden="1">{"page1",#N/A,FALSE,"GIRLBO";"page2",#N/A,FALSE,"GIRLBO";"page3",#N/A,FALSE,"GIRLBO";"page4",#N/A,FALSE,"GIRLBO";"page5",#N/A,FALSE,"GIRLBO"}</definedName>
    <definedName name="but" localSheetId="6" hidden="1">{"page1",#N/A,FALSE,"GIRLBO";"page2",#N/A,FALSE,"GIRLBO";"page3",#N/A,FALSE,"GIRLBO";"page4",#N/A,FALSE,"GIRLBO";"page5",#N/A,FALSE,"GIRLBO"}</definedName>
    <definedName name="but" hidden="1">{"page1",#N/A,FALSE,"GIRLBO";"page2",#N/A,FALSE,"GIRLBO";"page3",#N/A,FALSE,"GIRLBO";"page4",#N/A,FALSE,"GIRLBO";"page5",#N/A,FALSE,"GIRLBO"}</definedName>
    <definedName name="Button_15">"MAUI_MALL_MAUI_MALLARD_INPUT_List"</definedName>
    <definedName name="Button_16">"MAUI_MALL_MAUI_MALLARD_INPUT_List"</definedName>
    <definedName name="BV_OVER_SHARES" hidden="1">"BV_OVER_SHARES"</definedName>
    <definedName name="CalcMethod">#REF!</definedName>
    <definedName name="caos" localSheetId="8" hidden="1">{"FY97Total",#N/A,FALSE,"FY97 - Total";"FY98Total",#N/A,FALSE,"FY98 - Total"}</definedName>
    <definedName name="caos" localSheetId="6" hidden="1">{"FY97Total",#N/A,FALSE,"FY97 - Total";"FY98Total",#N/A,FALSE,"FY98 - Total"}</definedName>
    <definedName name="caos" hidden="1">{"FY97Total",#N/A,FALSE,"FY97 - Total";"FY98Total",#N/A,FALSE,"FY98 - Total"}</definedName>
    <definedName name="CAPACITY_ANIMATION_FRAMES_PER_WEEK">#REF!</definedName>
    <definedName name="CAPACITY_INK___PAINT_FRAMES_PER_WEEK">#REF!</definedName>
    <definedName name="CAPACITY_PREP_FRAMES_PER_WEEK">#REF!</definedName>
    <definedName name="CAPITAL_EXPEN" hidden="1">"CAPITAL_EXPEN"</definedName>
    <definedName name="CAPITAL_LEASE" hidden="1">"CAPITAL_LEASE"</definedName>
    <definedName name="carla" localSheetId="8" hidden="1">{"FY98Q1",#N/A,FALSE,"FY98 - Q1";"FY98Q2",#N/A,FALSE,"FY98 - Q2";"FY98Q3",#N/A,FALSE,"FY98 - Q3";"FY98Q4",#N/A,FALSE,"FY98 - Q4"}</definedName>
    <definedName name="carla" localSheetId="6" hidden="1">{"FY98Q1",#N/A,FALSE,"FY98 - Q1";"FY98Q2",#N/A,FALSE,"FY98 - Q2";"FY98Q3",#N/A,FALSE,"FY98 - Q3";"FY98Q4",#N/A,FALSE,"FY98 - Q4"}</definedName>
    <definedName name="carla" hidden="1">{"FY98Q1",#N/A,FALSE,"FY98 - Q1";"FY98Q2",#N/A,FALSE,"FY98 - Q2";"FY98Q3",#N/A,FALSE,"FY98 - Q3";"FY98Q4",#N/A,FALSE,"FY98 - Q4"}</definedName>
    <definedName name="CASH_DUE_BANKS" hidden="1">"CASH_DUE_BANKS"</definedName>
    <definedName name="CASH_EQUIV" hidden="1">"CASH_EQUIV"</definedName>
    <definedName name="CASH_INTEREST" hidden="1">"CASH_INTEREST"</definedName>
    <definedName name="CASH_ST" hidden="1">"CASH_ST"</definedName>
    <definedName name="CASH_TAXES" hidden="1">"CASH_TAXES"</definedName>
    <definedName name="casta" localSheetId="8" hidden="1">{"FY97Total var",#N/A,FALSE,"FY97 - Total";"FY98Total var",#N/A,FALSE,"FY98 - Total"}</definedName>
    <definedName name="casta" localSheetId="6" hidden="1">{"FY97Total var",#N/A,FALSE,"FY97 - Total";"FY98Total var",#N/A,FALSE,"FY98 - Total"}</definedName>
    <definedName name="casta" hidden="1">{"FY97Total var",#N/A,FALSE,"FY97 - Total";"FY98Total var",#N/A,FALSE,"FY98 - Total"}</definedName>
    <definedName name="CBWorkbookPriority" hidden="1">-1264563189</definedName>
    <definedName name="cccc" localSheetId="8" hidden="1">{#N/A,#N/A,FALSE,"Assessment";#N/A,#N/A,FALSE,"Staffing";#N/A,#N/A,FALSE,"Hires";#N/A,#N/A,FALSE,"Assumptions"}</definedName>
    <definedName name="cccc" localSheetId="6" hidden="1">{#N/A,#N/A,FALSE,"Assessment";#N/A,#N/A,FALSE,"Staffing";#N/A,#N/A,FALSE,"Hires";#N/A,#N/A,FALSE,"Assumptions"}</definedName>
    <definedName name="cccc" hidden="1">{#N/A,#N/A,FALSE,"Assessment";#N/A,#N/A,FALSE,"Staffing";#N/A,#N/A,FALSE,"Hires";#N/A,#N/A,FALSE,"Assumptions"}</definedName>
    <definedName name="cds" localSheetId="8" hidden="1">{"FY97Tot nvs",#N/A,FALSE,"FY97 - Total";"FY98Tot nvs",#N/A,FALSE,"FY98 - Total"}</definedName>
    <definedName name="cds" localSheetId="6" hidden="1">{"FY97Tot nvs",#N/A,FALSE,"FY97 - Total";"FY98Tot nvs",#N/A,FALSE,"FY98 - Total"}</definedName>
    <definedName name="cds" hidden="1">{"FY97Tot nvs",#N/A,FALSE,"FY97 - Total";"FY98Tot nvs",#N/A,FALSE,"FY98 - Total"}</definedName>
    <definedName name="certo" localSheetId="8" hidden="1">{"FY97Q1",#N/A,FALSE,"FY97 - Q1";"FY97Q2",#N/A,FALSE,"FY97 - Q2";"FY97Q3",#N/A,FALSE,"FY97 - Q3";"FY97Q4",#N/A,FALSE,"FY97 - Q4"}</definedName>
    <definedName name="certo" localSheetId="6" hidden="1">{"FY97Q1",#N/A,FALSE,"FY97 - Q1";"FY97Q2",#N/A,FALSE,"FY97 - Q2";"FY97Q3",#N/A,FALSE,"FY97 - Q3";"FY97Q4",#N/A,FALSE,"FY97 - Q4"}</definedName>
    <definedName name="certo" hidden="1">{"FY97Q1",#N/A,FALSE,"FY97 - Q1";"FY97Q2",#N/A,FALSE,"FY97 - Q2";"FY97Q3",#N/A,FALSE,"FY97 - Q3";"FY97Q4",#N/A,FALSE,"FY97 - Q4"}</definedName>
    <definedName name="certro" localSheetId="8" hidden="1">{"FY98Q1",#N/A,FALSE,"FY98 - Q1";"FY98Q2",#N/A,FALSE,"FY98 - Q2";"FY98Q3",#N/A,FALSE,"FY98 - Q3";"FY98Q4",#N/A,FALSE,"FY98 - Q4"}</definedName>
    <definedName name="certro" localSheetId="6" hidden="1">{"FY98Q1",#N/A,FALSE,"FY98 - Q1";"FY98Q2",#N/A,FALSE,"FY98 - Q2";"FY98Q3",#N/A,FALSE,"FY98 - Q3";"FY98Q4",#N/A,FALSE,"FY98 - Q4"}</definedName>
    <definedName name="certro" hidden="1">{"FY98Q1",#N/A,FALSE,"FY98 - Q1";"FY98Q2",#N/A,FALSE,"FY98 - Q2";"FY98Q3",#N/A,FALSE,"FY98 - Q3";"FY98Q4",#N/A,FALSE,"FY98 - Q4"}</definedName>
    <definedName name="CHANGES_WORK_CAP" hidden="1">"CHANGES_WORK_CAP"</definedName>
    <definedName name="ciao" localSheetId="8" hidden="1">{"FY98Q1 var",#N/A,FALSE,"FY98 - Q1";"FY98Q2 var",#N/A,FALSE,"FY98 - Q2";"FY98Q3 var",#N/A,FALSE,"FY98 - Q3";"FY98Q4 var",#N/A,FALSE,"FY98 - Q4"}</definedName>
    <definedName name="ciao" localSheetId="6" hidden="1">{"FY98Q1 var",#N/A,FALSE,"FY98 - Q1";"FY98Q2 var",#N/A,FALSE,"FY98 - Q2";"FY98Q3 var",#N/A,FALSE,"FY98 - Q3";"FY98Q4 var",#N/A,FALSE,"FY98 - Q4"}</definedName>
    <definedName name="ciao" hidden="1">{"FY98Q1 var",#N/A,FALSE,"FY98 - Q1";"FY98Q2 var",#N/A,FALSE,"FY98 - Q2";"FY98Q3 var",#N/A,FALSE,"FY98 - Q3";"FY98Q4 var",#N/A,FALSE,"FY98 - Q4"}</definedName>
    <definedName name="cieco" localSheetId="8" hidden="1">{"Allocation Matrix p1",#N/A,FALSE,"Allocation Matrix";"Allocation Matrix p2",#N/A,FALSE,"Allocation Matrix";"Allocation Matrix p3",#N/A,FALSE,"Allocation Matrix"}</definedName>
    <definedName name="cieco" localSheetId="6" hidden="1">{"Allocation Matrix p1",#N/A,FALSE,"Allocation Matrix";"Allocation Matrix p2",#N/A,FALSE,"Allocation Matrix";"Allocation Matrix p3",#N/A,FALSE,"Allocation Matrix"}</definedName>
    <definedName name="cieco" hidden="1">{"Allocation Matrix p1",#N/A,FALSE,"Allocation Matrix";"Allocation Matrix p2",#N/A,FALSE,"Allocation Matrix";"Allocation Matrix p3",#N/A,FALSE,"Allocation Matrix"}</definedName>
    <definedName name="cifra" localSheetId="8" hidden="1">{"FY97Q1 var",#N/A,FALSE,"FY97 - Q1";"FY97Q2 var",#N/A,FALSE,"FY97 - Q2";"FY97Q3 var",#N/A,FALSE,"FY97 - Q3";"FY97Q4 var",#N/A,FALSE,"FY97 - Q4"}</definedName>
    <definedName name="cifra" localSheetId="6" hidden="1">{"FY97Q1 var",#N/A,FALSE,"FY97 - Q1";"FY97Q2 var",#N/A,FALSE,"FY97 - Q2";"FY97Q3 var",#N/A,FALSE,"FY97 - Q3";"FY97Q4 var",#N/A,FALSE,"FY97 - Q4"}</definedName>
    <definedName name="cifra" hidden="1">{"FY97Q1 var",#N/A,FALSE,"FY97 - Q1";"FY97Q2 var",#N/A,FALSE,"FY97 - Q2";"FY97Q3 var",#N/A,FALSE,"FY97 - Q3";"FY97Q4 var",#N/A,FALSE,"FY97 - Q4"}</definedName>
    <definedName name="COMMON_STOCK" hidden="1">"COMMON_STOCK"</definedName>
    <definedName name="COMPANY_ADDRESS" hidden="1">"COMPANY_ADDRESS"</definedName>
    <definedName name="COMPANY_NAME" hidden="1">"COMPANY_NAME"</definedName>
    <definedName name="COMPANY_PHONE" hidden="1">"COMPANY_PHONE"</definedName>
    <definedName name="COMPANY_STREET1" hidden="1">"COMPANY_STREET1"</definedName>
    <definedName name="COMPANY_STREET2" hidden="1">"COMPANY_STREET2"</definedName>
    <definedName name="COMPANY_TICKER" hidden="1">"COMPANY_TICKER"</definedName>
    <definedName name="COMPANY_WEBSITE" hidden="1">"COMPANY_WEBSITE"</definedName>
    <definedName name="COMPANY_ZIP" hidden="1">"COMPANY_ZIP"</definedName>
    <definedName name="COST_REVENUE" hidden="1">"COST_REVENUE"</definedName>
    <definedName name="coun" localSheetId="8" hidden="1">{#N/A,#N/A,FALSE,"Assessment";#N/A,#N/A,FALSE,"Staffing";#N/A,#N/A,FALSE,"Hires";#N/A,#N/A,FALSE,"Assumptions"}</definedName>
    <definedName name="coun" localSheetId="6" hidden="1">{#N/A,#N/A,FALSE,"Assessment";#N/A,#N/A,FALSE,"Staffing";#N/A,#N/A,FALSE,"Hires";#N/A,#N/A,FALSE,"Assumptions"}</definedName>
    <definedName name="coun" hidden="1">{#N/A,#N/A,FALSE,"Assessment";#N/A,#N/A,FALSE,"Staffing";#N/A,#N/A,FALSE,"Hires";#N/A,#N/A,FALSE,"Assumptions"}</definedName>
    <definedName name="COUNT2" localSheetId="8" hidden="1">{#N/A,#N/A,FALSE,"Assessment";#N/A,#N/A,FALSE,"Staffing";#N/A,#N/A,FALSE,"Hires";#N/A,#N/A,FALSE,"Assumptions"}</definedName>
    <definedName name="COUNT2" localSheetId="6" hidden="1">{#N/A,#N/A,FALSE,"Assessment";#N/A,#N/A,FALSE,"Staffing";#N/A,#N/A,FALSE,"Hires";#N/A,#N/A,FALSE,"Assumptions"}</definedName>
    <definedName name="COUNT2" hidden="1">{#N/A,#N/A,FALSE,"Assessment";#N/A,#N/A,FALSE,"Staffing";#N/A,#N/A,FALSE,"Hires";#N/A,#N/A,FALSE,"Assumptions"}</definedName>
    <definedName name="COUNTRY_NAME" hidden="1">"COUNTRY_NAME"</definedName>
    <definedName name="cuiao" localSheetId="8" hidden="1">{"Allocation Matrix p1",#N/A,FALSE,"Allocation Matrix";"Allocation Matrix p2",#N/A,FALSE,"Allocation Matrix";"Allocation Matrix p3",#N/A,FALSE,"Allocation Matrix"}</definedName>
    <definedName name="cuiao" localSheetId="6" hidden="1">{"Allocation Matrix p1",#N/A,FALSE,"Allocation Matrix";"Allocation Matrix p2",#N/A,FALSE,"Allocation Matrix";"Allocation Matrix p3",#N/A,FALSE,"Allocation Matrix"}</definedName>
    <definedName name="cuiao" hidden="1">{"Allocation Matrix p1",#N/A,FALSE,"Allocation Matrix";"Allocation Matrix p2",#N/A,FALSE,"Allocation Matrix";"Allocation Matrix p3",#N/A,FALSE,"Allocation Matrix"}</definedName>
    <definedName name="CURRENT_PORT" hidden="1">"CURRENT_PORT"</definedName>
    <definedName name="CURRENT_RATIO" hidden="1">"CURRENT_RATIO"</definedName>
    <definedName name="Cwvu.CapersView." hidden="1">#REF!</definedName>
    <definedName name="Cwvu.Japan_Capers_Ed_Pub." hidden="1">#REF!</definedName>
    <definedName name="Cwvu.KJP_CC." localSheetId="8" hidden="1">#REF!,#REF!,#REF!,#REF!,#REF!,#REF!,#REF!,#REF!,#REF!,#REF!,#REF!,#REF!,#REF!,#REF!,#REF!,#REF!,#REF!,#REF!,#REF!,#REF!</definedName>
    <definedName name="Cwvu.KJP_CC." hidden="1">#REF!,#REF!,#REF!,#REF!,#REF!,#REF!,#REF!,#REF!,#REF!,#REF!,#REF!,#REF!,#REF!,#REF!,#REF!,#REF!,#REF!,#REF!,#REF!,#REF!</definedName>
    <definedName name="d" localSheetId="8" hidden="1">{#N/A,#N/A,FALSE,"PRJCTED QTRLY QTY's"}</definedName>
    <definedName name="d" localSheetId="6" hidden="1">{#N/A,#N/A,FALSE,"PRJCTED QTRLY QTY's"}</definedName>
    <definedName name="d" hidden="1">{#N/A,#N/A,FALSE,"PRJCTED QTRLY QTY's"}</definedName>
    <definedName name="Dalmatians_Game">#REF!</definedName>
    <definedName name="DATE_RANGE">#REF!</definedName>
    <definedName name="DATELINE_COST">#REF!</definedName>
    <definedName name="DateRange">#REF!</definedName>
    <definedName name="DAYS_PAY_OUTST" hidden="1">"DAYS_PAY_OUTST"</definedName>
    <definedName name="DAYS_SALES_OUTST" hidden="1">"DAYS_SALES_OUTST"</definedName>
    <definedName name="DD" localSheetId="8" hidden="1">{"ALLOCATION1",#N/A,FALSE,"EXPENSE ALLOCATIONS";"ALLOCATION2",#N/A,FALSE,"EXPENSE ALLOCATIONS";"ALLOCATION3",#N/A,FALSE,"EXPENSE ALLOCATIONS";"ALLOCATION4",#N/A,FALSE,"EXPENSE ALLOCATIONS"}</definedName>
    <definedName name="DD" localSheetId="6" hidden="1">{"ALLOCATION1",#N/A,FALSE,"EXPENSE ALLOCATIONS";"ALLOCATION2",#N/A,FALSE,"EXPENSE ALLOCATIONS";"ALLOCATION3",#N/A,FALSE,"EXPENSE ALLOCATIONS";"ALLOCATION4",#N/A,FALSE,"EXPENSE ALLOCATIONS"}</definedName>
    <definedName name="DD" hidden="1">{"ALLOCATION1",#N/A,FALSE,"EXPENSE ALLOCATIONS";"ALLOCATION2",#N/A,FALSE,"EXPENSE ALLOCATIONS";"ALLOCATION3",#N/A,FALSE,"EXPENSE ALLOCATIONS";"ALLOCATION4",#N/A,FALSE,"EXPENSE ALLOCATIONS"}</definedName>
    <definedName name="DDD" localSheetId="8"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DDD" localSheetId="6"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DDD"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dddd" localSheetId="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ddd"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ddd"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ddf" localSheetId="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ddf" localSheetId="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ddf"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de" localSheetId="8" hidden="1">{#N/A,#N/A,FALSE,"Assessment";#N/A,#N/A,FALSE,"Staffing";#N/A,#N/A,FALSE,"Hires";#N/A,#N/A,FALSE,"Assumptions"}</definedName>
    <definedName name="de" localSheetId="6" hidden="1">{#N/A,#N/A,FALSE,"Assessment";#N/A,#N/A,FALSE,"Staffing";#N/A,#N/A,FALSE,"Hires";#N/A,#N/A,FALSE,"Assumptions"}</definedName>
    <definedName name="de" hidden="1">{#N/A,#N/A,FALSE,"Assessment";#N/A,#N/A,FALSE,"Staffing";#N/A,#N/A,FALSE,"Hires";#N/A,#N/A,FALSE,"Assumptions"}</definedName>
    <definedName name="def" localSheetId="8" hidden="1">{"510 Opex",#N/A,FALSE,"510";"520 Opex",#N/A,FALSE,"520";"UK Cons Opex",#N/A,FALSE,"Consulting-UK";"522 Opex",#N/A,FALSE,"522";"530 Opex",#N/A,FALSE,"530";"600 Opex",#N/A,FALSE,"600";"601 Opex",#N/A,FALSE,"601";"603 Opex",#N/A,FALSE,"603";"610 Opex",#N/A,FALSE,"610";"UK Sales Opex",#N/A,FALSE,"Sales-UK";"640 Opex",#N/A,FALSE,"640";"642 Opex",#N/A,FALSE,"642";"UK Mktg Opex",#N/A,FALSE,"Marketing - UK";"650 Opex",#N/A,FALSE,"650";"700 Opex",#N/A,FALSE,"700";"710 Opex",#N/A,FALSE,"710";"715 Opex",#N/A,FALSE,"715(DCS)";"720 Opex",#N/A,FALSE,"720(QA)";"800 Opex",#N/A,FALSE,"800";"810 Opex",#N/A,FALSE,"810";"820 Opex",#N/A,FALSE,"820";"830 Opex",#N/A,FALSE,"830";"850 Opex",#N/A,FALSE,"850";"851 Opex",#N/A,FALSE,"851";"Fringe Opex",#N/A,FALSE,"Fringe-825"}</definedName>
    <definedName name="def" localSheetId="6" hidden="1">{"510 Opex",#N/A,FALSE,"510";"520 Opex",#N/A,FALSE,"520";"UK Cons Opex",#N/A,FALSE,"Consulting-UK";"522 Opex",#N/A,FALSE,"522";"530 Opex",#N/A,FALSE,"530";"600 Opex",#N/A,FALSE,"600";"601 Opex",#N/A,FALSE,"601";"603 Opex",#N/A,FALSE,"603";"610 Opex",#N/A,FALSE,"610";"UK Sales Opex",#N/A,FALSE,"Sales-UK";"640 Opex",#N/A,FALSE,"640";"642 Opex",#N/A,FALSE,"642";"UK Mktg Opex",#N/A,FALSE,"Marketing - UK";"650 Opex",#N/A,FALSE,"650";"700 Opex",#N/A,FALSE,"700";"710 Opex",#N/A,FALSE,"710";"715 Opex",#N/A,FALSE,"715(DCS)";"720 Opex",#N/A,FALSE,"720(QA)";"800 Opex",#N/A,FALSE,"800";"810 Opex",#N/A,FALSE,"810";"820 Opex",#N/A,FALSE,"820";"830 Opex",#N/A,FALSE,"830";"850 Opex",#N/A,FALSE,"850";"851 Opex",#N/A,FALSE,"851";"Fringe Opex",#N/A,FALSE,"Fringe-825"}</definedName>
    <definedName name="def" hidden="1">{"510 Opex",#N/A,FALSE,"510";"520 Opex",#N/A,FALSE,"520";"UK Cons Opex",#N/A,FALSE,"Consulting-UK";"522 Opex",#N/A,FALSE,"522";"530 Opex",#N/A,FALSE,"530";"600 Opex",#N/A,FALSE,"600";"601 Opex",#N/A,FALSE,"601";"603 Opex",#N/A,FALSE,"603";"610 Opex",#N/A,FALSE,"610";"UK Sales Opex",#N/A,FALSE,"Sales-UK";"640 Opex",#N/A,FALSE,"640";"642 Opex",#N/A,FALSE,"642";"UK Mktg Opex",#N/A,FALSE,"Marketing - UK";"650 Opex",#N/A,FALSE,"650";"700 Opex",#N/A,FALSE,"700";"710 Opex",#N/A,FALSE,"710";"715 Opex",#N/A,FALSE,"715(DCS)";"720 Opex",#N/A,FALSE,"720(QA)";"800 Opex",#N/A,FALSE,"800";"810 Opex",#N/A,FALSE,"810";"820 Opex",#N/A,FALSE,"820";"830 Opex",#N/A,FALSE,"830";"850 Opex",#N/A,FALSE,"850";"851 Opex",#N/A,FALSE,"851";"Fringe Opex",#N/A,FALSE,"Fringe-825"}</definedName>
    <definedName name="DEFERRED_INC_TAX" hidden="1">"DEFERRED_INC_TAX"</definedName>
    <definedName name="DEFERRED_TAXES" hidden="1">"DEFERRED_TAXES"</definedName>
    <definedName name="deleteme" localSheetId="8" hidden="1">{"PA1",#N/A,FALSE,"BORDMW";"pa2",#N/A,FALSE,"BORDMW";"PA3",#N/A,FALSE,"BORDMW";"PA4",#N/A,FALSE,"BORDMW"}</definedName>
    <definedName name="deleteme" localSheetId="6" hidden="1">{"PA1",#N/A,FALSE,"BORDMW";"pa2",#N/A,FALSE,"BORDMW";"PA3",#N/A,FALSE,"BORDMW";"PA4",#N/A,FALSE,"BORDMW"}</definedName>
    <definedName name="deleteme" hidden="1">{"PA1",#N/A,FALSE,"BORDMW";"pa2",#N/A,FALSE,"BORDMW";"PA3",#N/A,FALSE,"BORDMW";"PA4",#N/A,FALSE,"BORDMW"}</definedName>
    <definedName name="deleteme2" localSheetId="8" hidden="1">{#N/A,#N/A,TRUE,"Main assumptions";#N/A,#N/A,TRUE,"Subscriber projections";#N/A,#N/A,TRUE,"Revenues";#N/A,#N/A,TRUE,"Opex";#N/A,#N/A,TRUE,"Capex";#N/A,#N/A,TRUE,"Working capital";#N/A,#N/A,TRUE,"P&amp;L";#N/A,#N/A,TRUE,"Cash";#N/A,#N/A,TRUE,"Balance";#N/A,#N/A,TRUE,"Valuation";#N/A,#N/A,TRUE,"Bench"}</definedName>
    <definedName name="deleteme2" localSheetId="6" hidden="1">{#N/A,#N/A,TRUE,"Main assumptions";#N/A,#N/A,TRUE,"Subscriber projections";#N/A,#N/A,TRUE,"Revenues";#N/A,#N/A,TRUE,"Opex";#N/A,#N/A,TRUE,"Capex";#N/A,#N/A,TRUE,"Working capital";#N/A,#N/A,TRUE,"P&amp;L";#N/A,#N/A,TRUE,"Cash";#N/A,#N/A,TRUE,"Balance";#N/A,#N/A,TRUE,"Valuation";#N/A,#N/A,TRUE,"Bench"}</definedName>
    <definedName name="deleteme2" hidden="1">{#N/A,#N/A,TRUE,"Main assumptions";#N/A,#N/A,TRUE,"Subscriber projections";#N/A,#N/A,TRUE,"Revenues";#N/A,#N/A,TRUE,"Opex";#N/A,#N/A,TRUE,"Capex";#N/A,#N/A,TRUE,"Working capital";#N/A,#N/A,TRUE,"P&amp;L";#N/A,#N/A,TRUE,"Cash";#N/A,#N/A,TRUE,"Balance";#N/A,#N/A,TRUE,"Valuation";#N/A,#N/A,TRUE,"Bench"}</definedName>
    <definedName name="DEPRE_AMORT" hidden="1">"DEPRE_AMORT"</definedName>
    <definedName name="DEPRE_AMORT_SUPPL" hidden="1">"DEPRE_AMORT_SUPPL"</definedName>
    <definedName name="DEPRE_DEPLE" hidden="1">"DEPRE_DEPLE"</definedName>
    <definedName name="DEPRE_SUPP" hidden="1">"DEPRE_SUPP"</definedName>
    <definedName name="derta" localSheetId="8" hidden="1">{"FY97Q1 nvs",#N/A,FALSE,"FY97 - Q1";"FY97Q2 nvs",#N/A,FALSE,"FY97 - Q2";"FY97Q3 nvs",#N/A,FALSE,"FY97 - Q3";"FY97Q4 nvs",#N/A,FALSE,"FY97 - Q4"}</definedName>
    <definedName name="derta" localSheetId="6" hidden="1">{"FY97Q1 nvs",#N/A,FALSE,"FY97 - Q1";"FY97Q2 nvs",#N/A,FALSE,"FY97 - Q2";"FY97Q3 nvs",#N/A,FALSE,"FY97 - Q3";"FY97Q4 nvs",#N/A,FALSE,"FY97 - Q4"}</definedName>
    <definedName name="derta" hidden="1">{"FY97Q1 nvs",#N/A,FALSE,"FY97 - Q1";"FY97Q2 nvs",#N/A,FALSE,"FY97 - Q2";"FY97Q3 nvs",#N/A,FALSE,"FY97 - Q3";"FY97Q4 nvs",#N/A,FALSE,"FY97 - Q4"}</definedName>
    <definedName name="DESCRIPTION_LONG" hidden="1">"DESCRIPTION_LONG"</definedName>
    <definedName name="desto" localSheetId="8" hidden="1">{"FY98Q1 nvs",#N/A,FALSE,"FY98 - Q1";"FY98Q2 nvs",#N/A,FALSE,"FY98 - Q2";"FY98Q3 nvs",#N/A,FALSE,"FY98 - Q3";"FY98Q4 nvs",#N/A,FALSE,"FY98 - Q4"}</definedName>
    <definedName name="desto" localSheetId="6" hidden="1">{"FY98Q1 nvs",#N/A,FALSE,"FY98 - Q1";"FY98Q2 nvs",#N/A,FALSE,"FY98 - Q2";"FY98Q3 nvs",#N/A,FALSE,"FY98 - Q3";"FY98Q4 nvs",#N/A,FALSE,"FY98 - Q4"}</definedName>
    <definedName name="desto" hidden="1">{"FY98Q1 nvs",#N/A,FALSE,"FY98 - Q1";"FY98Q2 nvs",#N/A,FALSE,"FY98 - Q2";"FY98Q3 nvs",#N/A,FALSE,"FY98 - Q3";"FY98Q4 nvs",#N/A,FALSE,"FY98 - Q4"}</definedName>
    <definedName name="detto" localSheetId="8" hidden="1">{"FY97Q1",#N/A,FALSE,"FY97 - Q1";"FY97Q2",#N/A,FALSE,"FY97 - Q2";"FY97Q3",#N/A,FALSE,"FY97 - Q3";"FY97Q4",#N/A,FALSE,"FY97 - Q4"}</definedName>
    <definedName name="detto" localSheetId="6" hidden="1">{"FY97Q1",#N/A,FALSE,"FY97 - Q1";"FY97Q2",#N/A,FALSE,"FY97 - Q2";"FY97Q3",#N/A,FALSE,"FY97 - Q3";"FY97Q4",#N/A,FALSE,"FY97 - Q4"}</definedName>
    <definedName name="detto" hidden="1">{"FY97Q1",#N/A,FALSE,"FY97 - Q1";"FY97Q2",#N/A,FALSE,"FY97 - Q2";"FY97Q3",#N/A,FALSE,"FY97 - Q3";"FY97Q4",#N/A,FALSE,"FY97 - Q4"}</definedName>
    <definedName name="df" localSheetId="8" hidden="1">{"FY97Q1 var",#N/A,FALSE,"FY97 - Q1";"FY97Q2 var",#N/A,FALSE,"FY97 - Q2";"FY97Q3 var",#N/A,FALSE,"FY97 - Q3";"FY97Q4 var",#N/A,FALSE,"FY97 - Q4"}</definedName>
    <definedName name="df" localSheetId="6" hidden="1">{"FY97Q1 var",#N/A,FALSE,"FY97 - Q1";"FY97Q2 var",#N/A,FALSE,"FY97 - Q2";"FY97Q3 var",#N/A,FALSE,"FY97 - Q3";"FY97Q4 var",#N/A,FALSE,"FY97 - Q4"}</definedName>
    <definedName name="df" hidden="1">{"FY97Q1 var",#N/A,FALSE,"FY97 - Q1";"FY97Q2 var",#N/A,FALSE,"FY97 - Q2";"FY97Q3 var",#N/A,FALSE,"FY97 - Q3";"FY97Q4 var",#N/A,FALSE,"FY97 - Q4"}</definedName>
    <definedName name="dfg" localSheetId="8" hidden="1">{"cred comp",#N/A,FALSE,"Comparable Credit Analysis";"IS",#N/A,FALSE,"IS";"Sensitivity",#N/A,FALSE,"Sensitivity";"BS",#N/A,FALSE,"BS";"Bond Summary",#N/A,FALSE,"B Summary";"AD",#N/A,FALSE,"Accretion";"NAV",#N/A,FALSE,"NAV";"SU",#N/A,FALSE,"S&amp;U";"acq. study",#N/A,FALSE,"Acq. Study";"F Charges",#N/A,FALSE,"Fixed Charges"}</definedName>
    <definedName name="dfg" localSheetId="6" hidden="1">{"cred comp",#N/A,FALSE,"Comparable Credit Analysis";"IS",#N/A,FALSE,"IS";"Sensitivity",#N/A,FALSE,"Sensitivity";"BS",#N/A,FALSE,"BS";"Bond Summary",#N/A,FALSE,"B Summary";"AD",#N/A,FALSE,"Accretion";"NAV",#N/A,FALSE,"NAV";"SU",#N/A,FALSE,"S&amp;U";"acq. study",#N/A,FALSE,"Acq. Study";"F Charges",#N/A,FALSE,"Fixed Charges"}</definedName>
    <definedName name="dfg" hidden="1">{"cred comp",#N/A,FALSE,"Comparable Credit Analysis";"IS",#N/A,FALSE,"IS";"Sensitivity",#N/A,FALSE,"Sensitivity";"BS",#N/A,FALSE,"BS";"Bond Summary",#N/A,FALSE,"B Summary";"AD",#N/A,FALSE,"Accretion";"NAV",#N/A,FALSE,"NAV";"SU",#N/A,FALSE,"S&amp;U";"acq. study",#N/A,FALSE,"Acq. Study";"F Charges",#N/A,FALSE,"Fixed Charges"}</definedName>
    <definedName name="dfh" hidden="1">#REF!</definedName>
    <definedName name="dicci" localSheetId="8" hidden="1">{"FY97Total",#N/A,FALSE,"FY97 - Total";"FY98Total",#N/A,FALSE,"FY98 - Total"}</definedName>
    <definedName name="dicci" localSheetId="6" hidden="1">{"FY97Total",#N/A,FALSE,"FY97 - Total";"FY98Total",#N/A,FALSE,"FY98 - Total"}</definedName>
    <definedName name="dicci" hidden="1">{"FY97Total",#N/A,FALSE,"FY97 - Total";"FY98Total",#N/A,FALSE,"FY98 - Total"}</definedName>
    <definedName name="DIF_PAY_Capital">#REF!</definedName>
    <definedName name="DIF_PAY_FirstCell">#REF!</definedName>
    <definedName name="DIF_PAY_N">#REF!</definedName>
    <definedName name="DIF_PAY_Percent">#REF!</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mmi" localSheetId="8" hidden="1">{"FY97Q1 nvs",#N/A,FALSE,"FY97 - Q1";"FY97Q2 nvs",#N/A,FALSE,"FY97 - Q2";"FY97Q3 nvs",#N/A,FALSE,"FY97 - Q3";"FY97Q4 nvs",#N/A,FALSE,"FY97 - Q4"}</definedName>
    <definedName name="dimmi" localSheetId="6" hidden="1">{"FY97Q1 nvs",#N/A,FALSE,"FY97 - Q1";"FY97Q2 nvs",#N/A,FALSE,"FY97 - Q2";"FY97Q3 nvs",#N/A,FALSE,"FY97 - Q3";"FY97Q4 nvs",#N/A,FALSE,"FY97 - Q4"}</definedName>
    <definedName name="dimmi" hidden="1">{"FY97Q1 nvs",#N/A,FALSE,"FY97 - Q1";"FY97Q2 nvs",#N/A,FALSE,"FY97 - Q2";"FY97Q3 nvs",#N/A,FALSE,"FY97 - Q3";"FY97Q4 nvs",#N/A,FALSE,"FY97 - Q4"}</definedName>
    <definedName name="dirlo" localSheetId="8" hidden="1">{"FY97Tot nvs",#N/A,FALSE,"FY97 - Total";"FY98Tot nvs",#N/A,FALSE,"FY98 - Total"}</definedName>
    <definedName name="dirlo" localSheetId="6" hidden="1">{"FY97Tot nvs",#N/A,FALSE,"FY97 - Total";"FY98Tot nvs",#N/A,FALSE,"FY98 - Total"}</definedName>
    <definedName name="dirlo" hidden="1">{"FY97Tot nvs",#N/A,FALSE,"FY97 - Total";"FY98Tot nvs",#N/A,FALSE,"FY98 - Total"}</definedName>
    <definedName name="DISCONT_OPER" hidden="1">"DISCONT_OPER"</definedName>
    <definedName name="DiscRate">#REF!</definedName>
    <definedName name="DIVID_SHARE" hidden="1">"DIVID_SHARE"</definedName>
    <definedName name="DME_Dirty" hidden="1">"False"</definedName>
    <definedName name="DME_LocalFile" hidden="1">"True"</definedName>
    <definedName name="DME_ODMALinks1" hidden="1">"::ODMA\DME-MSE\London-44590=C:\TEMP\Dme\London-44590.xls"</definedName>
    <definedName name="DME_ODMALinksCount" hidden="1">"1"</definedName>
    <definedName name="Dolar">12.74</definedName>
    <definedName name="DR">#REF!</definedName>
    <definedName name="DRS" hidden="1">39454.4051388889</definedName>
    <definedName name="ds" hidden="1">#REF!</definedName>
    <definedName name="dse" localSheetId="8" hidden="1">{"FY97Tot nvs",#N/A,FALSE,"FY97 - Total";"FY98Tot nvs",#N/A,FALSE,"FY98 - Total"}</definedName>
    <definedName name="dse" localSheetId="6" hidden="1">{"FY97Tot nvs",#N/A,FALSE,"FY97 - Total";"FY98Tot nvs",#N/A,FALSE,"FY98 - Total"}</definedName>
    <definedName name="dse" hidden="1">{"FY97Tot nvs",#N/A,FALSE,"FY97 - Total";"FY98Tot nvs",#N/A,FALSE,"FY98 - Total"}</definedName>
    <definedName name="e" localSheetId="8" hidden="1">{#N/A,#N/A,FALSE,"DI 2 YEAR MASTER SCHEDULE"}</definedName>
    <definedName name="e" localSheetId="6" hidden="1">{#N/A,#N/A,FALSE,"DI 2 YEAR MASTER SCHEDULE"}</definedName>
    <definedName name="e" hidden="1">{#N/A,#N/A,FALSE,"DI 2 YEAR MASTER SCHEDULE"}</definedName>
    <definedName name="EBIT_10K" hidden="1">"EBIT_10K"</definedName>
    <definedName name="EBIT_10Q" hidden="1">"EBIT_10Q"</definedName>
    <definedName name="EBIT_10Q1" hidden="1">"EBIT_10Q1"</definedName>
    <definedName name="EBIT_GROWTH_1" hidden="1">"EBIT_GROWTH_1"</definedName>
    <definedName name="EBIT_GROWTH_2" hidden="1">"EBIT_GROWTH_2"</definedName>
    <definedName name="EBIT_MARGIN" hidden="1">"EBIT_MARGIN"</definedName>
    <definedName name="EBIT_OVER_IE" hidden="1">"EBIT_OVER_IE"</definedName>
    <definedName name="EBITDA_10K" hidden="1">"EBITDA_10K"</definedName>
    <definedName name="EBITDA_10Q" hidden="1">"EBITDA_10Q"</definedName>
    <definedName name="EBITDA_10Q1" hidden="1">"EBITDA_10Q1"</definedName>
    <definedName name="EBITDA_CAPEX_OVER_TOTAL_IE" hidden="1">"EBITDA_CAPEX_OVER_TOTAL_IE"</definedName>
    <definedName name="EBITDA_GROWTH_1" hidden="1">"EBITDA_GROWTH_1"</definedName>
    <definedName name="EBITDA_GROWTH_2" hidden="1">"EBITDA_GROWTH_2"</definedName>
    <definedName name="EBITDA_MARGIN" hidden="1">"EBITDA_MARGIN"</definedName>
    <definedName name="EBITDA_OVER_TOTAL_IE" hidden="1">"EBITDA_OVER_TOTAL_IE"</definedName>
    <definedName name="ee" localSheetId="8" hidden="1">{"FY97Q1 nvs",#N/A,FALSE,"FY97 - Q1";"FY97Q2 nvs",#N/A,FALSE,"FY97 - Q2";"FY97Q3 nvs",#N/A,FALSE,"FY97 - Q3";"FY97Q4 nvs",#N/A,FALSE,"FY97 - Q4"}</definedName>
    <definedName name="ee" localSheetId="6" hidden="1">{"FY97Q1 nvs",#N/A,FALSE,"FY97 - Q1";"FY97Q2 nvs",#N/A,FALSE,"FY97 - Q2";"FY97Q3 nvs",#N/A,FALSE,"FY97 - Q3";"FY97Q4 nvs",#N/A,FALSE,"FY97 - Q4"}</definedName>
    <definedName name="ee" hidden="1">{"FY97Q1 nvs",#N/A,FALSE,"FY97 - Q1";"FY97Q2 nvs",#N/A,FALSE,"FY97 - Q2";"FY97Q3 nvs",#N/A,FALSE,"FY97 - Q3";"FY97Q4 nvs",#N/A,FALSE,"FY97 - Q4"}</definedName>
    <definedName name="EFFECT_SPECIAL_CHARGE" hidden="1">"EFFECT_SPECIAL_CHARGE"</definedName>
    <definedName name="EIJI" localSheetId="8" hidden="1">{"ALLOCATION1",#N/A,FALSE,"EXPENSE ALLOCATIONS";"ALLOCATION2",#N/A,FALSE,"EXPENSE ALLOCATIONS";"ALLOCATION3",#N/A,FALSE,"EXPENSE ALLOCATIONS";"ALLOCATION4",#N/A,FALSE,"EXPENSE ALLOCATIONS"}</definedName>
    <definedName name="EIJI" localSheetId="6" hidden="1">{"ALLOCATION1",#N/A,FALSE,"EXPENSE ALLOCATIONS";"ALLOCATION2",#N/A,FALSE,"EXPENSE ALLOCATIONS";"ALLOCATION3",#N/A,FALSE,"EXPENSE ALLOCATIONS";"ALLOCATION4",#N/A,FALSE,"EXPENSE ALLOCATIONS"}</definedName>
    <definedName name="EIJI" hidden="1">{"ALLOCATION1",#N/A,FALSE,"EXPENSE ALLOCATIONS";"ALLOCATION2",#N/A,FALSE,"EXPENSE ALLOCATIONS";"ALLOCATION3",#N/A,FALSE,"EXPENSE ALLOCATIONS";"ALLOCATION4",#N/A,FALSE,"EXPENSE ALLOCATIONS"}</definedName>
    <definedName name="Eiji1" localSheetId="8" hidden="1">{"ALLOCATION1",#N/A,FALSE,"EXPENSE ALLOCATIONS";"ALLOCATION2",#N/A,FALSE,"EXPENSE ALLOCATIONS";"ALLOCATION3",#N/A,FALSE,"EXPENSE ALLOCATIONS";"ALLOCATION4",#N/A,FALSE,"EXPENSE ALLOCATIONS"}</definedName>
    <definedName name="Eiji1" localSheetId="6" hidden="1">{"ALLOCATION1",#N/A,FALSE,"EXPENSE ALLOCATIONS";"ALLOCATION2",#N/A,FALSE,"EXPENSE ALLOCATIONS";"ALLOCATION3",#N/A,FALSE,"EXPENSE ALLOCATIONS";"ALLOCATION4",#N/A,FALSE,"EXPENSE ALLOCATIONS"}</definedName>
    <definedName name="Eiji1" hidden="1">{"ALLOCATION1",#N/A,FALSE,"EXPENSE ALLOCATIONS";"ALLOCATION2",#N/A,FALSE,"EXPENSE ALLOCATIONS";"ALLOCATION3",#N/A,FALSE,"EXPENSE ALLOCATIONS";"ALLOCATION4",#N/A,FALSE,"EXPENSE ALLOCATIONS"}</definedName>
    <definedName name="EIJIA" localSheetId="8" hidden="1">{"ALLOCATION1",#N/A,FALSE,"EXPENSE ALLOCATIONS";"ALLOCATION2",#N/A,FALSE,"EXPENSE ALLOCATIONS";"ALLOCATION3",#N/A,FALSE,"EXPENSE ALLOCATIONS";"ALLOCATION4",#N/A,FALSE,"EXPENSE ALLOCATIONS"}</definedName>
    <definedName name="EIJIA" localSheetId="6" hidden="1">{"ALLOCATION1",#N/A,FALSE,"EXPENSE ALLOCATIONS";"ALLOCATION2",#N/A,FALSE,"EXPENSE ALLOCATIONS";"ALLOCATION3",#N/A,FALSE,"EXPENSE ALLOCATIONS";"ALLOCATION4",#N/A,FALSE,"EXPENSE ALLOCATIONS"}</definedName>
    <definedName name="EIJIA" hidden="1">{"ALLOCATION1",#N/A,FALSE,"EXPENSE ALLOCATIONS";"ALLOCATION2",#N/A,FALSE,"EXPENSE ALLOCATIONS";"ALLOCATION3",#N/A,FALSE,"EXPENSE ALLOCATIONS";"ALLOCATION4",#N/A,FALSE,"EXPENSE ALLOCATIONS"}</definedName>
    <definedName name="EIJIB" localSheetId="8"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EIJIB" localSheetId="6"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EIJIB"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EIJIC" localSheetId="8" hidden="1">{"TOTALDPAK",#N/A,FALSE,"DPAK PRODUCTION";"HADPAK",#N/A,FALSE,"DPAK PRODUCTION";"PSIDPAK",#N/A,FALSE,"DPAK PRODUCTION"}</definedName>
    <definedName name="EIJIC" localSheetId="6" hidden="1">{"TOTALDPAK",#N/A,FALSE,"DPAK PRODUCTION";"HADPAK",#N/A,FALSE,"DPAK PRODUCTION";"PSIDPAK",#N/A,FALSE,"DPAK PRODUCTION"}</definedName>
    <definedName name="EIJIC" hidden="1">{"TOTALDPAK",#N/A,FALSE,"DPAK PRODUCTION";"HADPAK",#N/A,FALSE,"DPAK PRODUCTION";"PSIDPAK",#N/A,FALSE,"DPAK PRODUCTION"}</definedName>
    <definedName name="EIJID"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EIJID"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EIJID" hidden="1">{"TOTALFAB",#N/A,FALSE,"WAFER FAB 2 EXPENSE";"FABPRODUCTION",#N/A,FALSE,"WAFER FAB 2 EXPENSE";"FABENGINEERING",#N/A,FALSE,"WAFER FAB 2 EXPENSE";"FABEQUIPSUPPORT",#N/A,FALSE,"WAFER FAB 2 EXPENSE";"FABPRODUCTLINE",#N/A,FALSE,"WAFER FAB 2 EXPENSE";"FABMATERIALS",#N/A,FALSE,"WAFER FAB 2 EXPENSE"}</definedName>
    <definedName name="EMPLOYEES" hidden="1">"EMPLOYEES"</definedName>
    <definedName name="ENT_OR_EDU_GROUP_INPUT">#REF!</definedName>
    <definedName name="EPS" hidden="1">"EPS"</definedName>
    <definedName name="EPS_10K" hidden="1">"EPS_10K"</definedName>
    <definedName name="EPS_10Q" hidden="1">"EPS_10Q"</definedName>
    <definedName name="EPS_10Q1" hidden="1">"EPS_10Q1"</definedName>
    <definedName name="EPS_EST" hidden="1">"EPS_EST"</definedName>
    <definedName name="EPS_EST_1" hidden="1">"EPS_EST_1"</definedName>
    <definedName name="EQUITY_AFFIL" hidden="1">"EQUITY_AFFIL"</definedName>
    <definedName name="EQUITY_MARKET_VAL" hidden="1">"EQUITY_MARKET_VAL"</definedName>
    <definedName name="EQV_OVER_BV" hidden="1">"EQV_OVER_BV"</definedName>
    <definedName name="EQV_OVER_LTM_PRETAX_INC" hidden="1">"EQV_OVER_LTM_PRETAX_INC"</definedName>
    <definedName name="er" localSheetId="8" hidden="1">{"Allocation Matrix p1",#N/A,FALSE,"Allocation Matrix";"Allocation Matrix p2",#N/A,FALSE,"Allocation Matrix";"Allocation Matrix p3",#N/A,FALSE,"Allocation Matrix"}</definedName>
    <definedName name="er" localSheetId="6" hidden="1">{"Allocation Matrix p1",#N/A,FALSE,"Allocation Matrix";"Allocation Matrix p2",#N/A,FALSE,"Allocation Matrix";"Allocation Matrix p3",#N/A,FALSE,"Allocation Matrix"}</definedName>
    <definedName name="er" hidden="1">{"Allocation Matrix p1",#N/A,FALSE,"Allocation Matrix";"Allocation Matrix p2",#N/A,FALSE,"Allocation Matrix";"Allocation Matrix p3",#N/A,FALSE,"Allocation Matrix"}</definedName>
    <definedName name="ERRA" localSheetId="8" hidden="1">{"Allocation Matrix p1",#N/A,FALSE,"Allocation Matrix";"Allocation Matrix p2",#N/A,FALSE,"Allocation Matrix";"Allocation Matrix p3",#N/A,FALSE,"Allocation Matrix"}</definedName>
    <definedName name="ERRA" localSheetId="6" hidden="1">{"Allocation Matrix p1",#N/A,FALSE,"Allocation Matrix";"Allocation Matrix p2",#N/A,FALSE,"Allocation Matrix";"Allocation Matrix p3",#N/A,FALSE,"Allocation Matrix"}</definedName>
    <definedName name="ERRA" hidden="1">{"Allocation Matrix p1",#N/A,FALSE,"Allocation Matrix";"Allocation Matrix p2",#N/A,FALSE,"Allocation Matrix";"Allocation Matrix p3",#N/A,FALSE,"Allocation Matrix"}</definedName>
    <definedName name="esdrt" hidden="1">#REF!</definedName>
    <definedName name="ESOP_DEBT" hidden="1">"ESOP_DEBT"</definedName>
    <definedName name="EURO">#REF!</definedName>
    <definedName name="ev.Calculation" hidden="1">-4105</definedName>
    <definedName name="ev.Initialized" hidden="1">FALSE</definedName>
    <definedName name="EV__CVPARAMS__" hidden="1">"Trend!$B$17:$C$38;"</definedName>
    <definedName name="EV__LASTREFTIME__" hidden="1">38259.7064351852</definedName>
    <definedName name="EV__MAXEXPCOLS__" hidden="1">100</definedName>
    <definedName name="EV__MAXEXPROWS__" hidden="1">1000</definedName>
    <definedName name="EV__WBEVMODE__" hidden="1">0</definedName>
    <definedName name="EV__WBREFOPTIONS__" hidden="1">134217783</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wae" localSheetId="8" hidden="1">{"FY98Q1",#N/A,FALSE,"FY98 - Q1";"FY98Q2",#N/A,FALSE,"FY98 - Q2";"FY98Q3",#N/A,FALSE,"FY98 - Q3";"FY98Q4",#N/A,FALSE,"FY98 - Q4"}</definedName>
    <definedName name="ewae" localSheetId="6" hidden="1">{"FY98Q1",#N/A,FALSE,"FY98 - Q1";"FY98Q2",#N/A,FALSE,"FY98 - Q2";"FY98Q3",#N/A,FALSE,"FY98 - Q3";"FY98Q4",#N/A,FALSE,"FY98 - Q4"}</definedName>
    <definedName name="ewae" hidden="1">{"FY98Q1",#N/A,FALSE,"FY98 - Q1";"FY98Q2",#N/A,FALSE,"FY98 - Q2";"FY98Q3",#N/A,FALSE,"FY98 - Q3";"FY98Q4",#N/A,FALSE,"FY98 - Q4"}</definedName>
    <definedName name="EXCHANGE" hidden="1">"EXCHANGE"</definedName>
    <definedName name="EXTRA_ITEMS" hidden="1">"EXTRA_ITEMS"</definedName>
    <definedName name="F" localSheetId="8">{TRUE,TRUE,-2.75,-17,964.5,641.25,FALSE,TRUE,TRUE,TRUE,0,18,#N/A,11,#N/A,22.5227272727273,72.25,1,FALSE,FALSE,3,TRUE,1,FALSE,40,"Swvu.KJP_CC.","ACwvu.KJP_CC.",#N/A,FALSE,FALSE,0,0,0,0,2,"&amp;C&amp;""Arial,Bold""&amp;72Actual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F" localSheetId="6">{TRUE,TRUE,-2.75,-17,964.5,641.25,FALSE,TRUE,TRUE,TRUE,0,18,#N/A,11,#N/A,22.5227272727273,72.25,1,FALSE,FALSE,3,TRUE,1,FALSE,40,"Swvu.KJP_CC.","ACwvu.KJP_CC.",#N/A,FALSE,FALSE,0,0,0,0,2,"&amp;C&amp;""Arial,Bold""&amp;72Actual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F">{TRUE,TRUE,-2.75,-17,964.5,641.25,FALSE,TRUE,TRUE,TRUE,0,18,#N/A,11,#N/A,22.5227272727273,72.25,1,FALSE,FALSE,3,TRUE,1,FALSE,40,"Swvu.KJP_CC.","ACwvu.KJP_CC.",#N/A,FALSE,FALSE,0,0,0,0,2,"&amp;C&amp;""Arial,Bold""&amp;72Actual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fast" localSheetId="8" hidden="1">{"FY97Q1",#N/A,FALSE,"FY97 - Q1";"FY97Q2",#N/A,FALSE,"FY97 - Q2";"FY97Q3",#N/A,FALSE,"FY97 - Q3";"FY97Q4",#N/A,FALSE,"FY97 - Q4"}</definedName>
    <definedName name="fast" localSheetId="6" hidden="1">{"FY97Q1",#N/A,FALSE,"FY97 - Q1";"FY97Q2",#N/A,FALSE,"FY97 - Q2";"FY97Q3",#N/A,FALSE,"FY97 - Q3";"FY97Q4",#N/A,FALSE,"FY97 - Q4"}</definedName>
    <definedName name="fast" hidden="1">{"FY97Q1",#N/A,FALSE,"FY97 - Q1";"FY97Q2",#N/A,FALSE,"FY97 - Q2";"FY97Q3",#N/A,FALSE,"FY97 - Q3";"FY97Q4",#N/A,FALSE,"FY97 - Q4"}</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ff" localSheetId="8" hidden="1">{"FY97Total var",#N/A,FALSE,"FY97 - Total";"FY98Total var",#N/A,FALSE,"FY98 - Total"}</definedName>
    <definedName name="fff" localSheetId="6" hidden="1">{"FY97Total var",#N/A,FALSE,"FY97 - Total";"FY98Total var",#N/A,FALSE,"FY98 - Total"}</definedName>
    <definedName name="fff" hidden="1">{"FY97Total var",#N/A,FALSE,"FY97 - Total";"FY98Total var",#N/A,FALSE,"FY98 - Total"}</definedName>
    <definedName name="financial" localSheetId="8" hidden="1">{#N/A,#N/A,FALSE,"Summary";#N/A,#N/A,FALSE,"Projections";#N/A,#N/A,FALSE,"Mkt Mults";#N/A,#N/A,FALSE,"DCF";#N/A,#N/A,FALSE,"Accr Dil";#N/A,#N/A,FALSE,"PIC LBO";#N/A,#N/A,FALSE,"MULT10_4";#N/A,#N/A,FALSE,"CBI LBO"}</definedName>
    <definedName name="financial" localSheetId="6" hidden="1">{#N/A,#N/A,FALSE,"Summary";#N/A,#N/A,FALSE,"Projections";#N/A,#N/A,FALSE,"Mkt Mults";#N/A,#N/A,FALSE,"DCF";#N/A,#N/A,FALSE,"Accr Dil";#N/A,#N/A,FALSE,"PIC LBO";#N/A,#N/A,FALSE,"MULT10_4";#N/A,#N/A,FALSE,"CBI LBO"}</definedName>
    <definedName name="financial" hidden="1">{#N/A,#N/A,FALSE,"Summary";#N/A,#N/A,FALSE,"Projections";#N/A,#N/A,FALSE,"Mkt Mults";#N/A,#N/A,FALSE,"DCF";#N/A,#N/A,FALSE,"Accr Dil";#N/A,#N/A,FALSE,"PIC LBO";#N/A,#N/A,FALSE,"MULT10_4";#N/A,#N/A,FALSE,"CBI LBO"}</definedName>
    <definedName name="FINANCING_CASH" hidden="1">"FINANCING_CASH"</definedName>
    <definedName name="FirstIsDisc">#REF!</definedName>
    <definedName name="FLOW0">#REF!</definedName>
    <definedName name="FOREIGN_EXCHANGE" hidden="1">"FOREIGN_EXCHANGE"</definedName>
    <definedName name="fre" localSheetId="8" hidden="1">{"FY98Q1 var",#N/A,FALSE,"FY98 - Q1";"FY98Q2 var",#N/A,FALSE,"FY98 - Q2";"FY98Q3 var",#N/A,FALSE,"FY98 - Q3";"FY98Q4 var",#N/A,FALSE,"FY98 - Q4"}</definedName>
    <definedName name="fre" localSheetId="6" hidden="1">{"FY98Q1 var",#N/A,FALSE,"FY98 - Q1";"FY98Q2 var",#N/A,FALSE,"FY98 - Q2";"FY98Q3 var",#N/A,FALSE,"FY98 - Q3";"FY98Q4 var",#N/A,FALSE,"FY98 - Q4"}</definedName>
    <definedName name="fre" hidden="1">{"FY98Q1 var",#N/A,FALSE,"FY98 - Q1";"FY98Q2 var",#N/A,FALSE,"FY98 - Q2";"FY98Q3 var",#N/A,FALSE,"FY98 - Q3";"FY98Q4 var",#N/A,FALSE,"FY98 - Q4"}</definedName>
    <definedName name="FY_DATE" hidden="1">"FY_DATE"</definedName>
    <definedName name="GAIN_SALE_ASSETS" hidden="1">"GAIN_SALE_ASSETS"</definedName>
    <definedName name="GANT_DATE_RANGE">#REF!</definedName>
    <definedName name="GANT_PREP">#REF!,#REF!,#REF!</definedName>
    <definedName name="GANT_TOTALS_RANGE">#REF!</definedName>
    <definedName name="gfa" localSheetId="8" hidden="1">{"FY98Q1 nvs",#N/A,FALSE,"FY98 - Q1";"FY98Q2 nvs",#N/A,FALSE,"FY98 - Q2";"FY98Q3 nvs",#N/A,FALSE,"FY98 - Q3";"FY98Q4 nvs",#N/A,FALSE,"FY98 - Q4"}</definedName>
    <definedName name="gfa" localSheetId="6" hidden="1">{"FY98Q1 nvs",#N/A,FALSE,"FY98 - Q1";"FY98Q2 nvs",#N/A,FALSE,"FY98 - Q2";"FY98Q3 nvs",#N/A,FALSE,"FY98 - Q3";"FY98Q4 nvs",#N/A,FALSE,"FY98 - Q4"}</definedName>
    <definedName name="gfa" hidden="1">{"FY98Q1 nvs",#N/A,FALSE,"FY98 - Q1";"FY98Q2 nvs",#N/A,FALSE,"FY98 - Q2";"FY98Q3 nvs",#N/A,FALSE,"FY98 - Q3";"FY98Q4 nvs",#N/A,FALSE,"FY98 - Q4"}</definedName>
    <definedName name="ggfgf" localSheetId="8" hidden="1">{#N/A,#N/A,FALSE,"Tab 5 - Budget Statement";#N/A,#N/A,FALSE,"Tab 4 - Financial Worksheet";#N/A,#N/A,FALSE,"Tab 1 - Resource Worksheet";#N/A,#N/A,FALSE,"Tab 2 - Educ-Travel-Ent";#N/A,#N/A,FALSE,"Tab 3 - Hardware-Software"}</definedName>
    <definedName name="ggfgf" localSheetId="6" hidden="1">{#N/A,#N/A,FALSE,"Tab 5 - Budget Statement";#N/A,#N/A,FALSE,"Tab 4 - Financial Worksheet";#N/A,#N/A,FALSE,"Tab 1 - Resource Worksheet";#N/A,#N/A,FALSE,"Tab 2 - Educ-Travel-Ent";#N/A,#N/A,FALSE,"Tab 3 - Hardware-Software"}</definedName>
    <definedName name="ggfgf" hidden="1">{#N/A,#N/A,FALSE,"Tab 5 - Budget Statement";#N/A,#N/A,FALSE,"Tab 4 - Financial Worksheet";#N/A,#N/A,FALSE,"Tab 1 - Resource Worksheet";#N/A,#N/A,FALSE,"Tab 2 - Educ-Travel-Ent";#N/A,#N/A,FALSE,"Tab 3 - Hardware-Software"}</definedName>
    <definedName name="ghi" localSheetId="8" hidden="1">{"510 Opex",#N/A,FALSE,"510";"520 Opex",#N/A,FALSE,"520";"UK Cons Opex",#N/A,FALSE,"Consulting-UK";"522 Opex",#N/A,FALSE,"522";"530 Opex",#N/A,FALSE,"530";"600 Opex",#N/A,FALSE,"600";"601 Opex",#N/A,FALSE,"601";"603 Opex",#N/A,FALSE,"603";"610 Opex",#N/A,FALSE,"610";"UK Sales Opex",#N/A,FALSE,"Sales-UK";"640 Opex",#N/A,FALSE,"640";"642 Opex",#N/A,FALSE,"642";"UK Mktg Opex",#N/A,FALSE,"Marketing - UK";"650 Opex",#N/A,FALSE,"650";"700 Opex",#N/A,FALSE,"700";"710 Opex",#N/A,FALSE,"710";"715 Opex",#N/A,FALSE,"715(DCS)";"720 Opex",#N/A,FALSE,"720(QA)";"800 Opex",#N/A,FALSE,"800";"810 Opex",#N/A,FALSE,"810";"820 Opex",#N/A,FALSE,"820";"830 Opex",#N/A,FALSE,"830";"850 Opex",#N/A,FALSE,"850";"851 Opex",#N/A,FALSE,"851";"Fringe Opex",#N/A,FALSE,"Fringe-825"}</definedName>
    <definedName name="ghi" localSheetId="6" hidden="1">{"510 Opex",#N/A,FALSE,"510";"520 Opex",#N/A,FALSE,"520";"UK Cons Opex",#N/A,FALSE,"Consulting-UK";"522 Opex",#N/A,FALSE,"522";"530 Opex",#N/A,FALSE,"530";"600 Opex",#N/A,FALSE,"600";"601 Opex",#N/A,FALSE,"601";"603 Opex",#N/A,FALSE,"603";"610 Opex",#N/A,FALSE,"610";"UK Sales Opex",#N/A,FALSE,"Sales-UK";"640 Opex",#N/A,FALSE,"640";"642 Opex",#N/A,FALSE,"642";"UK Mktg Opex",#N/A,FALSE,"Marketing - UK";"650 Opex",#N/A,FALSE,"650";"700 Opex",#N/A,FALSE,"700";"710 Opex",#N/A,FALSE,"710";"715 Opex",#N/A,FALSE,"715(DCS)";"720 Opex",#N/A,FALSE,"720(QA)";"800 Opex",#N/A,FALSE,"800";"810 Opex",#N/A,FALSE,"810";"820 Opex",#N/A,FALSE,"820";"830 Opex",#N/A,FALSE,"830";"850 Opex",#N/A,FALSE,"850";"851 Opex",#N/A,FALSE,"851";"Fringe Opex",#N/A,FALSE,"Fringe-825"}</definedName>
    <definedName name="ghi" hidden="1">{"510 Opex",#N/A,FALSE,"510";"520 Opex",#N/A,FALSE,"520";"UK Cons Opex",#N/A,FALSE,"Consulting-UK";"522 Opex",#N/A,FALSE,"522";"530 Opex",#N/A,FALSE,"530";"600 Opex",#N/A,FALSE,"600";"601 Opex",#N/A,FALSE,"601";"603 Opex",#N/A,FALSE,"603";"610 Opex",#N/A,FALSE,"610";"UK Sales Opex",#N/A,FALSE,"Sales-UK";"640 Opex",#N/A,FALSE,"640";"642 Opex",#N/A,FALSE,"642";"UK Mktg Opex",#N/A,FALSE,"Marketing - UK";"650 Opex",#N/A,FALSE,"650";"700 Opex",#N/A,FALSE,"700";"710 Opex",#N/A,FALSE,"710";"715 Opex",#N/A,FALSE,"715(DCS)";"720 Opex",#N/A,FALSE,"720(QA)";"800 Opex",#N/A,FALSE,"800";"810 Opex",#N/A,FALSE,"810";"820 Opex",#N/A,FALSE,"820";"830 Opex",#N/A,FALSE,"830";"850 Opex",#N/A,FALSE,"850";"851 Opex",#N/A,FALSE,"851";"Fringe Opex",#N/A,FALSE,"Fringe-825"}</definedName>
    <definedName name="ghikghil" localSheetId="8" hidden="1">#REF!,#REF!,#REF!,#REF!,#REF!,#REF!,#REF!,#REF!,#REF!,#REF!,#REF!,#REF!,#REF!,#REF!,#REF!</definedName>
    <definedName name="ghikghil" localSheetId="6" hidden="1">#REF!,#REF!,#REF!,#REF!,#REF!,#REF!,#REF!,#REF!,#REF!,#REF!,#REF!,#REF!,#REF!,#REF!,#REF!</definedName>
    <definedName name="ghikghil" hidden="1">#REF!,#REF!,#REF!,#REF!,#REF!,#REF!,#REF!,#REF!,#REF!,#REF!,#REF!,#REF!,#REF!,#REF!,#REF!</definedName>
    <definedName name="GIGI" localSheetId="8" hidden="1">{"FY98Q1",#N/A,FALSE,"FY98 - Q1";"FY98Q2",#N/A,FALSE,"FY98 - Q2";"FY98Q3",#N/A,FALSE,"FY98 - Q3";"FY98Q4",#N/A,FALSE,"FY98 - Q4"}</definedName>
    <definedName name="GIGI" localSheetId="6" hidden="1">{"FY98Q1",#N/A,FALSE,"FY98 - Q1";"FY98Q2",#N/A,FALSE,"FY98 - Q2";"FY98Q3",#N/A,FALSE,"FY98 - Q3";"FY98Q4",#N/A,FALSE,"FY98 - Q4"}</definedName>
    <definedName name="GIGI" hidden="1">{"FY98Q1",#N/A,FALSE,"FY98 - Q1";"FY98Q2",#N/A,FALSE,"FY98 - Q2";"FY98Q3",#N/A,FALSE,"FY98 - Q3";"FY98Q4",#N/A,FALSE,"FY98 - Q4"}</definedName>
    <definedName name="GIORGIO" localSheetId="8" hidden="1">{"FY97Q1 var",#N/A,FALSE,"FY97 - Q1";"FY97Q2 var",#N/A,FALSE,"FY97 - Q2";"FY97Q3 var",#N/A,FALSE,"FY97 - Q3";"FY97Q4 var",#N/A,FALSE,"FY97 - Q4"}</definedName>
    <definedName name="GIORGIO" localSheetId="6" hidden="1">{"FY97Q1 var",#N/A,FALSE,"FY97 - Q1";"FY97Q2 var",#N/A,FALSE,"FY97 - Q2";"FY97Q3 var",#N/A,FALSE,"FY97 - Q3";"FY97Q4 var",#N/A,FALSE,"FY97 - Q4"}</definedName>
    <definedName name="GIORGIO" hidden="1">{"FY97Q1 var",#N/A,FALSE,"FY97 - Q1";"FY97Q2 var",#N/A,FALSE,"FY97 - Q2";"FY97Q3 var",#N/A,FALSE,"FY97 - Q3";"FY97Q4 var",#N/A,FALSE,"FY97 - Q4"}</definedName>
    <definedName name="GOODWILL_NET" hidden="1">"GOODWILL_NET"</definedName>
    <definedName name="GR_PRC_DayInMonth_1">#REF!</definedName>
    <definedName name="GR_PRC_DayInYear_1">#REF!</definedName>
    <definedName name="GR_PRC_Kapital_1">#REF!</definedName>
    <definedName name="GR_PRC_Month_1">#REF!</definedName>
    <definedName name="GR_PRC_Percent_1">#REF!</definedName>
    <definedName name="GR_RPC_FirstCell">#REF!</definedName>
    <definedName name="GROSS_DIVID" hidden="1">"GROSS_DIVID"</definedName>
    <definedName name="GROSS_MARGIN" hidden="1">"GROSS_MARGIN"</definedName>
    <definedName name="GROSS_PROFIT" hidden="1">"GROSS_PROFIT"</definedName>
    <definedName name="h">#REF!,#REF!</definedName>
    <definedName name="helloandgo" localSheetId="8" hidden="1">{#N/A,#N/A,FALSE,"Cover";#N/A,#N/A,FALSE,"Contents-Pg1";#N/A,#N/A,FALSE,"High-Com-pg2";#N/A,#N/A,FALSE,"1 Full";#N/A,#N/A,FALSE,"1chts";#N/A,#N/A,FALSE,"Table 2";#N/A,#N/A,FALSE,"3New Iss";#N/A,#N/A,FALSE,"4Money raised";#N/A,#N/A,FALSE,"5Aim";#N/A,#N/A,FALSE,"AiM charts";#N/A,#N/A,FALSE,"6FT Smll";#N/A,#N/A,FALSE,"11SEATS";#N/A,#N/A,FALSE,"12Notes"}</definedName>
    <definedName name="helloandgo" localSheetId="6" hidden="1">{#N/A,#N/A,FALSE,"Cover";#N/A,#N/A,FALSE,"Contents-Pg1";#N/A,#N/A,FALSE,"High-Com-pg2";#N/A,#N/A,FALSE,"1 Full";#N/A,#N/A,FALSE,"1chts";#N/A,#N/A,FALSE,"Table 2";#N/A,#N/A,FALSE,"3New Iss";#N/A,#N/A,FALSE,"4Money raised";#N/A,#N/A,FALSE,"5Aim";#N/A,#N/A,FALSE,"AiM charts";#N/A,#N/A,FALSE,"6FT Smll";#N/A,#N/A,FALSE,"11SEATS";#N/A,#N/A,FALSE,"12Notes"}</definedName>
    <definedName name="helloandgo" hidden="1">{#N/A,#N/A,FALSE,"Cover";#N/A,#N/A,FALSE,"Contents-Pg1";#N/A,#N/A,FALSE,"High-Com-pg2";#N/A,#N/A,FALSE,"1 Full";#N/A,#N/A,FALSE,"1chts";#N/A,#N/A,FALSE,"Table 2";#N/A,#N/A,FALSE,"3New Iss";#N/A,#N/A,FALSE,"4Money raised";#N/A,#N/A,FALSE,"5Aim";#N/A,#N/A,FALSE,"AiM charts";#N/A,#N/A,FALSE,"6FT Smll";#N/A,#N/A,FALSE,"11SEATS";#N/A,#N/A,FALSE,"12Notes"}</definedName>
    <definedName name="HighPrice" hidden="1">#REF!</definedName>
    <definedName name="hn.ExtDb" hidden="1">FALSE</definedName>
    <definedName name="hn.ModelType" hidden="1">"DEAL"</definedName>
    <definedName name="hn.ModelVersion" hidden="1">1</definedName>
    <definedName name="hn.NoUpload" hidden="1">0</definedName>
    <definedName name="hod" localSheetId="8" hidden="1">{#N/A,#N/A,FALSE,"TS";#N/A,#N/A,FALSE,"Combo";#N/A,#N/A,FALSE,"FAIR";#N/A,#N/A,FALSE,"RBC";#N/A,#N/A,FALSE,"xxxx";#N/A,#N/A,FALSE,"A_D";#N/A,#N/A,FALSE,"WACC";#N/A,#N/A,FALSE,"DCF";#N/A,#N/A,FALSE,"LBO";#N/A,#N/A,FALSE,"AcqMults";#N/A,#N/A,FALSE,"CompMults"}</definedName>
    <definedName name="hod" localSheetId="6" hidden="1">{#N/A,#N/A,FALSE,"TS";#N/A,#N/A,FALSE,"Combo";#N/A,#N/A,FALSE,"FAIR";#N/A,#N/A,FALSE,"RBC";#N/A,#N/A,FALSE,"xxxx";#N/A,#N/A,FALSE,"A_D";#N/A,#N/A,FALSE,"WACC";#N/A,#N/A,FALSE,"DCF";#N/A,#N/A,FALSE,"LBO";#N/A,#N/A,FALSE,"AcqMults";#N/A,#N/A,FALSE,"CompMults"}</definedName>
    <definedName name="hod" hidden="1">{#N/A,#N/A,FALSE,"TS";#N/A,#N/A,FALSE,"Combo";#N/A,#N/A,FALSE,"FAIR";#N/A,#N/A,FALSE,"RBC";#N/A,#N/A,FALSE,"xxxx";#N/A,#N/A,FALSE,"A_D";#N/A,#N/A,FALSE,"WACC";#N/A,#N/A,FALSE,"DCF";#N/A,#N/A,FALSE,"LBO";#N/A,#N/A,FALSE,"AcqMults";#N/A,#N/A,FALSE,"CompMults"}</definedName>
    <definedName name="HOMFE" localSheetId="8" hidden="1">{#N/A,#N/A,FALSE,"Assessment";#N/A,#N/A,FALSE,"Staffing";#N/A,#N/A,FALSE,"Hires";#N/A,#N/A,FALSE,"Assumptions"}</definedName>
    <definedName name="HOMFE" localSheetId="6" hidden="1">{#N/A,#N/A,FALSE,"Assessment";#N/A,#N/A,FALSE,"Staffing";#N/A,#N/A,FALSE,"Hires";#N/A,#N/A,FALSE,"Assumptions"}</definedName>
    <definedName name="HOMFE" hidden="1">{#N/A,#N/A,FALSE,"Assessment";#N/A,#N/A,FALSE,"Staffing";#N/A,#N/A,FALSE,"Hires";#N/A,#N/A,FALSE,"Assumptions"}</definedName>
    <definedName name="HOUSE">#REF!</definedName>
    <definedName name="HOUSE_CAPACITY">#REF!</definedName>
    <definedName name="houy" localSheetId="8" hidden="1">{#N/A,#N/A,FALSE,"AD_Purchase";#N/A,#N/A,FALSE,"Credit";#N/A,#N/A,FALSE,"PF Acquisition";#N/A,#N/A,FALSE,"PF Offering"}</definedName>
    <definedName name="houy" localSheetId="6" hidden="1">{#N/A,#N/A,FALSE,"AD_Purchase";#N/A,#N/A,FALSE,"Credit";#N/A,#N/A,FALSE,"PF Acquisition";#N/A,#N/A,FALSE,"PF Offering"}</definedName>
    <definedName name="houy" hidden="1">{#N/A,#N/A,FALSE,"AD_Purchase";#N/A,#N/A,FALSE,"Credit";#N/A,#N/A,FALSE,"PF Acquisition";#N/A,#N/A,FALSE,"PF Offering"}</definedName>
    <definedName name="hppackage.xls" localSheetId="8" hidden="1">{"LCCOST",#N/A,FALSE,"FC-3 "}</definedName>
    <definedName name="hppackage.xls" localSheetId="6" hidden="1">{"LCCOST",#N/A,FALSE,"FC-3 "}</definedName>
    <definedName name="hppackage.xls" hidden="1">{"LCCOST",#N/A,FALSE,"FC-3 "}</definedName>
    <definedName name="HQ" localSheetId="8" hidden="1">{#N/A,#N/A,FALSE,"6405";#N/A,#N/A,FALSE,"6406";#N/A,#N/A,FALSE,"6409";#N/A,#N/A,FALSE,"6425";#N/A,#N/A,FALSE,"6426";#N/A,#N/A,FALSE,"6427";#N/A,#N/A,FALSE,"6440";#N/A,#N/A,FALSE,"6441";#N/A,#N/A,FALSE,"6442";#N/A,#N/A,FALSE,"6443"}</definedName>
    <definedName name="HQ" localSheetId="6" hidden="1">{#N/A,#N/A,FALSE,"6405";#N/A,#N/A,FALSE,"6406";#N/A,#N/A,FALSE,"6409";#N/A,#N/A,FALSE,"6425";#N/A,#N/A,FALSE,"6426";#N/A,#N/A,FALSE,"6427";#N/A,#N/A,FALSE,"6440";#N/A,#N/A,FALSE,"6441";#N/A,#N/A,FALSE,"6442";#N/A,#N/A,FALSE,"6443"}</definedName>
    <definedName name="HQ" hidden="1">{#N/A,#N/A,FALSE,"6405";#N/A,#N/A,FALSE,"6406";#N/A,#N/A,FALSE,"6409";#N/A,#N/A,FALSE,"6425";#N/A,#N/A,FALSE,"6426";#N/A,#N/A,FALSE,"6427";#N/A,#N/A,FALSE,"6440";#N/A,#N/A,FALSE,"6441";#N/A,#N/A,FALSE,"6442";#N/A,#N/A,FALSE,"6443"}</definedName>
    <definedName name="HTML_CodePage" hidden="1">1252</definedName>
    <definedName name="HTML_Control" localSheetId="8" hidden="1">{"'Sheet1'!$A$1:$H$145"}</definedName>
    <definedName name="HTML_Control" localSheetId="6"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 hidden="1">"C:\Celular\Planilha\vm.htm"</definedName>
    <definedName name="HTML_PathFileMac" hidden="1">"Macintosh HD:HomePageStuff:New_Home_Page:datafile:ctryprem.html"</definedName>
    <definedName name="HTML_Title" hidden="1">"Country Risk Premiums"</definedName>
    <definedName name="i" localSheetId="8" hidden="1">{#N/A,#N/A,FALSE,"PRJCTED QTRLY $'s"}</definedName>
    <definedName name="i" localSheetId="6" hidden="1">{#N/A,#N/A,FALSE,"PRJCTED QTRLY $'s"}</definedName>
    <definedName name="i" hidden="1">{#N/A,#N/A,FALSE,"PRJCTED QTRLY $'s"}</definedName>
    <definedName name="IGIENE" localSheetId="8" hidden="1">{"FY97Total var",#N/A,FALSE,"FY97 - Total";"FY98Total var",#N/A,FALSE,"FY98 - Total"}</definedName>
    <definedName name="IGIENE" localSheetId="6" hidden="1">{"FY97Total var",#N/A,FALSE,"FY97 - Total";"FY98Total var",#N/A,FALSE,"FY98 - Total"}</definedName>
    <definedName name="IGIENE" hidden="1">{"FY97Total var",#N/A,FALSE,"FY97 - Total";"FY98Total var",#N/A,FALSE,"FY98 - Total"}</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TAX" hidden="1">"INC_TAX"</definedName>
    <definedName name="INC_TAX_EXCL" hidden="1">"INC_TAX_EXCL"</definedName>
    <definedName name="INDIC_ECOFIN">#REF!</definedName>
    <definedName name="INK_PAINT_MUST_START">#REF!</definedName>
    <definedName name="INTANGIBLES_NET" hidden="1">"INTANGIBLES_NET"</definedName>
    <definedName name="INTEREST_EXP_NET" hidden="1">"INTEREST_EXP_NET"</definedName>
    <definedName name="INTEREST_EXP_NON" hidden="1">"INTEREST_EXP_NON"</definedName>
    <definedName name="INTEREST_EXP_SUPPL" hidden="1">"INTEREST_EXP_SUPPL"</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VENTORY_TURNS" hidden="1">"INVENTORY_TURNS"</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EPTANCES_OTHER_FOREIGN_BANKS_LL_REC_FFIEC" hidden="1">"c15293"</definedName>
    <definedName name="IQ_ACCEPTANCES_OTHER_US_BANKS_LL_REC_FFIEC" hidden="1">"c15292"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USTABLE_RATE_LOANS_FDIC" hidden="1">"c6375"</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_PROD_FARM_LOANS_DOM_QUARTERLY_AVG_FFIEC" hidden="1">"c15477"</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LL_OTHER_DEPOSITS_FOREIGN_DEP_FFIEC" hidden="1">"c15347"</definedName>
    <definedName name="IQ_ALL_OTHER_INVEST_UNCONSOL_SUBS_FFIEC" hidden="1">"c15275"</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UDITOR_NAME" hidden="1">"c1539"</definedName>
    <definedName name="IQ_AUDITOR_OPINION" hidden="1">"c1540"</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FAX" hidden="1">"c2100"</definedName>
    <definedName name="IQ_BOARD_MEMBER_MAIN_FAX" hidden="1">"c15174"</definedName>
    <definedName name="IQ_BOARD_MEMBER_MAIN_PHONE" hidden="1">"c15173"</definedName>
    <definedName name="IQ_BOARD_MEMBER_OFFICE" hidden="1">"c2098"</definedName>
    <definedName name="IQ_BOARD_MEMBER_OFFICE_ADDRESS" hidden="1">"c15172"</definedName>
    <definedName name="IQ_BOARD_MEMBER_PHONE" hidden="1">"c2099"</definedName>
    <definedName name="IQ_BOARD_MEMBER_TITLE" hidden="1">"c97"</definedName>
    <definedName name="IQ_BONDRATING_FITCH" hidden="1">"IQ_BONDRATING_FITCH"</definedName>
    <definedName name="IQ_BONDRATING_FITCH_DATE" hidden="1">"c241"</definedName>
    <definedName name="IQ_BONDRATING_SP" hidden="1">"IQ_BONDRATING_SP"</definedName>
    <definedName name="IQ_BONDRATING_SP_DATE" hidden="1">"c242"</definedName>
    <definedName name="IQ_BOOK_VALUE" hidden="1">"IQ_BOOK_VALUE"</definedName>
    <definedName name="IQ_BROK_COMISSION" hidden="1">"c98"</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OREIGN_BRANCH_OTHER_US_BANKS_FFIEC" hidden="1">"c15282"</definedName>
    <definedName name="IQ_CASH_IN_PROCESS_FDIC" hidden="1">"c6386"</definedName>
    <definedName name="IQ_CASH_INTEREST" hidden="1">"c120"</definedName>
    <definedName name="IQ_CASH_INVEST" hidden="1">"c121"</definedName>
    <definedName name="IQ_CASH_OPER" hidden="1">"c122"</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CE_FDIC" hidden="1">"c6296"</definedName>
    <definedName name="IQ_CEO_ID" hidden="1">"c15210"</definedName>
    <definedName name="IQ_CEO_NAME" hidden="1">"c15209"</definedName>
    <definedName name="IQ_CERTIFIED_OFFICIAL_CHECKS_TRANS_ACCTS_FFIEC" hidden="1">"c15320"</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O_ID" hidden="1">"c15212"</definedName>
    <definedName name="IQ_CFO_NAME" hidden="1">"c15211"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ASSB_OUTSTANDING_BS_DATE" hidden="1">"c1972"</definedName>
    <definedName name="IQ_CLASSB_OUTSTANDING_FILING_DATE" hidden="1">"c1974"</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LOANS_NET_FDIC" hidden="1">"c6317"</definedName>
    <definedName name="IQ_COMMERCIAL_INDUSTRIAL_NET_CHARGE_OFFS_FDIC" hidden="1">"c6636"</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RECOVERIES_FDIC" hidden="1">"c6617"</definedName>
    <definedName name="IQ_COMMERCIAL_INDUSTRIAL_TOTAL_LOANS_FOREIGN_FDIC" hidden="1">"c6451"</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NSOLIDATED_NI_FOREIGN_FFIEC" hidden="1">"c15396"</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O_ID" hidden="1">"c15222"</definedName>
    <definedName name="IQ_COO_NAME" hidden="1">"c15221"</definedName>
    <definedName name="IQ_CORE_CAPITAL_RATIO_FDIC" hidden="1">"c6745"</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AGE_RATIO" hidden="1">"c15243"</definedName>
    <definedName name="IQ_COVERED_POPS" hidden="1">"c2124"</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DOM_QUARTERLY_AVG_FFIEC" hidden="1">"c15480"</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FOREIGN_BANKS_FOREIGN_AGENCIES_FFIEC" hidden="1">"c15344"</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INDIRECT_RE_VENTURES_FFIEC" hidden="1">"c15266"</definedName>
    <definedName name="IQ_DIRECT_INDIRECT_RE_VENTURES_UNCONSOL_FFIEC" hidden="1">"c15274"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COVERAGE_NET_CHARGE_OFFS_FDIC" hidden="1">"c6735"</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GROWTH_1" hidden="1">"IQ_EBIT_GROWTH_1"</definedName>
    <definedName name="IQ_EBIT_GROWTH_2" hidden="1">"IQ_EBIT_GROWTH_2"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GROWTH_1" hidden="1">"IQ_EBITDA_GROWTH_1"</definedName>
    <definedName name="IQ_EBITDA_GROWTH_2" hidden="1">"IQ_EBITDA_GROWTH_2"</definedName>
    <definedName name="IQ_EBITDA_INT" hidden="1">"c373"</definedName>
    <definedName name="IQ_EBITDA_MARGIN" hidden="1">"c372"</definedName>
    <definedName name="IQ_EBITDA_NO_EST" hidden="1">"c267"</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LIMINATIONS_CONSOL_OFFICES_FOREIGN_FFIEC" hidden="1">"c15395"</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_1" hidden="1">"IQ_EPS_EST_1"</definedName>
    <definedName name="IQ_EPS_NO_EST" hidden="1">"c271"</definedName>
    <definedName name="IQ_EPS_NORM" hidden="1">"c1902"</definedName>
    <definedName name="IQ_EQUITY_AFFIL" hidden="1">"c1451"</definedName>
    <definedName name="IQ_EQUITY_CAPITAL_ASSETS_FDIC" hidden="1">"c6744"</definedName>
    <definedName name="IQ_EQUITY_FDIC" hidden="1">"c6353"</definedName>
    <definedName name="IQ_EQUITY_LIST" hidden="1">"c15158"</definedName>
    <definedName name="IQ_EQUITY_METHOD" hidden="1">"c404"</definedName>
    <definedName name="IQ_EQUITY_SECURITIES_FDIC" hidden="1">"c6304"</definedName>
    <definedName name="IQ_EQUITY_SECURITIES_QUARTERLY_AVG_FFIEC" hidden="1">"c15474"</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T_ACT_FFO_SHARE_SHARE_THOM" hidden="1">"c4005"</definedName>
    <definedName name="IQ_EST_ACT_FFO_THOM" hidden="1">"c4005"</definedName>
    <definedName name="IQ_EST_EPS_SURPRISE" hidden="1">"c1635"</definedName>
    <definedName name="IQ_EST_FFO_DIFF_THOM" hidden="1">"c5186"</definedName>
    <definedName name="IQ_EST_FFO_SHARE_SHARE_DIFF_THOM" hidden="1">"c5186"</definedName>
    <definedName name="IQ_EST_FFO_SHARE_SHARE_SURPRISE_PERCENT_THOM" hidden="1">"c5187"</definedName>
    <definedName name="IQ_EST_FFO_SURPRISE_PERCENT_THOM" hidden="1">"c5187"</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EXTRA_ITEMS_OTHER_ADJUSTMENTS_FOREIGN_FFIEC" hidden="1">"c15392"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FDIC" hidden="1">"c6343"</definedName>
    <definedName name="IQ_FED_FUNDS_SOLD_FDIC" hidden="1">"c6307"</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ES_OTHER_INCOME" hidden="1">"c15257"</definedName>
    <definedName name="IQ_FFO" hidden="1">"c1574"</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THOM" hidden="1">"c12487"</definedName>
    <definedName name="IQ_FFO_EST_DET_EST_DATE" hidden="1">"c12212"</definedName>
    <definedName name="IQ_FFO_EST_DET_EST_DATE_CIQ" hidden="1">"c12267"</definedName>
    <definedName name="IQ_FFO_EST_DET_EST_DATE_THOM" hidden="1">"c12238"</definedName>
    <definedName name="IQ_FFO_EST_DET_EST_INCL" hidden="1">"c12349"</definedName>
    <definedName name="IQ_FFO_EST_DET_EST_INCL_CIQ" hidden="1">"c12395"</definedName>
    <definedName name="IQ_FFO_EST_DET_EST_INCL_THOM" hidden="1">"c12370"</definedName>
    <definedName name="IQ_FFO_EST_DET_EST_ORIGIN" hidden="1">"c12722"</definedName>
    <definedName name="IQ_FFO_EST_DET_EST_ORIGIN_CIQ" hidden="1">"c12720"</definedName>
    <definedName name="IQ_FFO_EST_DET_EST_ORIGIN_THOM" hidden="1">"c12608"</definedName>
    <definedName name="IQ_FFO_EST_DET_EST_THOM" hidden="1">"c12088"</definedName>
    <definedName name="IQ_FFO_EST_THOM" hidden="1">"c3999"</definedName>
    <definedName name="IQ_FFO_HIGH_EST_THOM" hidden="1">"c4001"</definedName>
    <definedName name="IQ_FFO_LOW_EST_THOM" hidden="1">"c4002"</definedName>
    <definedName name="IQ_FFO_MEDIAN_EST_THOM" hidden="1">"c4000"</definedName>
    <definedName name="IQ_FFO_NO_EST" hidden="1">"c276"</definedName>
    <definedName name="IQ_FFO_NUM_EST_THOM" hidden="1">"c4003"</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OANS" hidden="1">"c448"</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NAV" hidden="1">"c15225"</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AP_EST_CIQ" hidden="1">"c13924"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NERAL_ALLOWANCE" hidden="1">"c15248"</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GW" hidden="1">"c519"</definedName>
    <definedName name="IQ_GROSS_INTAN" hidden="1">"c520"</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PAIR_OIL" hidden="1">"c547"</definedName>
    <definedName name="IQ_IMPAIRED_LOANS" hidden="1">"c15250"</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_FOREIGN_FFIEC" hidden="1">"c15391"</definedName>
    <definedName name="IQ_INCOME_TAXES_FDIC" hidden="1">"c6582"</definedName>
    <definedName name="IQ_INDEX_CURRENCY" hidden="1">"c15224"</definedName>
    <definedName name="IQ_INDEX_TYPE" hidden="1">"c15223"</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RE_LOANS_DOM_FFIEC" hidden="1">"c15353"</definedName>
    <definedName name="IQ_INT_FEE_INC_TAX_EXEMPT_OBLIGATIONS_DOM_FFIEC" hidden="1">"c15362"</definedName>
    <definedName name="IQ_INT_FEE_INC_TAXABLE_OBLIGATIONS_DOM_FFIEC" hidden="1">"c15361"</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AVINGS_DEPOSITS_MMDA_DOM_FFIEC" hidden="1">"c15364"</definedName>
    <definedName name="IQ_INT_SUB_NOTES_FDIC" hidden="1">"c6568"</definedName>
    <definedName name="IQ_INT_TRANSACTION_ACCOUNTS_DOM_FFIEC" hidden="1">"c15363"</definedName>
    <definedName name="IQ_INTANGIBLES_NET" hidden="1">"c1407"</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D_GUARANTEED_US_FDIC" hidden="1">"c6404"</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CAP" hidden="1">"c712"</definedName>
    <definedName name="IQ_MARKTCAP" hidden="1">"c258"</definedName>
    <definedName name="IQ_MATURITY_ONE_YEAR_LESS_FDIC" hidden="1">"c6425"</definedName>
    <definedName name="IQ_MBS_QUARTERLY_AVG_FFIEC" hidden="1">"c15471"</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MDA_NON_TRANS_ACCTS_FFIEC" hidden="1">"c15330"</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ICING_FDIC" hidden="1">"c6335"</definedName>
    <definedName name="IQ_MULTIFAMILY_RES_DOM_FFIEC" hidden="1">"c15270"</definedName>
    <definedName name="IQ_MULTIFAMILY_RESIDENTIAL_LOANS_FDIC" hidden="1">"c6311"</definedName>
    <definedName name="IQ_NAMES_REVISION_DATE_" hidden="1">40592.5431828703</definedName>
    <definedName name="IQ_NAV_ACT_OR_EST" hidden="1">"c2225"</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MARGIN" hidden="1">"c794"</definedName>
    <definedName name="IQ_NI_NON_CONTROLLING_INTERESTS_FFIEC" hidden="1">"c15366"</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FARM_NONRES_DOM_FFIEC" hidden="1">"c15271"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ED" hidden="1">"c2116"</definedName>
    <definedName name="IQ_OPTIONS_ISSUED" hidden="1">"c857"</definedName>
    <definedName name="IQ_OPTIONS_OS" hidden="1">"c858"</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FOREIGN_FFIEC" hidden="1">"c15273"</definedName>
    <definedName name="IQ_OREO_MULTI_FAMILY_RESIDENTIAL_FDIC" hidden="1">"c6455"</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BORROWED_MONEY_FAIR_VALUE_TOT_FFIEC" hidden="1">"c15409"</definedName>
    <definedName name="IQ_OTHER_BORROWED_MONEY_LEVEL_1_FFIEC" hidden="1">"c15431"</definedName>
    <definedName name="IQ_OTHER_BORROWED_MONEY_LEVEL_2_FFIEC" hidden="1">"c15444"</definedName>
    <definedName name="IQ_OTHER_BORROWED_MONEY_LEVEL_3_FFIEC" hidden="1">"c15457"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_SECURITIES_QUARTERLY_AVG_FFIEC" hidden="1">"c15473"</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NONINTEREST_INC_FOREIGN_FFIEC" hidden="1">"c15380"</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AVINGS_DEPOSITS_NON_TRANS_ACCTS_FFIEC" hidden="1">"c15331"</definedName>
    <definedName name="IQ_OTHER_SECURITIES_QUARTERLY_AVG_FFIEC" hidden="1">"c15472"</definedName>
    <definedName name="IQ_OTHER_TRADING_ASSETS_FAIR_VALUE_TOT_FFIEC" hidden="1">"c15404"</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LIABILITIES_FAIR_VALUE_TOT_FFIEC" hidden="1">"c15408"</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CENT_CHANGE_EST_FFO_12MONTHS" hidden="1">"c1828"</definedName>
    <definedName name="IQ_PERCENT_CHANGE_EST_FFO_12MONTHS_CIQ" hidden="1">"c3769"</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THOM" hidden="1">"c5244"</definedName>
    <definedName name="IQ_PERCENT_CHANGE_EST_FFO_SHARE_SHARE_12MONTHS" hidden="1">"c1828"</definedName>
    <definedName name="IQ_PERCENT_CHANGE_EST_FFO_SHARE_SHARE_12MONTHS_CIQ" hidden="1">"c3769"</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THOM" hidden="1">"c5274"</definedName>
    <definedName name="IQ_PERCENT_CHANGE_EST_FFO_WEEK" hidden="1">"c1823"</definedName>
    <definedName name="IQ_PERCENT_CHANGE_EST_FFO_WEEK_CIQ" hidden="1">"c3795"</definedName>
    <definedName name="IQ_PERCENT_CHANGE_EST_FFO_WEEK_THOM" hidden="1">"c5274"</definedName>
    <definedName name="IQ_PERCENT_INSURED_FDIC" hidden="1">"c6374"</definedName>
    <definedName name="IQ_PERIODDATE" hidden="1">"c1414"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FERRED_DEPOSITS_FFIEC" hidden="1">"c15312"</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RETURN_ASSETS_FDIC" hidden="1">"c6731"</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DATE" hidden="1">"c1069"</definedName>
    <definedName name="IQ_PRICEDATETIME" hidden="1">"IQ_PRICEDATETIME"</definedName>
    <definedName name="IQ_PRICING_DATE" hidden="1">"c1613"</definedName>
    <definedName name="IQ_PRIMARY_INDUSTRY" hidden="1">"c1070"</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VG_STORE_SIZE_GROSS" hidden="1">"c2066"</definedName>
    <definedName name="IQ_RETAIL_AVG_STORE_SIZE_NET" hidden="1">"c2067"</definedName>
    <definedName name="IQ_RETAIL_CLOSED_STORES" hidden="1">"c2063"</definedName>
    <definedName name="IQ_RETAIL_DEPOSITS_FDIC" hidden="1">"c6488"</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BEFORE_LOAN_LOSS_FOREIGN_FFIEC" hidden="1">"c15381"</definedName>
    <definedName name="IQ_REV_DATE_" hidden="1">39482.3981597222</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_1" hidden="1">"IQ_REVENUE_EST_1"</definedName>
    <definedName name="IQ_REVENUE_GROWTH_1" hidden="1">"IQ_REVENUE_GROWTH_1"</definedName>
    <definedName name="IQ_REVENUE_GROWTH_2" hidden="1">"IQ_REVENUE_GROWTH_2"</definedName>
    <definedName name="IQ_REVENUE_NO_EST" hidden="1">"c263"</definedName>
    <definedName name="IQ_REVISION_DATE_FM" hidden="1">39492.863587963</definedName>
    <definedName name="IQ_REVISION_DATE_v2" hidden="1">"17/02/2006 15:13:32"</definedName>
    <definedName name="IQ_REVOLVING_SECURED_1_4_NON_ACCRUAL_FFIEC" hidden="1">"c13314"</definedName>
    <definedName name="IQ_REVOLVING_SECURED_1_–4_NON_ACCRUAL_FFIEC" hidden="1">"c13314"</definedName>
    <definedName name="IQ_RISK_WEIGHTED_ASSETS_FDIC" hidden="1">"c6370"</definedName>
    <definedName name="IQ_SALARY" hidden="1">"c1130"</definedName>
    <definedName name="IQ_SALARY_FDIC" hidden="1">"c6576"</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AVINGS_DEPOSITS_NON_TRANS_ACCTS_FFIEC" hidden="1">"c15329"</definedName>
    <definedName name="IQ_SAVINGS_DEPOSITS_QUARTERLY_AVG_FFIEC" hidden="1">"c15485"</definedName>
    <definedName name="IQ_SEC_OTHER_NONFARM_NONRES_NON_ACCRUAL_FFIEC" hidden="1">"c15462"</definedName>
    <definedName name="IQ_SEC_OWNER_NONFARM_NONRES_NON_ACCRUAL_FFIEC" hidden="1">"c15461"</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STATE_POLI_SUBD_QUARTERLY_AVG_FFIEC" hidden="1">"c15470"</definedName>
    <definedName name="IQ_SECURITIES_UNDERWRITING_FDIC" hidden="1">"c6529"</definedName>
    <definedName name="IQ_SECURITY_ACTIVE_STATUS" hidden="1">"c15160"</definedName>
    <definedName name="IQ_SECURITY_BORROW" hidden="1">"c1152"</definedName>
    <definedName name="IQ_SECURITY_NAME" hidden="1">"c15159"</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FIC_ALLOWANCE" hidden="1">"c15247"</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DEBT_FDIC" hidden="1">"c6346"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LEVEL_1_FFIEC" hidden="1">"c15432"</definedName>
    <definedName name="IQ_SUB_NOTES_DEBENTURES_LEVEL_2_FFIEC" hidden="1">"c15445"</definedName>
    <definedName name="IQ_SUB_NOTES_DEBENTURES_LEVEL_3_FFIEC" hidden="1">"c15458"</definedName>
    <definedName name="IQ_SURPLUS_FDIC" hidden="1">"c6351"</definedName>
    <definedName name="IQ_SVA" hidden="1">"c1214"</definedName>
    <definedName name="IQ_SYNTHETIC_STRUCTURED_PRODUCTS_AVAIL_SALE_FFIEC" hidden="1">"c15264"</definedName>
    <definedName name="IQ_SYNTHETIC_STRUCTURED_PRODUCTS_FFIEC" hidden="1">"c15261"</definedName>
    <definedName name="IQ_TARGET_PRICE_LASTCLOSE" hidden="1">"c1855"</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ER_ONE_RATIO" hidden="1">"c1229"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AIR_VALUE_TOT_FFIEC" hidden="1">"c15405"</definedName>
    <definedName name="IQ_TOTAL_ASSETS_FDIC" hidden="1">"c6339"</definedName>
    <definedName name="IQ_TOTAL_ASSETS_LEVEL_1_FFIEC" hidden="1">"c15427"</definedName>
    <definedName name="IQ_TOTAL_ASSETS_LEVEL_2_FFIEC" hidden="1">"c15440"</definedName>
    <definedName name="IQ_TOTAL_ASSETS_LEVEL_3_FFIEC" hidden="1">"c15453"</definedName>
    <definedName name="IQ_TOTAL_AVG_CE_TOTAL_AVG_ASSETS" hidden="1">"c1241"</definedName>
    <definedName name="IQ_TOTAL_AVG_EQUITY_TOTAL_AVG_ASSETS" hidden="1">"c1242"</definedName>
    <definedName name="IQ_TOTAL_BROKERED_DEPOSIT_FFIEC" hidden="1">"c15304"</definedName>
    <definedName name="IQ_TOTAL_CA" hidden="1">"c1243"</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EQUITY_INCL_MINORITY_INTEREST_FFIEC" hidden="1">"c15278"</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FAIR_VALUE_TOT_FFIEC" hidden="1">"c15411"</definedName>
    <definedName name="IQ_TOTAL_LIABILITIES_FDIC" hidden="1">"c6348"</definedName>
    <definedName name="IQ_TOTAL_LIABILITIES_LEVEL_1_FFIEC" hidden="1">"c15433"</definedName>
    <definedName name="IQ_TOTAL_LIABILITIES_LEVEL_2_FFIEC" hidden="1">"c15446"</definedName>
    <definedName name="IQ_TOTAL_LIABILITIES_LEVEL_3_FFIEC" hidden="1">"c15459"</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EVENUE_FOREIGN_FFIEC" hidden="1">"c15383"</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LIAB_FOREIGN_FFIEC" hidden="1">"c15296"</definedName>
    <definedName name="IQ_TOTAL_TRANS_ACCTS_FFIEC" hidden="1">"c15321"</definedName>
    <definedName name="IQ_TOTAL_UNUSED_COMMITMENTS_FDIC" hidden="1">"c6536"</definedName>
    <definedName name="IQ_TOTAL_UNUSUAL" hidden="1">"c1508"</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LIABILITIES_FDIC" hidden="1">"c6344"</definedName>
    <definedName name="IQ_TRADING_REV_FOREIGN_FFIEC" hidden="1">"c15377"</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ST_INC" hidden="1">"c1319"</definedName>
    <definedName name="IQ_TRUST_PREF" hidden="1">"c1320"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DIVIDED_PROFITS_FDIC" hidden="1">"c6352"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USED_LOAN_COMMITMENTS_FDIC" hidden="1">"c6368"</definedName>
    <definedName name="IQ_UNUSUAL_EXP" hidden="1">"c1456"</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TREASURY_SECURITIES_FDIC" hidden="1">"c6298"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LOANS" hidden="1">"c15249"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HIGH" hidden="1">"c1337"</definedName>
    <definedName name="IQ_YEARLOW" hidden="1">"c1338"</definedName>
    <definedName name="IQ_YTD" hidden="1">3000</definedName>
    <definedName name="IQ_YTDMONTH" hidden="1">130000</definedName>
    <definedName name="IQ_Z_SCORE" hidden="1">"c1339"</definedName>
    <definedName name="IQRA3" hidden="1">"$A$4:$A$1179"</definedName>
    <definedName name="IQRAL11" hidden="1">"$AL$12"</definedName>
    <definedName name="IQRAL12" hidden="1">"$AL$13"</definedName>
    <definedName name="IQRAL13" hidden="1">"$AL$14"</definedName>
    <definedName name="IQRAL14" hidden="1">"$AL$15"</definedName>
    <definedName name="IQRAL15" hidden="1">"$AL$16"</definedName>
    <definedName name="IQRAL16" hidden="1">"$AL$17"</definedName>
    <definedName name="IQRAL17" hidden="1">"$AL$18"</definedName>
    <definedName name="IQRAL18" hidden="1">"$AL$19"</definedName>
    <definedName name="IQRAL19" hidden="1">"$AL$20"</definedName>
    <definedName name="IQRAL20" hidden="1">"$AL$21"</definedName>
    <definedName name="IQRAL21" hidden="1">"$AL$22"</definedName>
    <definedName name="IQRAL22" hidden="1">"$AL$23"</definedName>
    <definedName name="IQRAL24" hidden="1">"$AL$25"</definedName>
    <definedName name="IQRAL25" hidden="1">"$AL$26"</definedName>
    <definedName name="IQRAL26" hidden="1">"$AL$27"</definedName>
    <definedName name="IQRAL27" hidden="1">"$AL$28"</definedName>
    <definedName name="IQRAL28" hidden="1">"$AL$29"</definedName>
    <definedName name="IQRAL29" hidden="1">"$AL$30"</definedName>
    <definedName name="IQRAL3" hidden="1">"$AL$4"</definedName>
    <definedName name="IQRAL30" hidden="1">"$AL$31"</definedName>
    <definedName name="IQRAL31" hidden="1">"$AL$32"</definedName>
    <definedName name="IQRAL32" hidden="1">"$AL$33"</definedName>
    <definedName name="IQRAL33" hidden="1">"$AL$34"</definedName>
    <definedName name="IQRAL34" hidden="1">"$AL$35"</definedName>
    <definedName name="IQRAL35" hidden="1">"$AL$36"</definedName>
    <definedName name="IQRAL36" hidden="1">"$AL$37"</definedName>
    <definedName name="IQRAL37" hidden="1">"$AL$38"</definedName>
    <definedName name="IQRAL4" hidden="1">"$AL$5"</definedName>
    <definedName name="IQRAL6" hidden="1">"$AL$7"</definedName>
    <definedName name="IQRAL7" hidden="1">"$AL$8"</definedName>
    <definedName name="IQRAL8" hidden="1">"$AL$9"</definedName>
    <definedName name="IQRAL9" hidden="1">"$AL$10"</definedName>
    <definedName name="IQRC10" hidden="1">"$C$11:$C$863"</definedName>
    <definedName name="IQRC11" hidden="1">"$C$12:$C$864"</definedName>
    <definedName name="IQRC12" hidden="1">"$C$13:$C$865"</definedName>
    <definedName name="IQRC13" hidden="1">"$C$14:$C$866"</definedName>
    <definedName name="IQRC14" hidden="1">"$C$15:$C$867"</definedName>
    <definedName name="IQRC15" hidden="1">"$C$16:$C$868"</definedName>
    <definedName name="IQRC16" hidden="1">"$C$17:$C$869"</definedName>
    <definedName name="IQRC17" hidden="1">"$C$18:$C$870"</definedName>
    <definedName name="IQRC18" hidden="1">"$C$19:$C$871"</definedName>
    <definedName name="IQRC19" hidden="1">"$C$20:$C$872"</definedName>
    <definedName name="IQRC20" hidden="1">"$C$21:$C$873"</definedName>
    <definedName name="IQRC21" hidden="1">"$C$22:$C$874"</definedName>
    <definedName name="IQRC22" hidden="1">"$C$23:$C$875"</definedName>
    <definedName name="IQRC23" hidden="1">"$C$24:$C$876"</definedName>
    <definedName name="IQRC24" hidden="1">"$C$25:$C$877"</definedName>
    <definedName name="IQRC25" hidden="1">"$C$26:$C$878"</definedName>
    <definedName name="IQRC26" hidden="1">"$C$27:$C$879"</definedName>
    <definedName name="IQRC27" hidden="1">"$C$28:$C$880"</definedName>
    <definedName name="IQRC28" hidden="1">"$C$29:$C$881"</definedName>
    <definedName name="IQRC29" hidden="1">"$C$30:$C$882"</definedName>
    <definedName name="IQRC30" hidden="1">"$C$31:$C$883"</definedName>
    <definedName name="IQRC31" hidden="1">"$C$32:$C$884"</definedName>
    <definedName name="IQRC32" hidden="1">"$C$33:$C$885"</definedName>
    <definedName name="IQRC33" hidden="1">"$C$34:$C$886"</definedName>
    <definedName name="IQRC34" hidden="1">"$C$35:$C$887"</definedName>
    <definedName name="IQRC35" hidden="1">"$C$36:$C$888"</definedName>
    <definedName name="IQRC36" hidden="1">"$C$37:$C$889"</definedName>
    <definedName name="IQRC37" hidden="1">"$C$38:$C$890"</definedName>
    <definedName name="IQRC38" hidden="1">"$C$39:$C$891"</definedName>
    <definedName name="IQRC39" hidden="1">"$C$40:$C$892"</definedName>
    <definedName name="IQRC4" hidden="1">"$C$5:$C$857"</definedName>
    <definedName name="IQRC40" hidden="1">"$C$41:$C$893"</definedName>
    <definedName name="IQRC42" hidden="1">"$C$43:$C$895"</definedName>
    <definedName name="IQRC44" hidden="1">"$C$45:$C$897"</definedName>
    <definedName name="IQRC5" hidden="1">"$C$6:$C$961"</definedName>
    <definedName name="IQRC6" hidden="1">"$C$7:$C$859"</definedName>
    <definedName name="IQRC7" hidden="1">"$C$8:$C$860"</definedName>
    <definedName name="IQRC8" hidden="1">"$C$9:$C$861"</definedName>
    <definedName name="IQRC9" hidden="1">"$C$10:$C$862"</definedName>
    <definedName name="IQRH41" hidden="1">"$H$42"</definedName>
    <definedName name="IQRH7" hidden="1">"$H$8:$H$43"</definedName>
    <definedName name="iQShowHideColumns" hidden="1">"iQShowAll"</definedName>
    <definedName name="IS_DEMO">#REF!</definedName>
    <definedName name="IS_ESTATE">#REF!</definedName>
    <definedName name="IS_SUMM">#REF!</definedName>
    <definedName name="IS_TRIAL">#REF!</definedName>
    <definedName name="IsColHidden" hidden="1">FALSE</definedName>
    <definedName name="IsLTMColHidden" hidden="1">FALSE</definedName>
    <definedName name="ISS_DEBT_NET" hidden="1">"ISS_DEBT_NET"</definedName>
    <definedName name="ISS_STOCK_NET" hidden="1">"ISS_STOCK_NET"</definedName>
    <definedName name="ISSUED_RANGE">#REF!</definedName>
    <definedName name="iwonder" localSheetId="8" hidden="1">{"PA1",#N/A,FALSE,"BORDMW";"pa2",#N/A,FALSE,"BORDMW";"PA3",#N/A,FALSE,"BORDMW";"PA4",#N/A,FALSE,"BORDMW"}</definedName>
    <definedName name="iwonder" localSheetId="6" hidden="1">{"PA1",#N/A,FALSE,"BORDMW";"pa2",#N/A,FALSE,"BORDMW";"PA3",#N/A,FALSE,"BORDMW";"PA4",#N/A,FALSE,"BORDMW"}</definedName>
    <definedName name="iwonder" hidden="1">{"PA1",#N/A,FALSE,"BORDMW";"pa2",#N/A,FALSE,"BORDMW";"PA3",#N/A,FALSE,"BORDMW";"PA4",#N/A,FALSE,"BORDMW"}</definedName>
    <definedName name="iwonder2" localSheetId="8" hidden="1">{#N/A,#N/A,TRUE,"Main assumptions";#N/A,#N/A,TRUE,"Subscriber projections";#N/A,#N/A,TRUE,"Revenues";#N/A,#N/A,TRUE,"Opex";#N/A,#N/A,TRUE,"Capex";#N/A,#N/A,TRUE,"Working capital";#N/A,#N/A,TRUE,"P&amp;L";#N/A,#N/A,TRUE,"Cash";#N/A,#N/A,TRUE,"Balance";#N/A,#N/A,TRUE,"Valuation";#N/A,#N/A,TRUE,"Bench"}</definedName>
    <definedName name="iwonder2" localSheetId="6" hidden="1">{#N/A,#N/A,TRUE,"Main assumptions";#N/A,#N/A,TRUE,"Subscriber projections";#N/A,#N/A,TRUE,"Revenues";#N/A,#N/A,TRUE,"Opex";#N/A,#N/A,TRUE,"Capex";#N/A,#N/A,TRUE,"Working capital";#N/A,#N/A,TRUE,"P&amp;L";#N/A,#N/A,TRUE,"Cash";#N/A,#N/A,TRUE,"Balance";#N/A,#N/A,TRUE,"Valuation";#N/A,#N/A,TRUE,"Bench"}</definedName>
    <definedName name="iwonder2" hidden="1">{#N/A,#N/A,TRUE,"Main assumptions";#N/A,#N/A,TRUE,"Subscriber projections";#N/A,#N/A,TRUE,"Revenues";#N/A,#N/A,TRUE,"Opex";#N/A,#N/A,TRUE,"Capex";#N/A,#N/A,TRUE,"Working capital";#N/A,#N/A,TRUE,"P&amp;L";#N/A,#N/A,TRUE,"Cash";#N/A,#N/A,TRUE,"Balance";#N/A,#N/A,TRUE,"Valuation";#N/A,#N/A,TRUE,"Bench"}</definedName>
    <definedName name="K2___PARKEDCVW__" hidden="1">"FINANCIALS;A=CK00100TOT;C=ACTUAL;R=LC;UA=D_TOP;E=P500231;UB=TPTOP;UC=F_FISICO;T=2004.DEC;F=PERIODIC;"</definedName>
    <definedName name="K2_ISWBINITED" hidden="1">TRUE</definedName>
    <definedName name="K2_WBEVMODE" hidden="1">-1</definedName>
    <definedName name="K2_WBHASINITMODE" hidden="1">1</definedName>
    <definedName name="KAE">#REF!</definedName>
    <definedName name="KAR">#REF!</definedName>
    <definedName name="kjkj" localSheetId="8" hidden="1">{#N/A,#N/A,FALSE,"Cover";#N/A,#N/A,FALSE,"Contents-Pg1";#N/A,#N/A,FALSE,"High-Com-pg2";#N/A,#N/A,FALSE,"1 Full";#N/A,#N/A,FALSE,"1chts";#N/A,#N/A,FALSE,"Table 2";#N/A,#N/A,FALSE,"3New Iss";#N/A,#N/A,FALSE,"4Money raised";#N/A,#N/A,FALSE,"5Aim";#N/A,#N/A,FALSE,"AiM charts";#N/A,#N/A,FALSE,"6FT Smll";#N/A,#N/A,FALSE,"11SEATS";#N/A,#N/A,FALSE,"12Notes"}</definedName>
    <definedName name="kjkj" localSheetId="6"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KK" localSheetId="8" hidden="1">{#N/A,#N/A,FALSE,"Assessment";#N/A,#N/A,FALSE,"Staffing";#N/A,#N/A,FALSE,"Hires";#N/A,#N/A,FALSE,"Assumptions"}</definedName>
    <definedName name="KKK" localSheetId="6" hidden="1">{#N/A,#N/A,FALSE,"Assessment";#N/A,#N/A,FALSE,"Staffing";#N/A,#N/A,FALSE,"Hires";#N/A,#N/A,FALSE,"Assumptions"}</definedName>
    <definedName name="KKK" hidden="1">{#N/A,#N/A,FALSE,"Assessment";#N/A,#N/A,FALSE,"Staffing";#N/A,#N/A,FALSE,"Hires";#N/A,#N/A,FALSE,"Assumptions"}</definedName>
    <definedName name="kkkkk">#REF!</definedName>
    <definedName name="ladro" localSheetId="8" hidden="1">{"FY97Q1",#N/A,FALSE,"FY97 - Q1";"FY97Q2",#N/A,FALSE,"FY97 - Q2";"FY97Q3",#N/A,FALSE,"FY97 - Q3";"FY97Q4",#N/A,FALSE,"FY97 - Q4"}</definedName>
    <definedName name="ladro" localSheetId="6" hidden="1">{"FY97Q1",#N/A,FALSE,"FY97 - Q1";"FY97Q2",#N/A,FALSE,"FY97 - Q2";"FY97Q3",#N/A,FALSE,"FY97 - Q3";"FY97Q4",#N/A,FALSE,"FY97 - Q4"}</definedName>
    <definedName name="ladro" hidden="1">{"FY97Q1",#N/A,FALSE,"FY97 - Q1";"FY97Q2",#N/A,FALSE,"FY97 - Q2";"FY97Q3",#N/A,FALSE,"FY97 - Q3";"FY97Q4",#N/A,FALSE,"FY97 - Q4"}</definedName>
    <definedName name="LanguageID">#REF!</definedName>
    <definedName name="Last">#REF!</definedName>
    <definedName name="LAST_EBIT_MARGIN" hidden="1">"LAST_EBIT_MARGIN"</definedName>
    <definedName name="LAST_EBITDA_MARGIN" hidden="1">"LAST_EBITDA_MARGIN"</definedName>
    <definedName name="LAST_GROSS_MARGIN" hidden="1">"LAST_GROSS_MARGIN"</definedName>
    <definedName name="LAST_NET_INC_MARGIN" hidden="1">"LAST_NET_INC_MARGIN"</definedName>
    <definedName name="LASTSALEPRICE" hidden="1">"LASTSALEPRICE"</definedName>
    <definedName name="LATESTK" hidden="1">1000</definedName>
    <definedName name="LATESTKNONPRESS" hidden="1">50</definedName>
    <definedName name="LATESTQ" hidden="1">500</definedName>
    <definedName name="LATESTQNONPRESS" hidden="1">100</definedName>
    <definedName name="limcount" hidden="1">1</definedName>
    <definedName name="limone" localSheetId="8" hidden="1">{"FY97Q1 var",#N/A,FALSE,"FY97 - Q1";"FY97Q2 var",#N/A,FALSE,"FY97 - Q2";"FY97Q3 var",#N/A,FALSE,"FY97 - Q3";"FY97Q4 var",#N/A,FALSE,"FY97 - Q4"}</definedName>
    <definedName name="limone" localSheetId="6" hidden="1">{"FY97Q1 var",#N/A,FALSE,"FY97 - Q1";"FY97Q2 var",#N/A,FALSE,"FY97 - Q2";"FY97Q3 var",#N/A,FALSE,"FY97 - Q3";"FY97Q4 var",#N/A,FALSE,"FY97 - Q4"}</definedName>
    <definedName name="limone" hidden="1">{"FY97Q1 var",#N/A,FALSE,"FY97 - Q1";"FY97Q2 var",#N/A,FALSE,"FY97 - Q2";"FY97Q3 var",#N/A,FALSE,"FY97 - Q3";"FY97Q4 var",#N/A,FALSE,"FY97 - Q4"}</definedName>
    <definedName name="ListOffset" hidden="1">1</definedName>
    <definedName name="llll" localSheetId="8" hidden="1">{"'Set-Out'!$A$1:$H$30"}</definedName>
    <definedName name="llll" localSheetId="6" hidden="1">{"'Set-Out'!$A$1:$H$30"}</definedName>
    <definedName name="llll" hidden="1">{"'Set-Out'!$A$1:$H$30"}</definedName>
    <definedName name="LOAN_LOSS" hidden="1">"LOAN_LOSS"</definedName>
    <definedName name="LONG_TERM_DEBT" hidden="1">"LONG_TERM_DEBT"</definedName>
    <definedName name="LONG_TERM_GROWTH" hidden="1">"LONG_TERM_GROWTH"</definedName>
    <definedName name="LONG_TERM_INV" hidden="1">"LONG_TERM_INV"</definedName>
    <definedName name="LOWER_GANT">#REF!</definedName>
    <definedName name="LowPrice" hidden="1">#REF!</definedName>
    <definedName name="LTM_DATE" hidden="1">"LTM_DATE"</definedName>
    <definedName name="LTM_REVENUE_OVER_EMPLOYEES" hidden="1">"LTM_REVENUE_OVER_EMPLOYEES"</definedName>
    <definedName name="M_PlaceofPath" hidden="1">"F:\CMOTZ\excel\ati\ATI_VDF.XLS"</definedName>
    <definedName name="major">1.1</definedName>
    <definedName name="majorvinzari">1.02</definedName>
    <definedName name="MANHRS" localSheetId="8" hidden="1">{"LCCOST",#N/A,FALSE,"FC-3 "}</definedName>
    <definedName name="MANHRS" localSheetId="6" hidden="1">{"LCCOST",#N/A,FALSE,"FC-3 "}</definedName>
    <definedName name="MANHRS" hidden="1">{"LCCOST",#N/A,FALSE,"FC-3 "}</definedName>
    <definedName name="MARKETCAP" hidden="1">"MARKETCAP"</definedName>
    <definedName name="micio" localSheetId="8" hidden="1">{"FY98Q1",#N/A,FALSE,"FY98 - Q1";"FY98Q2",#N/A,FALSE,"FY98 - Q2";"FY98Q3",#N/A,FALSE,"FY98 - Q3";"FY98Q4",#N/A,FALSE,"FY98 - Q4"}</definedName>
    <definedName name="micio" localSheetId="6" hidden="1">{"FY98Q1",#N/A,FALSE,"FY98 - Q1";"FY98Q2",#N/A,FALSE,"FY98 - Q2";"FY98Q3",#N/A,FALSE,"FY98 - Q3";"FY98Q4",#N/A,FALSE,"FY98 - Q4"}</definedName>
    <definedName name="micio" hidden="1">{"FY98Q1",#N/A,FALSE,"FY98 - Q1";"FY98Q2",#N/A,FALSE,"FY98 - Q2";"FY98Q3",#N/A,FALSE,"FY98 - Q3";"FY98Q4",#N/A,FALSE,"FY98 - Q4"}</definedName>
    <definedName name="MINORITY_INTEREST" hidden="1">"MINORITY_INTEREST"</definedName>
    <definedName name="mirto" localSheetId="8" hidden="1">{"FY97Total var",#N/A,FALSE,"FY97 - Total";"FY98Total var",#N/A,FALSE,"FY98 - Total"}</definedName>
    <definedName name="mirto" localSheetId="6" hidden="1">{"FY97Total var",#N/A,FALSE,"FY97 - Total";"FY98Total var",#N/A,FALSE,"FY98 - Total"}</definedName>
    <definedName name="mirto" hidden="1">{"FY97Total var",#N/A,FALSE,"FY97 - Total";"FY98Total var",#N/A,FALSE,"FY98 - Total"}</definedName>
    <definedName name="MISC_EARN_ADJ" hidden="1">"MISC_EARN_ADJ"</definedName>
    <definedName name="MMM" localSheetId="8" hidden="1">{#N/A,#N/A,TRUE,"Main assumptions";#N/A,#N/A,TRUE,"Subscriber projections";#N/A,#N/A,TRUE,"Revenues";#N/A,#N/A,TRUE,"Opex";#N/A,#N/A,TRUE,"Capex";#N/A,#N/A,TRUE,"Working capital";#N/A,#N/A,TRUE,"P&amp;L";#N/A,#N/A,TRUE,"Cash";#N/A,#N/A,TRUE,"Balance";#N/A,#N/A,TRUE,"Valuation";#N/A,#N/A,TRUE,"Bench"}</definedName>
    <definedName name="MMM" localSheetId="6" hidden="1">{#N/A,#N/A,TRUE,"Main assumptions";#N/A,#N/A,TRUE,"Subscriber projections";#N/A,#N/A,TRUE,"Revenues";#N/A,#N/A,TRUE,"Opex";#N/A,#N/A,TRUE,"Capex";#N/A,#N/A,TRUE,"Working capital";#N/A,#N/A,TRUE,"P&amp;L";#N/A,#N/A,TRUE,"Cash";#N/A,#N/A,TRUE,"Balance";#N/A,#N/A,TRUE,"Valuation";#N/A,#N/A,TRUE,"Bench"}</definedName>
    <definedName name="MMM" hidden="1">{#N/A,#N/A,TRUE,"Main assumptions";#N/A,#N/A,TRUE,"Subscriber projections";#N/A,#N/A,TRUE,"Revenues";#N/A,#N/A,TRUE,"Opex";#N/A,#N/A,TRUE,"Capex";#N/A,#N/A,TRUE,"Working capital";#N/A,#N/A,TRUE,"P&amp;L";#N/A,#N/A,TRUE,"Cash";#N/A,#N/A,TRUE,"Balance";#N/A,#N/A,TRUE,"Valuation";#N/A,#N/A,TRUE,"Bench"}</definedName>
    <definedName name="MMMM" localSheetId="8" hidden="1">{"summary",#N/A,FALSE,"comsat"}</definedName>
    <definedName name="MMMM" localSheetId="6" hidden="1">{"summary",#N/A,FALSE,"comsat"}</definedName>
    <definedName name="MMMM" hidden="1">{"summary",#N/A,FALSE,"comsat"}</definedName>
    <definedName name="MONTH_RANGE">#REF!</definedName>
    <definedName name="morto" localSheetId="8" hidden="1">{"FY98Q1 var",#N/A,FALSE,"FY98 - Q1";"FY98Q2 var",#N/A,FALSE,"FY98 - Q2";"FY98Q3 var",#N/A,FALSE,"FY98 - Q3";"FY98Q4 var",#N/A,FALSE,"FY98 - Q4"}</definedName>
    <definedName name="morto" localSheetId="6" hidden="1">{"FY98Q1 var",#N/A,FALSE,"FY98 - Q1";"FY98Q2 var",#N/A,FALSE,"FY98 - Q2";"FY98Q3 var",#N/A,FALSE,"FY98 - Q3";"FY98Q4 var",#N/A,FALSE,"FY98 - Q4"}</definedName>
    <definedName name="morto" hidden="1">{"FY98Q1 var",#N/A,FALSE,"FY98 - Q1";"FY98Q2 var",#N/A,FALSE,"FY98 - Q2";"FY98Q3 var",#N/A,FALSE,"FY98 - Q3";"FY98Q4 var",#N/A,FALSE,"FY98 - Q4"}</definedName>
    <definedName name="name">#REF!</definedName>
    <definedName name="nanai" localSheetId="8" hidden="1">{"FY97Tot nvs",#N/A,FALSE,"FY97 - Total";"FY98Tot nvs",#N/A,FALSE,"FY98 - Total"}</definedName>
    <definedName name="nanai" localSheetId="6" hidden="1">{"FY97Tot nvs",#N/A,FALSE,"FY97 - Total";"FY98Tot nvs",#N/A,FALSE,"FY98 - Total"}</definedName>
    <definedName name="nanai" hidden="1">{"FY97Tot nvs",#N/A,FALSE,"FY97 - Total";"FY98Tot nvs",#N/A,FALSE,"FY98 - Total"}</definedName>
    <definedName name="NANAO" localSheetId="8" hidden="1">{"FY98Q1 var",#N/A,FALSE,"FY98 - Q1";"FY98Q2 var",#N/A,FALSE,"FY98 - Q2";"FY98Q3 var",#N/A,FALSE,"FY98 - Q3";"FY98Q4 var",#N/A,FALSE,"FY98 - Q4"}</definedName>
    <definedName name="NANAO" localSheetId="6" hidden="1">{"FY98Q1 var",#N/A,FALSE,"FY98 - Q1";"FY98Q2 var",#N/A,FALSE,"FY98 - Q2";"FY98Q3 var",#N/A,FALSE,"FY98 - Q3";"FY98Q4 var",#N/A,FALSE,"FY98 - Q4"}</definedName>
    <definedName name="NANAO" hidden="1">{"FY98Q1 var",#N/A,FALSE,"FY98 - Q1";"FY98Q2 var",#N/A,FALSE,"FY98 - Q2";"FY98Q3 var",#N/A,FALSE,"FY98 - Q3";"FY98Q4 var",#N/A,FALSE,"FY98 - Q4"}</definedName>
    <definedName name="NATALE" localSheetId="8" hidden="1">{"FY98Q1 nvs",#N/A,FALSE,"FY98 - Q1";"FY98Q2 nvs",#N/A,FALSE,"FY98 - Q2";"FY98Q3 nvs",#N/A,FALSE,"FY98 - Q3";"FY98Q4 nvs",#N/A,FALSE,"FY98 - Q4"}</definedName>
    <definedName name="NATALE" localSheetId="6" hidden="1">{"FY98Q1 nvs",#N/A,FALSE,"FY98 - Q1";"FY98Q2 nvs",#N/A,FALSE,"FY98 - Q2";"FY98Q3 nvs",#N/A,FALSE,"FY98 - Q3";"FY98Q4 nvs",#N/A,FALSE,"FY98 - Q4"}</definedName>
    <definedName name="NATALE" hidden="1">{"FY98Q1 nvs",#N/A,FALSE,"FY98 - Q1";"FY98Q2 nvs",#N/A,FALSE,"FY98 - Q2";"FY98Q3 nvs",#N/A,FALSE,"FY98 - Q3";"FY98Q4 nvs",#N/A,FALSE,"FY98 - Q4"}</definedName>
    <definedName name="NDS_Total">#REF!</definedName>
    <definedName name="nemo" localSheetId="8" hidden="1">{"FY98Q1",#N/A,FALSE,"FY98 - Q1";"FY98Q2",#N/A,FALSE,"FY98 - Q2";"FY98Q3",#N/A,FALSE,"FY98 - Q3";"FY98Q4",#N/A,FALSE,"FY98 - Q4"}</definedName>
    <definedName name="nemo" localSheetId="6" hidden="1">{"FY98Q1",#N/A,FALSE,"FY98 - Q1";"FY98Q2",#N/A,FALSE,"FY98 - Q2";"FY98Q3",#N/A,FALSE,"FY98 - Q3";"FY98Q4",#N/A,FALSE,"FY98 - Q4"}</definedName>
    <definedName name="nemo" hidden="1">{"FY98Q1",#N/A,FALSE,"FY98 - Q1";"FY98Q2",#N/A,FALSE,"FY98 - Q2";"FY98Q3",#N/A,FALSE,"FY98 - Q3";"FY98Q4",#N/A,FALSE,"FY98 - Q4"}</definedName>
    <definedName name="NEON" localSheetId="8" hidden="1">{"FY98Q1 nvs",#N/A,FALSE,"FY98 - Q1";"FY98Q2 nvs",#N/A,FALSE,"FY98 - Q2";"FY98Q3 nvs",#N/A,FALSE,"FY98 - Q3";"FY98Q4 nvs",#N/A,FALSE,"FY98 - Q4"}</definedName>
    <definedName name="NEON" localSheetId="6" hidden="1">{"FY98Q1 nvs",#N/A,FALSE,"FY98 - Q1";"FY98Q2 nvs",#N/A,FALSE,"FY98 - Q2";"FY98Q3 nvs",#N/A,FALSE,"FY98 - Q3";"FY98Q4 nvs",#N/A,FALSE,"FY98 - Q4"}</definedName>
    <definedName name="NEON" hidden="1">{"FY98Q1 nvs",#N/A,FALSE,"FY98 - Q1";"FY98Q2 nvs",#N/A,FALSE,"FY98 - Q2";"FY98Q3 nvs",#N/A,FALSE,"FY98 - Q3";"FY98Q4 nvs",#N/A,FALSE,"FY98 - Q4"}</definedName>
    <definedName name="NERBAT" localSheetId="8" hidden="1">{"FY98Q1 var",#N/A,FALSE,"FY98 - Q1";"FY98Q2 var",#N/A,FALSE,"FY98 - Q2";"FY98Q3 var",#N/A,FALSE,"FY98 - Q3";"FY98Q4 var",#N/A,FALSE,"FY98 - Q4"}</definedName>
    <definedName name="NERBAT" localSheetId="6" hidden="1">{"FY98Q1 var",#N/A,FALSE,"FY98 - Q1";"FY98Q2 var",#N/A,FALSE,"FY98 - Q2";"FY98Q3 var",#N/A,FALSE,"FY98 - Q3";"FY98Q4 var",#N/A,FALSE,"FY98 - Q4"}</definedName>
    <definedName name="NERBAT" hidden="1">{"FY98Q1 var",#N/A,FALSE,"FY98 - Q1";"FY98Q2 var",#N/A,FALSE,"FY98 - Q2";"FY98Q3 var",#N/A,FALSE,"FY98 - Q3";"FY98Q4 var",#N/A,FALSE,"FY98 - Q4"}</definedName>
    <definedName name="NET_CHANGE" hidden="1">"NET_CHANGE"</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TEREST_INC" hidden="1">"NET_INTEREST_INC"</definedName>
    <definedName name="NET_INTEREST_INC_AFTER_LL" hidden="1">"NET_INTEREST_INC_AFTER_LL"</definedName>
    <definedName name="NET_LOANS" hidden="1">"NET_LOANS"</definedName>
    <definedName name="NIENTE" localSheetId="8" hidden="1">{"FY98Q1",#N/A,FALSE,"FY98 - Q1";"FY98Q2",#N/A,FALSE,"FY98 - Q2";"FY98Q3",#N/A,FALSE,"FY98 - Q3";"FY98Q4",#N/A,FALSE,"FY98 - Q4"}</definedName>
    <definedName name="NIENTE" localSheetId="6" hidden="1">{"FY98Q1",#N/A,FALSE,"FY98 - Q1";"FY98Q2",#N/A,FALSE,"FY98 - Q2";"FY98Q3",#N/A,FALSE,"FY98 - Q3";"FY98Q4",#N/A,FALSE,"FY98 - Q4"}</definedName>
    <definedName name="NIENTE" hidden="1">{"FY98Q1",#N/A,FALSE,"FY98 - Q1";"FY98Q2",#N/A,FALSE,"FY98 - Q2";"FY98Q3",#N/A,FALSE,"FY98 - Q3";"FY98Q4",#N/A,FALSE,"FY98 - Q4"}</definedName>
    <definedName name="NIEVA" localSheetId="8" hidden="1">{"FY97Tot nvs",#N/A,FALSE,"FY97 - Total";"FY98Tot nvs",#N/A,FALSE,"FY98 - Total"}</definedName>
    <definedName name="NIEVA" localSheetId="6" hidden="1">{"FY97Tot nvs",#N/A,FALSE,"FY97 - Total";"FY98Tot nvs",#N/A,FALSE,"FY98 - Total"}</definedName>
    <definedName name="NIEVA" hidden="1">{"FY97Tot nvs",#N/A,FALSE,"FY97 - Total";"FY98Tot nvs",#N/A,FALSE,"FY98 - Total"}</definedName>
    <definedName name="nnn" localSheetId="8" hidden="1">{#N/A,#N/A,FALSE,"Assessment";#N/A,#N/A,FALSE,"Staffing";#N/A,#N/A,FALSE,"Hires";#N/A,#N/A,FALSE,"Assumptions"}</definedName>
    <definedName name="nnn" localSheetId="6" hidden="1">{#N/A,#N/A,FALSE,"Assessment";#N/A,#N/A,FALSE,"Staffing";#N/A,#N/A,FALSE,"Hires";#N/A,#N/A,FALSE,"Assumptions"}</definedName>
    <definedName name="nnn" hidden="1">{#N/A,#N/A,FALSE,"Assessment";#N/A,#N/A,FALSE,"Staffing";#N/A,#N/A,FALSE,"Hires";#N/A,#N/A,FALSE,"Assumptions"}</definedName>
    <definedName name="NOBILE" localSheetId="8" hidden="1">{"FY97Tot nvs",#N/A,FALSE,"FY97 - Total";"FY98Tot nvs",#N/A,FALSE,"FY98 - Total"}</definedName>
    <definedName name="NOBILE" localSheetId="6" hidden="1">{"FY97Tot nvs",#N/A,FALSE,"FY97 - Total";"FY98Tot nvs",#N/A,FALSE,"FY98 - Total"}</definedName>
    <definedName name="NOBILE" hidden="1">{"FY97Tot nvs",#N/A,FALSE,"FY97 - Total";"FY98Tot nvs",#N/A,FALSE,"FY98 - Total"}</definedName>
    <definedName name="NON" localSheetId="8" hidden="1">{"FY97Total",#N/A,FALSE,"FY97 - Total";"FY98Total",#N/A,FALSE,"FY98 - Total"}</definedName>
    <definedName name="NON" localSheetId="6" hidden="1">{"FY97Total",#N/A,FALSE,"FY97 - Total";"FY98Total",#N/A,FALSE,"FY98 - Total"}</definedName>
    <definedName name="NON" hidden="1">{"FY97Total",#N/A,FALSE,"FY97 - Total";"FY98Total",#N/A,FALSE,"FY98 - Total"}</definedName>
    <definedName name="NON_CASH" hidden="1">"NON_CASH"</definedName>
    <definedName name="NON_INTEREST_EXP" hidden="1">"NON_INTEREST_EXP"</definedName>
    <definedName name="NON_INTEREST_INC" hidden="1">"NON_INTEREST_INC"</definedName>
    <definedName name="NONA" localSheetId="8" hidden="1">{"FY97Total",#N/A,FALSE,"FY97 - Total";"FY98Total",#N/A,FALSE,"FY98 - Total"}</definedName>
    <definedName name="NONA" localSheetId="6" hidden="1">{"FY97Total",#N/A,FALSE,"FY97 - Total";"FY98Total",#N/A,FALSE,"FY98 - Total"}</definedName>
    <definedName name="NONA" hidden="1">{"FY97Total",#N/A,FALSE,"FY97 - Total";"FY98Total",#N/A,FALSE,"FY98 - Total"}</definedName>
    <definedName name="NONAS" localSheetId="8" hidden="1">{"FY98Q1 var",#N/A,FALSE,"FY98 - Q1";"FY98Q2 var",#N/A,FALSE,"FY98 - Q2";"FY98Q3 var",#N/A,FALSE,"FY98 - Q3";"FY98Q4 var",#N/A,FALSE,"FY98 - Q4"}</definedName>
    <definedName name="NONAS" localSheetId="6" hidden="1">{"FY98Q1 var",#N/A,FALSE,"FY98 - Q1";"FY98Q2 var",#N/A,FALSE,"FY98 - Q2";"FY98Q3 var",#N/A,FALSE,"FY98 - Q3";"FY98Q4 var",#N/A,FALSE,"FY98 - Q4"}</definedName>
    <definedName name="NONAS" hidden="1">{"FY98Q1 var",#N/A,FALSE,"FY98 - Q1";"FY98Q2 var",#N/A,FALSE,"FY98 - Q2";"FY98Q3 var",#N/A,FALSE,"FY98 - Q3";"FY98Q4 var",#N/A,FALSE,"FY98 - Q4"}</definedName>
    <definedName name="NONIO" localSheetId="8" hidden="1">{"FY97Total",#N/A,FALSE,"FY97 - Total";"FY98Total",#N/A,FALSE,"FY98 - Total"}</definedName>
    <definedName name="NONIO" localSheetId="6" hidden="1">{"FY97Total",#N/A,FALSE,"FY97 - Total";"FY98Total",#N/A,FALSE,"FY98 - Total"}</definedName>
    <definedName name="NONIO" hidden="1">{"FY97Total",#N/A,FALSE,"FY97 - Total";"FY98Total",#N/A,FALSE,"FY98 - Total"}</definedName>
    <definedName name="NONNO" localSheetId="8" hidden="1">{"FY97Tot nvs",#N/A,FALSE,"FY97 - Total";"FY98Tot nvs",#N/A,FALSE,"FY98 - Total"}</definedName>
    <definedName name="NONNO" localSheetId="6" hidden="1">{"FY97Tot nvs",#N/A,FALSE,"FY97 - Total";"FY98Tot nvs",#N/A,FALSE,"FY98 - Total"}</definedName>
    <definedName name="NONNO" hidden="1">{"FY97Tot nvs",#N/A,FALSE,"FY97 - Total";"FY98Tot nvs",#N/A,FALSE,"FY98 - Total"}</definedName>
    <definedName name="nono" localSheetId="8" hidden="1">{"FY97Q1",#N/A,FALSE,"FY97 - Q1";"FY97Q2",#N/A,FALSE,"FY97 - Q2";"FY97Q3",#N/A,FALSE,"FY97 - Q3";"FY97Q4",#N/A,FALSE,"FY97 - Q4"}</definedName>
    <definedName name="nono" localSheetId="6" hidden="1">{"FY97Q1",#N/A,FALSE,"FY97 - Q1";"FY97Q2",#N/A,FALSE,"FY97 - Q2";"FY97Q3",#N/A,FALSE,"FY97 - Q3";"FY97Q4",#N/A,FALSE,"FY97 - Q4"}</definedName>
    <definedName name="nono" hidden="1">{"FY97Q1",#N/A,FALSE,"FY97 - Q1";"FY97Q2",#N/A,FALSE,"FY97 - Q2";"FY97Q3",#N/A,FALSE,"FY97 - Q3";"FY97Q4",#N/A,FALSE,"FY97 - Q4"}</definedName>
    <definedName name="NORMA" localSheetId="8" hidden="1">{"FY97Q1 nvs",#N/A,FALSE,"FY97 - Q1";"FY97Q2 nvs",#N/A,FALSE,"FY97 - Q2";"FY97Q3 nvs",#N/A,FALSE,"FY97 - Q3";"FY97Q4 nvs",#N/A,FALSE,"FY97 - Q4"}</definedName>
    <definedName name="NORMA" localSheetId="6" hidden="1">{"FY97Q1 nvs",#N/A,FALSE,"FY97 - Q1";"FY97Q2 nvs",#N/A,FALSE,"FY97 - Q2";"FY97Q3 nvs",#N/A,FALSE,"FY97 - Q3";"FY97Q4 nvs",#N/A,FALSE,"FY97 - Q4"}</definedName>
    <definedName name="NORMA" hidden="1">{"FY97Q1 nvs",#N/A,FALSE,"FY97 - Q1";"FY97Q2 nvs",#N/A,FALSE,"FY97 - Q2";"FY97Q3 nvs",#N/A,FALSE,"FY97 - Q3";"FY97Q4 nvs",#N/A,FALSE,"FY97 - Q4"}</definedName>
    <definedName name="NORMAL_INC_AFTER" hidden="1">"NORMAL_INC_AFTER"</definedName>
    <definedName name="NORMAL_INC_AVAIL" hidden="1">"NORMAL_INC_AVAIL"</definedName>
    <definedName name="NORMAL_INC_BEFORE" hidden="1">"NORMAL_INC_BEFORE"</definedName>
    <definedName name="norna" localSheetId="8" hidden="1">{"FY97Q1 nvs",#N/A,FALSE,"FY97 - Q1";"FY97Q2 nvs",#N/A,FALSE,"FY97 - Q2";"FY97Q3 nvs",#N/A,FALSE,"FY97 - Q3";"FY97Q4 nvs",#N/A,FALSE,"FY97 - Q4"}</definedName>
    <definedName name="norna" localSheetId="6" hidden="1">{"FY97Q1 nvs",#N/A,FALSE,"FY97 - Q1";"FY97Q2 nvs",#N/A,FALSE,"FY97 - Q2";"FY97Q3 nvs",#N/A,FALSE,"FY97 - Q3";"FY97Q4 nvs",#N/A,FALSE,"FY97 - Q4"}</definedName>
    <definedName name="norna" hidden="1">{"FY97Q1 nvs",#N/A,FALSE,"FY97 - Q1";"FY97Q2 nvs",#N/A,FALSE,"FY97 - Q2";"FY97Q3 nvs",#N/A,FALSE,"FY97 - Q3";"FY97Q4 nvs",#N/A,FALSE,"FY97 - Q4"}</definedName>
    <definedName name="NORSA" localSheetId="8" hidden="1">{"FY97Total var",#N/A,FALSE,"FY97 - Total";"FY98Total var",#N/A,FALSE,"FY98 - Total"}</definedName>
    <definedName name="NORSA" localSheetId="6" hidden="1">{"FY97Total var",#N/A,FALSE,"FY97 - Total";"FY98Total var",#N/A,FALSE,"FY98 - Total"}</definedName>
    <definedName name="NORSA" hidden="1">{"FY97Total var",#N/A,FALSE,"FY97 - Total";"FY98Total var",#N/A,FALSE,"FY98 - Total"}</definedName>
    <definedName name="NORTIZO" localSheetId="8" hidden="1">{"FY97Tot nvs",#N/A,FALSE,"FY97 - Total";"FY98Tot nvs",#N/A,FALSE,"FY98 - Total"}</definedName>
    <definedName name="NORTIZO" localSheetId="6" hidden="1">{"FY97Tot nvs",#N/A,FALSE,"FY97 - Total";"FY98Tot nvs",#N/A,FALSE,"FY98 - Total"}</definedName>
    <definedName name="NORTIZO" hidden="1">{"FY97Tot nvs",#N/A,FALSE,"FY97 - Total";"FY98Tot nvs",#N/A,FALSE,"FY98 - Total"}</definedName>
    <definedName name="NOTA" localSheetId="8" hidden="1">{"FY98Q1 nvs",#N/A,FALSE,"FY98 - Q1";"FY98Q2 nvs",#N/A,FALSE,"FY98 - Q2";"FY98Q3 nvs",#N/A,FALSE,"FY98 - Q3";"FY98Q4 nvs",#N/A,FALSE,"FY98 - Q4"}</definedName>
    <definedName name="NOTA" localSheetId="6" hidden="1">{"FY98Q1 nvs",#N/A,FALSE,"FY98 - Q1";"FY98Q2 nvs",#N/A,FALSE,"FY98 - Q2";"FY98Q3 nvs",#N/A,FALSE,"FY98 - Q3";"FY98Q4 nvs",#N/A,FALSE,"FY98 - Q4"}</definedName>
    <definedName name="NOTA" hidden="1">{"FY98Q1 nvs",#N/A,FALSE,"FY98 - Q1";"FY98Q2 nvs",#N/A,FALSE,"FY98 - Q2";"FY98Q3 nvs",#N/A,FALSE,"FY98 - Q3";"FY98Q4 nvs",#N/A,FALSE,"FY98 - Q4"}</definedName>
    <definedName name="NOTAI" localSheetId="8" hidden="1">{"FY97Q1",#N/A,FALSE,"FY97 - Q1";"FY97Q2",#N/A,FALSE,"FY97 - Q2";"FY97Q3",#N/A,FALSE,"FY97 - Q3";"FY97Q4",#N/A,FALSE,"FY97 - Q4"}</definedName>
    <definedName name="NOTAI" localSheetId="6" hidden="1">{"FY97Q1",#N/A,FALSE,"FY97 - Q1";"FY97Q2",#N/A,FALSE,"FY97 - Q2";"FY97Q3",#N/A,FALSE,"FY97 - Q3";"FY97Q4",#N/A,FALSE,"FY97 - Q4"}</definedName>
    <definedName name="NOTAI" hidden="1">{"FY97Q1",#N/A,FALSE,"FY97 - Q1";"FY97Q2",#N/A,FALSE,"FY97 - Q2";"FY97Q3",#N/A,FALSE,"FY97 - Q3";"FY97Q4",#N/A,FALSE,"FY97 - Q4"}</definedName>
    <definedName name="NOTAIO" localSheetId="8" hidden="1">{"FY98Q1",#N/A,FALSE,"FY98 - Q1";"FY98Q2",#N/A,FALSE,"FY98 - Q2";"FY98Q3",#N/A,FALSE,"FY98 - Q3";"FY98Q4",#N/A,FALSE,"FY98 - Q4"}</definedName>
    <definedName name="NOTAIO" localSheetId="6" hidden="1">{"FY98Q1",#N/A,FALSE,"FY98 - Q1";"FY98Q2",#N/A,FALSE,"FY98 - Q2";"FY98Q3",#N/A,FALSE,"FY98 - Q3";"FY98Q4",#N/A,FALSE,"FY98 - Q4"}</definedName>
    <definedName name="NOTAIO" hidden="1">{"FY98Q1",#N/A,FALSE,"FY98 - Q1";"FY98Q2",#N/A,FALSE,"FY98 - Q2";"FY98Q3",#N/A,FALSE,"FY98 - Q3";"FY98Q4",#N/A,FALSE,"FY98 - Q4"}</definedName>
    <definedName name="NOTES_PAY" hidden="1">"NOTES_PAY"</definedName>
    <definedName name="NOTRBA" localSheetId="8" hidden="1">{"FY97Q1",#N/A,FALSE,"FY97 - Q1";"FY97Q2",#N/A,FALSE,"FY97 - Q2";"FY97Q3",#N/A,FALSE,"FY97 - Q3";"FY97Q4",#N/A,FALSE,"FY97 - Q4"}</definedName>
    <definedName name="NOTRBA" localSheetId="6" hidden="1">{"FY97Q1",#N/A,FALSE,"FY97 - Q1";"FY97Q2",#N/A,FALSE,"FY97 - Q2";"FY97Q3",#N/A,FALSE,"FY97 - Q3";"FY97Q4",#N/A,FALSE,"FY97 - Q4"}</definedName>
    <definedName name="NOTRBA" hidden="1">{"FY97Q1",#N/A,FALSE,"FY97 - Q1";"FY97Q2",#N/A,FALSE,"FY97 - Q2";"FY97Q3",#N/A,FALSE,"FY97 - Q3";"FY97Q4",#N/A,FALSE,"FY97 - Q4"}</definedName>
    <definedName name="o" localSheetId="8" hidden="1">{#N/A,#N/A,FALSE,"PRJCTED QTRLY QTY's"}</definedName>
    <definedName name="o" localSheetId="6" hidden="1">{#N/A,#N/A,FALSE,"PRJCTED QTRLY QTY's"}</definedName>
    <definedName name="o" hidden="1">{#N/A,#N/A,FALSE,"PRJCTED QTRLY QTY's"}</definedName>
    <definedName name="OCTBS" localSheetId="8" hidden="1">{#N/A,#N/A,FALSE,"Assump2";#N/A,#N/A,FALSE,"Income2";#N/A,#N/A,FALSE,"Balance2";#N/A,#N/A,FALSE,"DCF Filter";#N/A,#N/A,FALSE,"Trans Assump2";#N/A,#N/A,FALSE,"Combined Income2";#N/A,#N/A,FALSE,"Combined Balance2"}</definedName>
    <definedName name="OCTBS" localSheetId="6" hidden="1">{#N/A,#N/A,FALSE,"Assump2";#N/A,#N/A,FALSE,"Income2";#N/A,#N/A,FALSE,"Balance2";#N/A,#N/A,FALSE,"DCF Filter";#N/A,#N/A,FALSE,"Trans Assump2";#N/A,#N/A,FALSE,"Combined Income2";#N/A,#N/A,FALSE,"Combined Balance2"}</definedName>
    <definedName name="OCTBS" hidden="1">{#N/A,#N/A,FALSE,"Assump2";#N/A,#N/A,FALSE,"Income2";#N/A,#N/A,FALSE,"Balance2";#N/A,#N/A,FALSE,"DCF Filter";#N/A,#N/A,FALSE,"Trans Assump2";#N/A,#N/A,FALSE,"Combined Income2";#N/A,#N/A,FALSE,"Combined Balance2"}</definedName>
    <definedName name="OPENPRICE" hidden="1">"OPENPRICE"</definedName>
    <definedName name="OPER_INC" hidden="1">"OPER_INC"</definedName>
    <definedName name="os" localSheetId="8" hidden="1">{#N/A,#N/A,FALSE,"Cover";#N/A,#N/A,FALSE,"Contents-Pg1";#N/A,#N/A,FALSE,"High-Com-pg2";#N/A,#N/A,FALSE,"1 Full";#N/A,#N/A,FALSE,"1chts";#N/A,#N/A,FALSE,"Table 2";#N/A,#N/A,FALSE,"3New Iss";#N/A,#N/A,FALSE,"4Money raised";#N/A,#N/A,FALSE,"5Aim";#N/A,#N/A,FALSE,"AiM charts";#N/A,#N/A,FALSE,"6FT Smll";#N/A,#N/A,FALSE,"11SEATS";#N/A,#N/A,FALSE,"12Notes"}</definedName>
    <definedName name="os" localSheetId="6"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THER_ASSETS" hidden="1">"OTHER_ASSETS"</definedName>
    <definedName name="OTHER_CURRENT_ASSETS" hidden="1">"OTHER_CURRENT_ASSETS"</definedName>
    <definedName name="OTHER_CURRENT_LIAB" hidden="1">"OTHER_CURRENT_LIAB"</definedName>
    <definedName name="OTHER_EARNING" hidden="1">"OTHER_EARNING"</definedName>
    <definedName name="OTHER_EQUITY" hidden="1">"OTHER_EQUITY"</definedName>
    <definedName name="OTHER_INVESTING" hidden="1">"OTHER_INVESTING"</definedName>
    <definedName name="OTHER_LIAB" hidden="1">"OTHER_LIAB"</definedName>
    <definedName name="OTHER_LONG_TERM" hidden="1">"OTHER_LONG_TERM"</definedName>
    <definedName name="OTHER_NET" hidden="1">"OTHER_NET"</definedName>
    <definedName name="OTHER_OPER" hidden="1">"OTHER_OPER"</definedName>
    <definedName name="OTHER_RECEIV" hidden="1">"OTHER_RECEIV"</definedName>
    <definedName name="OTHER_REVENUE" hidden="1">"OTHER_REVENUE"</definedName>
    <definedName name="p" localSheetId="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p"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p"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PAY_ACCRUED" hidden="1">"PAY_ACCRUED"</definedName>
    <definedName name="PC">#REF!</definedName>
    <definedName name="PERIODDATE" hidden="1">"PERIODDATE"</definedName>
    <definedName name="PK">#REF!</definedName>
    <definedName name="PL">#REF!</definedName>
    <definedName name="PLATFORM_RANGE_INPUT">#REF!</definedName>
    <definedName name="pompelmo" localSheetId="8" hidden="1">{"FY98Q1 var",#N/A,FALSE,"FY98 - Q1";"FY98Q2 var",#N/A,FALSE,"FY98 - Q2";"FY98Q3 var",#N/A,FALSE,"FY98 - Q3";"FY98Q4 var",#N/A,FALSE,"FY98 - Q4"}</definedName>
    <definedName name="pompelmo" localSheetId="6" hidden="1">{"FY98Q1 var",#N/A,FALSE,"FY98 - Q1";"FY98Q2 var",#N/A,FALSE,"FY98 - Q2";"FY98Q3 var",#N/A,FALSE,"FY98 - Q3";"FY98Q4 var",#N/A,FALSE,"FY98 - Q4"}</definedName>
    <definedName name="pompelmo" hidden="1">{"FY98Q1 var",#N/A,FALSE,"FY98 - Q1";"FY98Q2 var",#N/A,FALSE,"FY98 - Q2";"FY98Q3 var",#N/A,FALSE,"FY98 - Q3";"FY98Q4 var",#N/A,FALSE,"FY98 - Q4"}</definedName>
    <definedName name="PORT_PrjPeriods">#REF!</definedName>
    <definedName name="PREF_DIVID" hidden="1">"PREF_DIVID"</definedName>
    <definedName name="PREF_STOCK" hidden="1">"PREF_STOCK"</definedName>
    <definedName name="PREP_MUST_START">#REF!</definedName>
    <definedName name="PREPAID_EXPEN" hidden="1">"PREPAID_EXPEN"</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ice">#REF!</definedName>
    <definedName name="PRICE_OVER_EPS_EST" hidden="1">"PRICE_OVER_EPS_EST"</definedName>
    <definedName name="PRICE_OVER_EPS_EST_1" hidden="1">"PRICE_OVER_EPS_EST_1"</definedName>
    <definedName name="PRICE_OVER_LTM_EPS" hidden="1">"PRICE_OVER_LTM_EPS"</definedName>
    <definedName name="PRINT10" hidden="1">#REF!</definedName>
    <definedName name="Prj_Name">#REF!</definedName>
    <definedName name="PRJ_Step">#REF!</definedName>
    <definedName name="PRO_FORMA_BASIC_EPS" hidden="1">"PRO_FORMA_BASIC_EPS"</definedName>
    <definedName name="PRO_FORMA_DILUT_EPS" hidden="1">"PRO_FORMA_DILUT_EPS"</definedName>
    <definedName name="PRO_FORMA_NET_INC" hidden="1">"PRO_FORMA_NET_INC"</definedName>
    <definedName name="PRODUCT_COST_SHEET">#REF!</definedName>
    <definedName name="Product_Name">#REF!</definedName>
    <definedName name="PROJECTED_ANIMATION_START">#REF!</definedName>
    <definedName name="PROPERTY_GROSS" hidden="1">"PROPERTY_GROSS"</definedName>
    <definedName name="PROPERTY_NET" hidden="1">"PROPERTY_NET"</definedName>
    <definedName name="PT">#REF!</definedName>
    <definedName name="PUB_UserID" hidden="1">"MAYERX"</definedName>
    <definedName name="q" localSheetId="8" hidden="1">{"'PRODUCTIONCOST SHEET'!$B$3:$G$48"}</definedName>
    <definedName name="q" localSheetId="6" hidden="1">{"'PRODUCTIONCOST SHEET'!$B$3:$G$48"}</definedName>
    <definedName name="q" hidden="1">{"'PRODUCTIONCOST SHEET'!$B$3:$G$48"}</definedName>
    <definedName name="QUICK_RATIO" hidden="1">"QUICK_RATIO"</definedName>
    <definedName name="qweqw" localSheetId="8" hidden="1">{"FY97Q1 var",#N/A,FALSE,"FY97 - Q1";"FY97Q2 var",#N/A,FALSE,"FY97 - Q2";"FY97Q3 var",#N/A,FALSE,"FY97 - Q3";"FY97Q4 var",#N/A,FALSE,"FY97 - Q4"}</definedName>
    <definedName name="qweqw" localSheetId="6" hidden="1">{"FY97Q1 var",#N/A,FALSE,"FY97 - Q1";"FY97Q2 var",#N/A,FALSE,"FY97 - Q2";"FY97Q3 var",#N/A,FALSE,"FY97 - Q3";"FY97Q4 var",#N/A,FALSE,"FY97 - Q4"}</definedName>
    <definedName name="qweqw" hidden="1">{"FY97Q1 var",#N/A,FALSE,"FY97 - Q1";"FY97Q2 var",#N/A,FALSE,"FY97 - Q2";"FY97Q3 var",#N/A,FALSE,"FY97 - Q3";"FY97Q4 var",#N/A,FALSE,"FY97 - Q4"}</definedName>
    <definedName name="qwer" localSheetId="8" hidden="1">{"FY97Total",#N/A,FALSE,"FY97 - Total";"FY98Total",#N/A,FALSE,"FY98 - Total"}</definedName>
    <definedName name="qwer" localSheetId="6" hidden="1">{"FY97Total",#N/A,FALSE,"FY97 - Total";"FY98Total",#N/A,FALSE,"FY98 - Total"}</definedName>
    <definedName name="qwer" hidden="1">{"FY97Total",#N/A,FALSE,"FY97 - Total";"FY98Total",#N/A,FALSE,"FY98 - Total"}</definedName>
    <definedName name="qwerqert" hidden="1">#REF!</definedName>
    <definedName name="qwewq" localSheetId="8" hidden="1">{"FY97Q1",#N/A,FALSE,"FY97 - Q1";"FY97Q2",#N/A,FALSE,"FY97 - Q2";"FY97Q3",#N/A,FALSE,"FY97 - Q3";"FY97Q4",#N/A,FALSE,"FY97 - Q4"}</definedName>
    <definedName name="qwewq" localSheetId="6" hidden="1">{"FY97Q1",#N/A,FALSE,"FY97 - Q1";"FY97Q2",#N/A,FALSE,"FY97 - Q2";"FY97Q3",#N/A,FALSE,"FY97 - Q3";"FY97Q4",#N/A,FALSE,"FY97 - Q4"}</definedName>
    <definedName name="qwewq" hidden="1">{"FY97Q1",#N/A,FALSE,"FY97 - Q1";"FY97Q2",#N/A,FALSE,"FY97 - Q2";"FY97Q3",#N/A,FALSE,"FY97 - Q3";"FY97Q4",#N/A,FALSE,"FY97 - Q4"}</definedName>
    <definedName name="RANGE_2_OR3D_INPUT">#REF!</definedName>
    <definedName name="Rank" localSheetId="8" hidden="1">{#N/A,#N/A,FALSE,"TRS";#N/A,#N/A,FALSE,"TRS (Period)";#N/A,#N/A,FALSE,"Industry &amp; Market";#N/A,#N/A,FALSE,"TRS Vs GDP Growth";#N/A,#N/A,FALSE,"TRS Vs GDP Cycle";#N/A,#N/A,FALSE,"TRS Vs Interest Rate";#N/A,#N/A,FALSE,"TRS Vs Int Rate Change Cycle";#N/A,#N/A,FALSE,"TRS Vs Real Sales Growth";#N/A,#N/A,FALSE,"Corr(Sales &amp; TRS)";#N/A,#N/A,FALSE,"Corr(ROIC &amp; TRS)";#N/A,#N/A,FALSE,"Corr(MktCap &amp; TRS)";#N/A,#N/A,FALSE,"Corr(TRS &amp; TRS)";#N/A,#N/A,FALSE,"Excess TRS";#N/A,#N/A,FALSE,"Rolling TRS";#N/A,#N/A,FALSE,"Industry MktCap %";#N/A,#N/A,FALSE,"Industry Vs Economy-MktCap";#N/A,#N/A,FALSE,"TRS Dispersion"}</definedName>
    <definedName name="Rank" localSheetId="6" hidden="1">{#N/A,#N/A,FALSE,"TRS";#N/A,#N/A,FALSE,"TRS (Period)";#N/A,#N/A,FALSE,"Industry &amp; Market";#N/A,#N/A,FALSE,"TRS Vs GDP Growth";#N/A,#N/A,FALSE,"TRS Vs GDP Cycle";#N/A,#N/A,FALSE,"TRS Vs Interest Rate";#N/A,#N/A,FALSE,"TRS Vs Int Rate Change Cycle";#N/A,#N/A,FALSE,"TRS Vs Real Sales Growth";#N/A,#N/A,FALSE,"Corr(Sales &amp; TRS)";#N/A,#N/A,FALSE,"Corr(ROIC &amp; TRS)";#N/A,#N/A,FALSE,"Corr(MktCap &amp; TRS)";#N/A,#N/A,FALSE,"Corr(TRS &amp; TRS)";#N/A,#N/A,FALSE,"Excess TRS";#N/A,#N/A,FALSE,"Rolling TRS";#N/A,#N/A,FALSE,"Industry MktCap %";#N/A,#N/A,FALSE,"Industry Vs Economy-MktCap";#N/A,#N/A,FALSE,"TRS Dispersion"}</definedName>
    <definedName name="Rank" hidden="1">{#N/A,#N/A,FALSE,"TRS";#N/A,#N/A,FALSE,"TRS (Period)";#N/A,#N/A,FALSE,"Industry &amp; Market";#N/A,#N/A,FALSE,"TRS Vs GDP Growth";#N/A,#N/A,FALSE,"TRS Vs GDP Cycle";#N/A,#N/A,FALSE,"TRS Vs Interest Rate";#N/A,#N/A,FALSE,"TRS Vs Int Rate Change Cycle";#N/A,#N/A,FALSE,"TRS Vs Real Sales Growth";#N/A,#N/A,FALSE,"Corr(Sales &amp; TRS)";#N/A,#N/A,FALSE,"Corr(ROIC &amp; TRS)";#N/A,#N/A,FALSE,"Corr(MktCap &amp; TRS)";#N/A,#N/A,FALSE,"Corr(TRS &amp; TRS)";#N/A,#N/A,FALSE,"Excess TRS";#N/A,#N/A,FALSE,"Rolling TRS";#N/A,#N/A,FALSE,"Industry MktCap %";#N/A,#N/A,FALSE,"Industry Vs Economy-MktCap";#N/A,#N/A,FALSE,"TRS Dispersion"}</definedName>
    <definedName name="RebutFătare">0.8</definedName>
    <definedName name="RebutÎngrăşare">0.7</definedName>
    <definedName name="REDEEM_PREF_STOCK" hidden="1">"REDEEM_PREF_STOCK"</definedName>
    <definedName name="Report_Date">#REF!</definedName>
    <definedName name="RESEARCH_DEV" hidden="1">"RESEARCH_DEV"</definedName>
    <definedName name="resources" localSheetId="8" hidden="1">{#N/A,#N/A,FALSE,"Assessment";#N/A,#N/A,FALSE,"Staffing";#N/A,#N/A,FALSE,"Hires";#N/A,#N/A,FALSE,"Assumptions"}</definedName>
    <definedName name="resources" localSheetId="6" hidden="1">{#N/A,#N/A,FALSE,"Assessment";#N/A,#N/A,FALSE,"Staffing";#N/A,#N/A,FALSE,"Hires";#N/A,#N/A,FALSE,"Assumptions"}</definedName>
    <definedName name="resources" hidden="1">{#N/A,#N/A,FALSE,"Assessment";#N/A,#N/A,FALSE,"Staffing";#N/A,#N/A,FALSE,"Hires";#N/A,#N/A,FALSE,"Assumptions"}</definedName>
    <definedName name="RETAINED_EARN" hidden="1">"RETAINED_EARN"</definedName>
    <definedName name="RETURN_ASSETS" hidden="1">"RETURN_ASSETS"</definedName>
    <definedName name="RETURN_EQUITY" hidden="1">"RETURN_EQUITY"</definedName>
    <definedName name="RETURN_INVESTMENT" hidden="1">"RETURN_INVESTMENT"</definedName>
    <definedName name="REVENUE_10K" hidden="1">"REVENUE_10K"</definedName>
    <definedName name="REVENUE_10Q" hidden="1">"REVENUE_10Q"</definedName>
    <definedName name="REVENUE_10Q1" hidden="1">"REVENUE_10Q1"</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it">#REF!</definedName>
    <definedName name="rt" localSheetId="8" hidden="1">{"FY97Total var",#N/A,FALSE,"FY97 - Total";"FY98Total var",#N/A,FALSE,"FY98 - Total"}</definedName>
    <definedName name="rt" localSheetId="6" hidden="1">{"FY97Total var",#N/A,FALSE,"FY97 - Total";"FY98Total var",#N/A,FALSE,"FY98 - Total"}</definedName>
    <definedName name="rt" hidden="1">{"FY97Total var",#N/A,FALSE,"FY97 - Total";"FY98Total var",#N/A,FALSE,"FY98 - Total"}</definedName>
    <definedName name="Rwvu.CapersView." hidden="1">#REF!</definedName>
    <definedName name="Rwvu.Japan_Capers_Ed_Pub." hidden="1">#REF!</definedName>
    <definedName name="Rwvu.KJP_CC." hidden="1">#REF!</definedName>
    <definedName name="S" localSheetId="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S"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S"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sadf" localSheetId="8" hidden="1">{"ReportTop",#N/A,FALSE,"report top"}</definedName>
    <definedName name="sadf" localSheetId="6" hidden="1">{"ReportTop",#N/A,FALSE,"report top"}</definedName>
    <definedName name="sadf" hidden="1">{"ReportTop",#N/A,FALSE,"report top"}</definedName>
    <definedName name="sd" hidden="1">#REF!</definedName>
    <definedName name="sde" localSheetId="8" hidden="1">{"FY98Q1",#N/A,FALSE,"FY98 - Q1";"FY98Q2",#N/A,FALSE,"FY98 - Q2";"FY98Q3",#N/A,FALSE,"FY98 - Q3";"FY98Q4",#N/A,FALSE,"FY98 - Q4"}</definedName>
    <definedName name="sde" localSheetId="6" hidden="1">{"FY98Q1",#N/A,FALSE,"FY98 - Q1";"FY98Q2",#N/A,FALSE,"FY98 - Q2";"FY98Q3",#N/A,FALSE,"FY98 - Q3";"FY98Q4",#N/A,FALSE,"FY98 - Q4"}</definedName>
    <definedName name="sde" hidden="1">{"FY98Q1",#N/A,FALSE,"FY98 - Q1";"FY98Q2",#N/A,FALSE,"FY98 - Q2";"FY98Q3",#N/A,FALSE,"FY98 - Q3";"FY98Q4",#N/A,FALSE,"FY98 - Q4"}</definedName>
    <definedName name="sdfasdfsd"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sdfasdfsd"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sdfasdfsd" hidden="1">{TRUE,TRUE,-1.25,-15.5,604.5,369,FALSE,FALSE,TRUE,TRUE,0,1,83,1,38,4,5,4,TRUE,TRUE,3,TRUE,1,TRUE,75,"Swvu.inputs._.raw._.data.","ACwvu.inputs._.raw._.data.",#N/A,FALSE,FALSE,0.5,0.5,0.5,0.5,2,"&amp;F","&amp;A&amp;RPage &amp;P",FALSE,FALSE,FALSE,FALSE,1,60,#N/A,#N/A,"=R1C61:R53C89","=C1:C5",#N/A,#N/A,FALSE,FALSE,FALSE,1,600,600,FALSE,FALSE,TRUE,TRUE,TRUE}</definedName>
    <definedName name="sdfg" localSheetId="8" hidden="1">{#N/A,#N/A,FALSE,"Sheet1"}</definedName>
    <definedName name="sdfg" localSheetId="6" hidden="1">{#N/A,#N/A,FALSE,"Sheet1"}</definedName>
    <definedName name="sdfg" hidden="1">{#N/A,#N/A,FALSE,"Sheet1"}</definedName>
    <definedName name="sdry" hidden="1">#REF!</definedName>
    <definedName name="sencount" hidden="1">1</definedName>
    <definedName name="ser" localSheetId="8" hidden="1">{"FY98Q1",#N/A,FALSE,"FY98 - Q1";"FY98Q2",#N/A,FALSE,"FY98 - Q2";"FY98Q3",#N/A,FALSE,"FY98 - Q3";"FY98Q4",#N/A,FALSE,"FY98 - Q4"}</definedName>
    <definedName name="ser" localSheetId="6" hidden="1">{"FY98Q1",#N/A,FALSE,"FY98 - Q1";"FY98Q2",#N/A,FALSE,"FY98 - Q2";"FY98Q3",#N/A,FALSE,"FY98 - Q3";"FY98Q4",#N/A,FALSE,"FY98 - Q4"}</definedName>
    <definedName name="ser" hidden="1">{"FY98Q1",#N/A,FALSE,"FY98 - Q1";"FY98Q2",#N/A,FALSE,"FY98 - Q2";"FY98Q3",#N/A,FALSE,"FY98 - Q3";"FY98Q4",#N/A,FALSE,"FY98 - Q4"}</definedName>
    <definedName name="SGA" hidden="1">"SGA"</definedName>
    <definedName name="SHARESOUTSTANDING" hidden="1">"SHARESOUTSTANDING"</definedName>
    <definedName name="Sheeta" localSheetId="8" hidden="1">{"FY97Tot nvs",#N/A,FALSE,"FY97 - Total";"FY98Tot nvs",#N/A,FALSE,"FY98 - Total"}</definedName>
    <definedName name="Sheeta" localSheetId="6" hidden="1">{"FY97Tot nvs",#N/A,FALSE,"FY97 - Total";"FY98Tot nvs",#N/A,FALSE,"FY98 - Total"}</definedName>
    <definedName name="Sheeta" hidden="1">{"FY97Tot nvs",#N/A,FALSE,"FY97 - Total";"FY98Tot nvs",#N/A,FALSE,"FY98 - Total"}</definedName>
    <definedName name="SHORT_TERM_INVEST" hidden="1">"SHORT_TERM_INVEST"</definedName>
    <definedName name="SIIII" localSheetId="8" hidden="1">{"FY97Q1 var",#N/A,FALSE,"FY97 - Q1";"FY97Q2 var",#N/A,FALSE,"FY97 - Q2";"FY97Q3 var",#N/A,FALSE,"FY97 - Q3";"FY97Q4 var",#N/A,FALSE,"FY97 - Q4"}</definedName>
    <definedName name="SIIII" localSheetId="6" hidden="1">{"FY97Q1 var",#N/A,FALSE,"FY97 - Q1";"FY97Q2 var",#N/A,FALSE,"FY97 - Q2";"FY97Q3 var",#N/A,FALSE,"FY97 - Q3";"FY97Q4 var",#N/A,FALSE,"FY97 - Q4"}</definedName>
    <definedName name="SIIII" hidden="1">{"FY97Q1 var",#N/A,FALSE,"FY97 - Q1";"FY97Q2 var",#N/A,FALSE,"FY97 - Q2";"FY97Q3 var",#N/A,FALSE,"FY97 - Q3";"FY97Q4 var",#N/A,FALSE,"FY97 - Q4"}</definedName>
    <definedName name="solver_lin" hidden="1">0</definedName>
    <definedName name="solver_num" hidden="1">6</definedName>
    <definedName name="solver_rel1" hidden="1">1</definedName>
    <definedName name="solver_rel2" hidden="1">1</definedName>
    <definedName name="solver_rel3" hidden="1">1</definedName>
    <definedName name="solver_rel4" hidden="1">4</definedName>
    <definedName name="solver_rel5" hidden="1">4</definedName>
    <definedName name="solver_rel6" hidden="1">4</definedName>
    <definedName name="solver_rhs1" hidden="1">15</definedName>
    <definedName name="solver_rhs2" hidden="1">15</definedName>
    <definedName name="solver_rhs3" hidden="1">15</definedName>
    <definedName name="solver_tmp" hidden="1">15</definedName>
    <definedName name="solver_typ" hidden="1">3</definedName>
    <definedName name="solver_val" hidden="1">90</definedName>
    <definedName name="srfs" localSheetId="8" hidden="1">{"FY97Q1",#N/A,FALSE,"FY97 - Q1";"FY97Q2",#N/A,FALSE,"FY97 - Q2";"FY97Q3",#N/A,FALSE,"FY97 - Q3";"FY97Q4",#N/A,FALSE,"FY97 - Q4"}</definedName>
    <definedName name="srfs" localSheetId="6" hidden="1">{"FY97Q1",#N/A,FALSE,"FY97 - Q1";"FY97Q2",#N/A,FALSE,"FY97 - Q2";"FY97Q3",#N/A,FALSE,"FY97 - Q3";"FY97Q4",#N/A,FALSE,"FY97 - Q4"}</definedName>
    <definedName name="srfs" hidden="1">{"FY97Q1",#N/A,FALSE,"FY97 - Q1";"FY97Q2",#N/A,FALSE,"FY97 - Q2";"FY97Q3",#N/A,FALSE,"FY97 - Q3";"FY97Q4",#N/A,FALSE,"FY97 - Q4"}</definedName>
    <definedName name="SrokDY">#REF!</definedName>
    <definedName name="SrokY">#REF!</definedName>
    <definedName name="ss" localSheetId="8" hidden="1">{#N/A,#N/A,FALSE,"DI 2 YEAR MASTER SCHEDULE"}</definedName>
    <definedName name="ss" localSheetId="6" hidden="1">{#N/A,#N/A,FALSE,"DI 2 YEAR MASTER SCHEDULE"}</definedName>
    <definedName name="ss" hidden="1">{#N/A,#N/A,FALSE,"DI 2 YEAR MASTER SCHEDULE"}</definedName>
    <definedName name="sss" localSheetId="8" hidden="1">{#N/A,#N/A,FALSE,"PRJCTED MNTHLY QTY's"}</definedName>
    <definedName name="sss" localSheetId="6" hidden="1">{#N/A,#N/A,FALSE,"PRJCTED MNTHLY QTY's"}</definedName>
    <definedName name="sss" hidden="1">{#N/A,#N/A,FALSE,"PRJCTED MNTHLY QTY's"}</definedName>
    <definedName name="sssss" localSheetId="8" hidden="1">{#N/A,#N/A,FALSE,"PRJCTED QTRLY $'s"}</definedName>
    <definedName name="sssss" localSheetId="6" hidden="1">{#N/A,#N/A,FALSE,"PRJCTED QTRLY $'s"}</definedName>
    <definedName name="sssss" hidden="1">{#N/A,#N/A,FALSE,"PRJCTED QTRLY $'s"}</definedName>
    <definedName name="staffing2" localSheetId="8" hidden="1">{#N/A,#N/A,FALSE,"Assessment";#N/A,#N/A,FALSE,"Staffing";#N/A,#N/A,FALSE,"Hires";#N/A,#N/A,FALSE,"Assumptions"}</definedName>
    <definedName name="staffing2" localSheetId="6" hidden="1">{#N/A,#N/A,FALSE,"Assessment";#N/A,#N/A,FALSE,"Staffing";#N/A,#N/A,FALSE,"Hires";#N/A,#N/A,FALSE,"Assumptions"}</definedName>
    <definedName name="staffing2" hidden="1">{#N/A,#N/A,FALSE,"Assessment";#N/A,#N/A,FALSE,"Staffing";#N/A,#N/A,FALSE,"Hires";#N/A,#N/A,FALSE,"Assumptions"}</definedName>
    <definedName name="Staffing3" localSheetId="8" hidden="1">{#N/A,#N/A,FALSE,"Assessment";#N/A,#N/A,FALSE,"Staffing";#N/A,#N/A,FALSE,"Hires";#N/A,#N/A,FALSE,"Assumptions"}</definedName>
    <definedName name="Staffing3" localSheetId="6" hidden="1">{#N/A,#N/A,FALSE,"Assessment";#N/A,#N/A,FALSE,"Staffing";#N/A,#N/A,FALSE,"Hires";#N/A,#N/A,FALSE,"Assumptions"}</definedName>
    <definedName name="Staffing3" hidden="1">{#N/A,#N/A,FALSE,"Assessment";#N/A,#N/A,FALSE,"Staffing";#N/A,#N/A,FALSE,"Hires";#N/A,#N/A,FALSE,"Assumptions"}</definedName>
    <definedName name="STATE" hidden="1">"STATE"</definedName>
    <definedName name="StepsInYear">#REF!</definedName>
    <definedName name="STOCK_BASED" hidden="1">"STOCK_BASED"</definedName>
    <definedName name="STREET_DATE_RANGE">#REF!</definedName>
    <definedName name="SUMMARY_BOOK" localSheetId="8" hidden="1">{"page1",#N/A,FALSE,"GIRLBO";"page2",#N/A,FALSE,"GIRLBO";"page3",#N/A,FALSE,"GIRLBO";"page4",#N/A,FALSE,"GIRLBO";"page5",#N/A,FALSE,"GIRLBO"}</definedName>
    <definedName name="SUMMARY_BOOK" localSheetId="6" hidden="1">{"page1",#N/A,FALSE,"GIRLBO";"page2",#N/A,FALSE,"GIRLBO";"page3",#N/A,FALSE,"GIRLBO";"page4",#N/A,FALSE,"GIRLBO";"page5",#N/A,FALSE,"GIRLBO"}</definedName>
    <definedName name="SUMMARY_BOOK" hidden="1">{"page1",#N/A,FALSE,"GIRLBO";"page2",#N/A,FALSE,"GIRLBO";"page3",#N/A,FALSE,"GIRLBO";"page4",#N/A,FALSE,"GIRLBO";"page5",#N/A,FALSE,"GIRLBO"}</definedName>
    <definedName name="Swvu.CapersView."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zdb" hidden="1">#REF!</definedName>
    <definedName name="t" localSheetId="8" hidden="1">{"Japan_Capers_Ed_Pub",#N/A,FALSE,"DI 2 YEAR MASTER SCHEDULE"}</definedName>
    <definedName name="t" localSheetId="6" hidden="1">{"Japan_Capers_Ed_Pub",#N/A,FALSE,"DI 2 YEAR MASTER SCHEDULE"}</definedName>
    <definedName name="t" hidden="1">{"Japan_Capers_Ed_Pub",#N/A,FALSE,"DI 2 YEAR MASTER SCHEDULE"}</definedName>
    <definedName name="TABLE_1">#REF!</definedName>
    <definedName name="TABLE_2">#REF!</definedName>
    <definedName name="table3new" localSheetId="8" hidden="1">{#N/A,#N/A,FALSE,"Cover";#N/A,#N/A,FALSE,"Contents-Pg1";#N/A,#N/A,FALSE,"High-Com-pg2";#N/A,#N/A,FALSE,"1 Full";#N/A,#N/A,FALSE,"1chts";#N/A,#N/A,FALSE,"Table 2";#N/A,#N/A,FALSE,"3New Iss";#N/A,#N/A,FALSE,"4Money raised";#N/A,#N/A,FALSE,"5Aim";#N/A,#N/A,FALSE,"AiM charts";#N/A,#N/A,FALSE,"6FT Smll";#N/A,#N/A,FALSE,"11SEATS";#N/A,#N/A,FALSE,"12Notes"}</definedName>
    <definedName name="table3new" localSheetId="6"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8" hidden="1">{#N/A,#N/A,FALSE,"Cover";#N/A,#N/A,FALSE,"Contents-Pg1";#N/A,#N/A,FALSE,"High-Com-pg2";#N/A,#N/A,FALSE,"1 Full";#N/A,#N/A,FALSE,"1chts";#N/A,#N/A,FALSE,"Table 2";#N/A,#N/A,FALSE,"3New Iss";#N/A,#N/A,FALSE,"4Money raised";#N/A,#N/A,FALSE,"5Aim";#N/A,#N/A,FALSE,"AiM charts";#N/A,#N/A,FALSE,"6FT Smll";#N/A,#N/A,FALSE,"11SEATS";#N/A,#N/A,FALSE,"12Notes"}</definedName>
    <definedName name="table6ab" localSheetId="6"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emp_2" localSheetId="8" hidden="1">{#N/A,#N/A,FALSE,"Assessment";#N/A,#N/A,FALSE,"Staffing";#N/A,#N/A,FALSE,"Hires";#N/A,#N/A,FALSE,"Assumptions"}</definedName>
    <definedName name="Temp_2" localSheetId="6" hidden="1">{#N/A,#N/A,FALSE,"Assessment";#N/A,#N/A,FALSE,"Staffing";#N/A,#N/A,FALSE,"Hires";#N/A,#N/A,FALSE,"Assumptions"}</definedName>
    <definedName name="Temp_2" hidden="1">{#N/A,#N/A,FALSE,"Assessment";#N/A,#N/A,FALSE,"Staffing";#N/A,#N/A,FALSE,"Hires";#N/A,#N/A,FALSE,"Assumptions"}</definedName>
    <definedName name="Temp_3" localSheetId="8" hidden="1">{#N/A,#N/A,FALSE,"Assessment";#N/A,#N/A,FALSE,"Staffing";#N/A,#N/A,FALSE,"Hires";#N/A,#N/A,FALSE,"Assumptions"}</definedName>
    <definedName name="Temp_3" localSheetId="6" hidden="1">{#N/A,#N/A,FALSE,"Assessment";#N/A,#N/A,FALSE,"Staffing";#N/A,#N/A,FALSE,"Hires";#N/A,#N/A,FALSE,"Assumptions"}</definedName>
    <definedName name="Temp_3" hidden="1">{#N/A,#N/A,FALSE,"Assessment";#N/A,#N/A,FALSE,"Staffing";#N/A,#N/A,FALSE,"Hires";#N/A,#N/A,FALSE,"Assumptions"}</definedName>
    <definedName name="temp_name" localSheetId="8" hidden="1">{"ALLOCATION1",#N/A,FALSE,"EXPENSE ALLOCATIONS";"ALLOCATION2",#N/A,FALSE,"EXPENSE ALLOCATIONS";"ALLOCATION3",#N/A,FALSE,"EXPENSE ALLOCATIONS";"ALLOCATION4",#N/A,FALSE,"EXPENSE ALLOCATIONS"}</definedName>
    <definedName name="temp_name" localSheetId="6" hidden="1">{"ALLOCATION1",#N/A,FALSE,"EXPENSE ALLOCATIONS";"ALLOCATION2",#N/A,FALSE,"EXPENSE ALLOCATIONS";"ALLOCATION3",#N/A,FALSE,"EXPENSE ALLOCATIONS";"ALLOCATION4",#N/A,FALSE,"EXPENSE ALLOCATIONS"}</definedName>
    <definedName name="temp_name" hidden="1">{"ALLOCATION1",#N/A,FALSE,"EXPENSE ALLOCATIONS";"ALLOCATION2",#N/A,FALSE,"EXPENSE ALLOCATIONS";"ALLOCATION3",#N/A,FALSE,"EXPENSE ALLOCATIONS";"ALLOCATION4",#N/A,FALSE,"EXPENSE ALLOCATIONS"}</definedName>
    <definedName name="TEST_NAME">#REF!</definedName>
    <definedName name="tew" localSheetId="8" hidden="1">{"FY97Total",#N/A,FALSE,"FY97 - Total";"FY98Total",#N/A,FALSE,"FY98 - Total"}</definedName>
    <definedName name="tew" localSheetId="6" hidden="1">{"FY97Total",#N/A,FALSE,"FY97 - Total";"FY98Total",#N/A,FALSE,"FY98 - Total"}</definedName>
    <definedName name="tew" hidden="1">{"FY97Total",#N/A,FALSE,"FY97 - Total";"FY98Total",#N/A,FALSE,"FY98 - Total"}</definedName>
    <definedName name="TextRefCopyRangeCount" hidden="1">38</definedName>
    <definedName name="TITLE_RANGE">#REF!</definedName>
    <definedName name="TITLES_RANGE_INPUT">#REF!</definedName>
    <definedName name="TOTAL_ANIMATION_FRAMES_INPUT">#REF!</definedName>
    <definedName name="TOTAL_ASSETS" hidden="1">"TOTAL_ASSETS"</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OST">#REF!</definedName>
    <definedName name="TOTAL_CURRENT_ASSETS" hidden="1">"TOTAL_CURRENT_ASSETS"</definedName>
    <definedName name="TOTAL_CURRENT_LIAB" hidden="1">"TOTAL_CURRENT_LIAB"</definedName>
    <definedName name="TOTAL_DEBT" hidden="1">"TOTAL_DEBT"</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EQUITY" hidden="1">"TOTAL_EQUITY"</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RECEIV" hidden="1">"TOTAL_RECEIV"</definedName>
    <definedName name="TOTAL_REVENUE" hidden="1">"TOTAL_REVENUE"</definedName>
    <definedName name="TOTAL_SPECIAL" hidden="1">"TOTAL_SPECIAL"</definedName>
    <definedName name="tr" localSheetId="8" hidden="1">{"FY97Tot nvs",#N/A,FALSE,"FY97 - Total";"FY98Tot nvs",#N/A,FALSE,"FY98 - Total"}</definedName>
    <definedName name="tr" localSheetId="6" hidden="1">{"FY97Tot nvs",#N/A,FALSE,"FY97 - Total";"FY98Tot nvs",#N/A,FALSE,"FY98 - Total"}</definedName>
    <definedName name="tr" hidden="1">{"FY97Tot nvs",#N/A,FALSE,"FY97 - Total";"FY98Tot nvs",#N/A,FALSE,"FY98 - Total"}</definedName>
    <definedName name="TRADE_AR" hidden="1">"TRADE_AR"</definedName>
    <definedName name="TREASURY_STOCK" hidden="1">"TREASURY_STOCK"</definedName>
    <definedName name="treeList" hidden="1">"11110000000000000000000000000000000000000000000000000000000000000000000000000000000000000000000000000000000000000000000000000000000000000000000000000000000000000000000000000000000000000000000000000000"</definedName>
    <definedName name="ttttttttt" localSheetId="8" hidden="1">{"'Set-Out'!$A$1:$H$30"}</definedName>
    <definedName name="ttttttttt" localSheetId="6" hidden="1">{"'Set-Out'!$A$1:$H$30"}</definedName>
    <definedName name="ttttttttt" hidden="1">{"'Set-Out'!$A$1:$H$30"}</definedName>
    <definedName name="TURNED_IN">#REF!</definedName>
    <definedName name="tva">(1-100/120)</definedName>
    <definedName name="tyrw" localSheetId="8" hidden="1">{"FY97Total var",#N/A,FALSE,"FY97 - Total";"FY98Total var",#N/A,FALSE,"FY98 - Total"}</definedName>
    <definedName name="tyrw" localSheetId="6" hidden="1">{"FY97Total var",#N/A,FALSE,"FY97 - Total";"FY98Total var",#N/A,FALSE,"FY98 - Total"}</definedName>
    <definedName name="tyrw" hidden="1">{"FY97Total var",#N/A,FALSE,"FY97 - Total";"FY98Total var",#N/A,FALSE,"FY98 - Total"}</definedName>
    <definedName name="u" localSheetId="8" hidden="1">{#N/A,#N/A,FALSE,"PRJCTED MNTHLY QTY's"}</definedName>
    <definedName name="u" localSheetId="6" hidden="1">{#N/A,#N/A,FALSE,"PRJCTED MNTHLY QTY's"}</definedName>
    <definedName name="u" hidden="1">{#N/A,#N/A,FALSE,"PRJCTED MNTHLY QTY's"}</definedName>
    <definedName name="UNREALIZED_GAIN" hidden="1">"UNREALIZED_GAIN"</definedName>
    <definedName name="UNUSUAL_EXP" hidden="1">"UNUSUAL_EXP"</definedName>
    <definedName name="US_GAAP" hidden="1">"US_GAAP"</definedName>
    <definedName name="USD">#REF!</definedName>
    <definedName name="VI">#REF!</definedName>
    <definedName name="vn">100/120</definedName>
    <definedName name="vvv" localSheetId="8" hidden="1">{"Allocation Matrix p1",#N/A,FALSE,"Allocation Matrix";"Allocation Matrix p2",#N/A,FALSE,"Allocation Matrix";"Allocation Matrix p3",#N/A,FALSE,"Allocation Matrix"}</definedName>
    <definedName name="vvv" localSheetId="6" hidden="1">{"Allocation Matrix p1",#N/A,FALSE,"Allocation Matrix";"Allocation Matrix p2",#N/A,FALSE,"Allocation Matrix";"Allocation Matrix p3",#N/A,FALSE,"Allocation Matrix"}</definedName>
    <definedName name="vvv" hidden="1">{"Allocation Matrix p1",#N/A,FALSE,"Allocation Matrix";"Allocation Matrix p2",#N/A,FALSE,"Allocation Matrix";"Allocation Matrix p3",#N/A,FALSE,"Allocation Matrix"}</definedName>
    <definedName name="w" localSheetId="8" hidden="1">{#N/A,#N/A,FALSE,"DI 2 YEAR MASTER SCHEDULE"}</definedName>
    <definedName name="w" localSheetId="6" hidden="1">{#N/A,#N/A,FALSE,"DI 2 YEAR MASTER SCHEDULE"}</definedName>
    <definedName name="w" hidden="1">{#N/A,#N/A,FALSE,"DI 2 YEAR MASTER SCHEDULE"}</definedName>
    <definedName name="wd" localSheetId="8" hidden="1">{"FY98Q1 var",#N/A,FALSE,"FY98 - Q1";"FY98Q2 var",#N/A,FALSE,"FY98 - Q2";"FY98Q3 var",#N/A,FALSE,"FY98 - Q3";"FY98Q4 var",#N/A,FALSE,"FY98 - Q4"}</definedName>
    <definedName name="wd" localSheetId="6" hidden="1">{"FY98Q1 var",#N/A,FALSE,"FY98 - Q1";"FY98Q2 var",#N/A,FALSE,"FY98 - Q2";"FY98Q3 var",#N/A,FALSE,"FY98 - Q3";"FY98Q4 var",#N/A,FALSE,"FY98 - Q4"}</definedName>
    <definedName name="wd" hidden="1">{"FY98Q1 var",#N/A,FALSE,"FY98 - Q1";"FY98Q2 var",#N/A,FALSE,"FY98 - Q2";"FY98Q3 var",#N/A,FALSE,"FY98 - Q3";"FY98Q4 var",#N/A,FALSE,"FY98 - Q4"}</definedName>
    <definedName name="weee" localSheetId="8" hidden="1">{"FY98Q1 var",#N/A,FALSE,"FY98 - Q1";"FY98Q2 var",#N/A,FALSE,"FY98 - Q2";"FY98Q3 var",#N/A,FALSE,"FY98 - Q3";"FY98Q4 var",#N/A,FALSE,"FY98 - Q4"}</definedName>
    <definedName name="weee" localSheetId="6" hidden="1">{"FY98Q1 var",#N/A,FALSE,"FY98 - Q1";"FY98Q2 var",#N/A,FALSE,"FY98 - Q2";"FY98Q3 var",#N/A,FALSE,"FY98 - Q3";"FY98Q4 var",#N/A,FALSE,"FY98 - Q4"}</definedName>
    <definedName name="weee" hidden="1">{"FY98Q1 var",#N/A,FALSE,"FY98 - Q1";"FY98Q2 var",#N/A,FALSE,"FY98 - Q2";"FY98Q3 var",#N/A,FALSE,"FY98 - Q3";"FY98Q4 var",#N/A,FALSE,"FY98 - Q4"}</definedName>
    <definedName name="wewq" localSheetId="8" hidden="1">{"FY97Q1 nvs",#N/A,FALSE,"FY97 - Q1";"FY97Q2 nvs",#N/A,FALSE,"FY97 - Q2";"FY97Q3 nvs",#N/A,FALSE,"FY97 - Q3";"FY97Q4 nvs",#N/A,FALSE,"FY97 - Q4"}</definedName>
    <definedName name="wewq" localSheetId="6" hidden="1">{"FY97Q1 nvs",#N/A,FALSE,"FY97 - Q1";"FY97Q2 nvs",#N/A,FALSE,"FY97 - Q2";"FY97Q3 nvs",#N/A,FALSE,"FY97 - Q3";"FY97Q4 nvs",#N/A,FALSE,"FY97 - Q4"}</definedName>
    <definedName name="wewq" hidden="1">{"FY97Q1 nvs",#N/A,FALSE,"FY97 - Q1";"FY97Q2 nvs",#N/A,FALSE,"FY97 - Q2";"FY97Q3 nvs",#N/A,FALSE,"FY97 - Q3";"FY97Q4 nvs",#N/A,FALSE,"FY97 - Q4"}</definedName>
    <definedName name="wqer" localSheetId="8" hidden="1">{"Allocation Matrix p1",#N/A,FALSE,"Allocation Matrix";"Allocation Matrix p2",#N/A,FALSE,"Allocation Matrix";"Allocation Matrix p3",#N/A,FALSE,"Allocation Matrix"}</definedName>
    <definedName name="wqer" localSheetId="6" hidden="1">{"Allocation Matrix p1",#N/A,FALSE,"Allocation Matrix";"Allocation Matrix p2",#N/A,FALSE,"Allocation Matrix";"Allocation Matrix p3",#N/A,FALSE,"Allocation Matrix"}</definedName>
    <definedName name="wqer" hidden="1">{"Allocation Matrix p1",#N/A,FALSE,"Allocation Matrix";"Allocation Matrix p2",#N/A,FALSE,"Allocation Matrix";"Allocation Matrix p3",#N/A,FALSE,"Allocation Matrix"}</definedName>
    <definedName name="wqqwe" localSheetId="8" hidden="1">{"FY97Tot nvs",#N/A,FALSE,"FY97 - Total";"FY98Tot nvs",#N/A,FALSE,"FY98 - Total"}</definedName>
    <definedName name="wqqwe" localSheetId="6" hidden="1">{"FY97Tot nvs",#N/A,FALSE,"FY97 - Total";"FY98Tot nvs",#N/A,FALSE,"FY98 - Total"}</definedName>
    <definedName name="wqqwe" hidden="1">{"FY97Tot nvs",#N/A,FALSE,"FY97 - Total";"FY98Tot nvs",#N/A,FALSE,"FY98 - Total"}</definedName>
    <definedName name="wqrew" localSheetId="8" hidden="1">{"FY97Total",#N/A,FALSE,"FY97 - Total";"FY98Total",#N/A,FALSE,"FY98 - Total"}</definedName>
    <definedName name="wqrew" localSheetId="6" hidden="1">{"FY97Total",#N/A,FALSE,"FY97 - Total";"FY98Total",#N/A,FALSE,"FY98 - Total"}</definedName>
    <definedName name="wqrew" hidden="1">{"FY97Total",#N/A,FALSE,"FY97 - Total";"FY98Total",#N/A,FALSE,"FY98 - Total"}</definedName>
    <definedName name="wqrwqe" localSheetId="8" hidden="1">{"FY98Q1 nvs",#N/A,FALSE,"FY98 - Q1";"FY98Q2 nvs",#N/A,FALSE,"FY98 - Q2";"FY98Q3 nvs",#N/A,FALSE,"FY98 - Q3";"FY98Q4 nvs",#N/A,FALSE,"FY98 - Q4"}</definedName>
    <definedName name="wqrwqe" localSheetId="6" hidden="1">{"FY98Q1 nvs",#N/A,FALSE,"FY98 - Q1";"FY98Q2 nvs",#N/A,FALSE,"FY98 - Q2";"FY98Q3 nvs",#N/A,FALSE,"FY98 - Q3";"FY98Q4 nvs",#N/A,FALSE,"FY98 - Q4"}</definedName>
    <definedName name="wqrwqe" hidden="1">{"FY98Q1 nvs",#N/A,FALSE,"FY98 - Q1";"FY98Q2 nvs",#N/A,FALSE,"FY98 - Q2";"FY98Q3 nvs",#N/A,FALSE,"FY98 - Q3";"FY98Q4 nvs",#N/A,FALSE,"FY98 - Q4"}</definedName>
    <definedName name="wr" hidden="1">#REF!</definedName>
    <definedName name="wrksht" localSheetId="8" hidden="1">{"USD",#N/A,FALSE,"FC-15 Cap Expend";"LC",#N/A,FALSE,"FC-15 Cap Expend"}</definedName>
    <definedName name="wrksht" localSheetId="6" hidden="1">{"USD",#N/A,FALSE,"FC-15 Cap Expend";"LC",#N/A,FALSE,"FC-15 Cap Expend"}</definedName>
    <definedName name="wrksht" hidden="1">{"USD",#N/A,FALSE,"FC-15 Cap Expend";"LC",#N/A,FALSE,"FC-15 Cap Expend"}</definedName>
    <definedName name="wrn.1._.Print._.Month._.Data." localSheetId="8" hidden="1">{"Month vs ABP p1",#N/A,FALSE,"Month vs ABP";"Month vs ABP p2",#N/A,FALSE,"Month vs ABP";"Month",#N/A,FALSE,"Month"}</definedName>
    <definedName name="wrn.1._.Print._.Month._.Data." localSheetId="6" hidden="1">{"Month vs ABP p1",#N/A,FALSE,"Month vs ABP";"Month vs ABP p2",#N/A,FALSE,"Month vs ABP";"Month",#N/A,FALSE,"Month"}</definedName>
    <definedName name="wrn.1._.Print._.Month._.Data." hidden="1">{"Month vs ABP p1",#N/A,FALSE,"Month vs ABP";"Month vs ABP p2",#N/A,FALSE,"Month vs ABP";"Month",#N/A,FALSE,"Month"}</definedName>
    <definedName name="wrn.2._.pagers." localSheetId="8" hidden="1">{"Cover",#N/A,FALSE,"Cover";"Summary",#N/A,FALSE,"Summarpage"}</definedName>
    <definedName name="wrn.2._.pagers." localSheetId="6" hidden="1">{"Cover",#N/A,FALSE,"Cover";"Summary",#N/A,FALSE,"Summarpage"}</definedName>
    <definedName name="wrn.2._.pagers." hidden="1">{"Cover",#N/A,FALSE,"Cover";"Summary",#N/A,FALSE,"Summarpage"}</definedName>
    <definedName name="wrn.2._.Print._.QTD._.Data." localSheetId="8" hidden="1">{"Qtr vs ABP p1",#N/A,FALSE,"Quarter vs ABP";"Qtr vs ABP p2",#N/A,FALSE,"Quarter vs ABP";"Qtr",#N/A,FALSE,"Quarter"}</definedName>
    <definedName name="wrn.2._.Print._.QTD._.Data." localSheetId="6" hidden="1">{"Qtr vs ABP p1",#N/A,FALSE,"Quarter vs ABP";"Qtr vs ABP p2",#N/A,FALSE,"Quarter vs ABP";"Qtr",#N/A,FALSE,"Quarter"}</definedName>
    <definedName name="wrn.2._.Print._.QTD._.Data." hidden="1">{"Qtr vs ABP p1",#N/A,FALSE,"Quarter vs ABP";"Qtr vs ABP p2",#N/A,FALSE,"Quarter vs ABP";"Qtr",#N/A,FALSE,"Quarter"}</definedName>
    <definedName name="wrn.3._.Print._.YTD._.Data." localSheetId="8" hidden="1">{"Year vs ABP p1",#N/A,FALSE,"Year vs ABP";"Year vs ABP p2",#N/A,FALSE,"Year vs ABP";"Year",#N/A,FALSE,"Year"}</definedName>
    <definedName name="wrn.3._.Print._.YTD._.Data." localSheetId="6" hidden="1">{"Year vs ABP p1",#N/A,FALSE,"Year vs ABP";"Year vs ABP p2",#N/A,FALSE,"Year vs ABP";"Year",#N/A,FALSE,"Year"}</definedName>
    <definedName name="wrn.3._.Print._.YTD._.Data." hidden="1">{"Year vs ABP p1",#N/A,FALSE,"Year vs ABP";"Year vs ABP p2",#N/A,FALSE,"Year vs ABP";"Year",#N/A,FALSE,"Year"}</definedName>
    <definedName name="wrn.4._.Print._.Appendix._.I." localSheetId="8" hidden="1">{"Appendix I",#N/A,FALSE,"Appendix I   - Assy Var"}</definedName>
    <definedName name="wrn.4._.Print._.Appendix._.I." localSheetId="6" hidden="1">{"Appendix I",#N/A,FALSE,"Appendix I   - Assy Var"}</definedName>
    <definedName name="wrn.4._.Print._.Appendix._.I." hidden="1">{"Appendix I",#N/A,FALSE,"Appendix I   - Assy Var"}</definedName>
    <definedName name="wrn.5._.Print._.Appendix._.II." localSheetId="8" hidden="1">{"Appendix II",#N/A,FALSE,"Appendix II - Manu Var (Month)"}</definedName>
    <definedName name="wrn.5._.Print._.Appendix._.II." localSheetId="6" hidden="1">{"Appendix II",#N/A,FALSE,"Appendix II - Manu Var (Month)"}</definedName>
    <definedName name="wrn.5._.Print._.Appendix._.II." hidden="1">{"Appendix II",#N/A,FALSE,"Appendix II - Manu Var (Month)"}</definedName>
    <definedName name="wrn.6._.Print._.Appendix._.III." localSheetId="8" hidden="1">{"Appendix III",#N/A,FALSE,"Appendix III - Manu Var (QTD) "}</definedName>
    <definedName name="wrn.6._.Print._.Appendix._.III." localSheetId="6" hidden="1">{"Appendix III",#N/A,FALSE,"Appendix III - Manu Var (QTD) "}</definedName>
    <definedName name="wrn.6._.Print._.Appendix._.III." hidden="1">{"Appendix III",#N/A,FALSE,"Appendix III - Manu Var (QTD) "}</definedName>
    <definedName name="wrn.7._.Print._.Appendix._.IV." localSheetId="8" hidden="1">{"Appendix IV",#N/A,FALSE,"Appendix IV - Inventory Change"}</definedName>
    <definedName name="wrn.7._.Print._.Appendix._.IV." localSheetId="6" hidden="1">{"Appendix IV",#N/A,FALSE,"Appendix IV - Inventory Change"}</definedName>
    <definedName name="wrn.7._.Print._.Appendix._.IV." hidden="1">{"Appendix IV",#N/A,FALSE,"Appendix IV - Inventory Change"}</definedName>
    <definedName name="wrn.A_VALUATION." localSheetId="8" hidden="1">{#N/A,#N/A,FALSE,"A_D";#N/A,#N/A,FALSE,"WACC";#N/A,#N/A,FALSE,"DCF";#N/A,#N/A,FALSE,"A";#N/A,#N/A,FALSE,"LBO";#N/A,#N/A,FALSE,"C";#N/A,#N/A,FALSE,"impd";#N/A,#N/A,FALSE,"comps"}</definedName>
    <definedName name="wrn.A_VALUATION." localSheetId="6" hidden="1">{#N/A,#N/A,FALSE,"A_D";#N/A,#N/A,FALSE,"WACC";#N/A,#N/A,FALSE,"DCF";#N/A,#N/A,FALSE,"A";#N/A,#N/A,FALSE,"LBO";#N/A,#N/A,FALSE,"C";#N/A,#N/A,FALSE,"impd";#N/A,#N/A,FALSE,"comps"}</definedName>
    <definedName name="wrn.A_VALUATION." hidden="1">{#N/A,#N/A,FALSE,"A_D";#N/A,#N/A,FALSE,"WACC";#N/A,#N/A,FALSE,"DCF";#N/A,#N/A,FALSE,"A";#N/A,#N/A,FALSE,"LBO";#N/A,#N/A,FALSE,"C";#N/A,#N/A,FALSE,"impd";#N/A,#N/A,FALSE,"comps"}</definedName>
    <definedName name="wrn.a1._.FY9798Totals._.no._.var." localSheetId="8" hidden="1">{"FY97Tot nvs",#N/A,FALSE,"FY97 - Total";"FY98Tot nvs",#N/A,FALSE,"FY98 - Total"}</definedName>
    <definedName name="wrn.a1._.FY9798Totals._.no._.var." localSheetId="6" hidden="1">{"FY97Tot nvs",#N/A,FALSE,"FY97 - Total";"FY98Tot nvs",#N/A,FALSE,"FY98 - Total"}</definedName>
    <definedName name="wrn.a1._.FY9798Totals._.no._.var." hidden="1">{"FY97Tot nvs",#N/A,FALSE,"FY97 - Total";"FY98Tot nvs",#N/A,FALSE,"FY98 - Total"}</definedName>
    <definedName name="wrn.a2._.FY97Q1234._.no._.var." localSheetId="8" hidden="1">{"FY97Q1 nvs",#N/A,FALSE,"FY97 - Q1";"FY97Q2 nvs",#N/A,FALSE,"FY97 - Q2";"FY97Q3 nvs",#N/A,FALSE,"FY97 - Q3";"FY97Q4 nvs",#N/A,FALSE,"FY97 - Q4"}</definedName>
    <definedName name="wrn.a2._.FY97Q1234._.no._.var." localSheetId="6" hidden="1">{"FY97Q1 nvs",#N/A,FALSE,"FY97 - Q1";"FY97Q2 nvs",#N/A,FALSE,"FY97 - Q2";"FY97Q3 nvs",#N/A,FALSE,"FY97 - Q3";"FY97Q4 nvs",#N/A,FALSE,"FY97 - Q4"}</definedName>
    <definedName name="wrn.a2._.FY97Q1234._.no._.var." hidden="1">{"FY97Q1 nvs",#N/A,FALSE,"FY97 - Q1";"FY97Q2 nvs",#N/A,FALSE,"FY97 - Q2";"FY97Q3 nvs",#N/A,FALSE,"FY97 - Q3";"FY97Q4 nvs",#N/A,FALSE,"FY97 - Q4"}</definedName>
    <definedName name="wrn.a3._.FY98Q1234._.no._.var." localSheetId="8" hidden="1">{"FY98Q1 nvs",#N/A,FALSE,"FY98 - Q1";"FY98Q2 nvs",#N/A,FALSE,"FY98 - Q2";"FY98Q3 nvs",#N/A,FALSE,"FY98 - Q3";"FY98Q4 nvs",#N/A,FALSE,"FY98 - Q4"}</definedName>
    <definedName name="wrn.a3._.FY98Q1234._.no._.var." localSheetId="6" hidden="1">{"FY98Q1 nvs",#N/A,FALSE,"FY98 - Q1";"FY98Q2 nvs",#N/A,FALSE,"FY98 - Q2";"FY98Q3 nvs",#N/A,FALSE,"FY98 - Q3";"FY98Q4 nvs",#N/A,FALSE,"FY98 - Q4"}</definedName>
    <definedName name="wrn.a3._.FY98Q1234._.no._.var." hidden="1">{"FY98Q1 nvs",#N/A,FALSE,"FY98 - Q1";"FY98Q2 nvs",#N/A,FALSE,"FY98 - Q2";"FY98Q3 nvs",#N/A,FALSE,"FY98 - Q3";"FY98Q4 nvs",#N/A,FALSE,"FY98 - Q4"}</definedName>
    <definedName name="wrn.Accr_Dil." localSheetId="8" hidden="1">{#N/A,#N/A,FALSE,"Debt Accr";#N/A,#N/A,FALSE,"Stock Accr";#N/A,#N/A,FALSE,"Debt Stock Accr"}</definedName>
    <definedName name="wrn.Accr_Dil." localSheetId="6" hidden="1">{#N/A,#N/A,FALSE,"Debt Accr";#N/A,#N/A,FALSE,"Stock Accr";#N/A,#N/A,FALSE,"Debt Stock Accr"}</definedName>
    <definedName name="wrn.Accr_Dil." hidden="1">{#N/A,#N/A,FALSE,"Debt Accr";#N/A,#N/A,FALSE,"Stock Accr";#N/A,#N/A,FALSE,"Debt Stock Accr"}</definedName>
    <definedName name="wrn.Adjustments." localSheetId="8" hidden="1">{"Page1",#N/A,FALSE,"Matrix (1)";"Page2",#N/A,FALSE,"Pay-Out";"Page3",#N/A,FALSE,"Prems_Reserves";"Page4",#N/A,FALSE,"Adj. EPS";"Page5",#N/A,FALSE,"Acc_Dil"}</definedName>
    <definedName name="wrn.Adjustments." localSheetId="6"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ging._.and._.Trend._.Analysis." localSheetId="8"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8" hidden="1">{"INPUT",#N/A,FALSE,"REVENUE AND GM ";"CONTROL",#N/A,FALSE,"REVENUE AND GM ";"SWITCH",#N/A,FALSE,"REVENUE AND GM ";"OUTPUT",#N/A,FALSE,"REVENUE AND GM ";"TOTAL",#N/A,FALSE,"REVENUE AND GM "}</definedName>
    <definedName name="wrn.ALL." localSheetId="6" hidden="1">{"INPUT",#N/A,FALSE,"REVENUE AND GM ";"CONTROL",#N/A,FALSE,"REVENUE AND GM ";"SWITCH",#N/A,FALSE,"REVENUE AND GM ";"OUTPUT",#N/A,FALSE,"REVENUE AND GM ";"TOTAL",#N/A,FALSE,"REVENUE AND GM "}</definedName>
    <definedName name="wrn.ALL." hidden="1">{"INPUT",#N/A,FALSE,"REVENUE AND GM ";"CONTROL",#N/A,FALSE,"REVENUE AND GM ";"SWITCH",#N/A,FALSE,"REVENUE AND GM ";"OUTPUT",#N/A,FALSE,"REVENUE AND GM ";"TOTAL",#N/A,FALSE,"REVENUE AND GM "}</definedName>
    <definedName name="wrn.ALL._.ALLOCATIONS." localSheetId="8" hidden="1">{"ALLOCATION1",#N/A,FALSE,"EXPENSE ALLOCATIONS";"ALLOCATION2",#N/A,FALSE,"EXPENSE ALLOCATIONS";"ALLOCATION3",#N/A,FALSE,"EXPENSE ALLOCATIONS";"ALLOCATION4",#N/A,FALSE,"EXPENSE ALLOCATIONS"}</definedName>
    <definedName name="wrn.ALL._.ALLOCATIONS." localSheetId="6" hidden="1">{"ALLOCATION1",#N/A,FALSE,"EXPENSE ALLOCATIONS";"ALLOCATION2",#N/A,FALSE,"EXPENSE ALLOCATIONS";"ALLOCATION3",#N/A,FALSE,"EXPENSE ALLOCATIONS";"ALLOCATION4",#N/A,FALSE,"EXPENSE ALLOCATIONS"}</definedName>
    <definedName name="wrn.ALL._.ALLOCATIONS." hidden="1">{"ALLOCATION1",#N/A,FALSE,"EXPENSE ALLOCATIONS";"ALLOCATION2",#N/A,FALSE,"EXPENSE ALLOCATIONS";"ALLOCATION3",#N/A,FALSE,"EXPENSE ALLOCATIONS";"ALLOCATION4",#N/A,FALSE,"EXPENSE ALLOCATIONS"}</definedName>
    <definedName name="wrn.ALL._.ASSEM._.REPORTS." localSheetId="8"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wrn.ALL._.ASSEM._.REPORTS." localSheetId="6"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wrn.ALL._.ASSEM._.REPORTS." hidden="1">{"TOTALASSEMBLY",#N/A,FALSE,"ASSEMBLY EXPENSE";"DPAK",#N/A,FALSE,"ASSEMBLY EXPENSE";"TO220",#N/A,FALSE,"ASSEMBLY EXPENSE";"HEXDIP",#N/A,FALSE,"ASSEMBLY EXPENSE";"HEXSENSE",#N/A,FALSE,"ASSEMBLY EXPENSE";"MANAGEMENT",#N/A,FALSE,"ASSEMBLY EXPENSE";"MFGENGINEERING",#N/A,FALSE,"ASSEMBLY EXPENSE";"EQUIPENGINEERING",#N/A,FALSE,"ASSEMBLY EXPENSE";"TO220MGMT",#N/A,FALSE,"ASSEMBLY EXPENSE";"SAW",#N/A,FALSE,"ASSEMBLY EXPENSE";"EQUIPMENTSUPPORT",#N/A,FALSE,"ASSEMBLY EXPENSE";"MATERIALS",#N/A,FALSE,"ASSEMBLY EXPENSE"}</definedName>
    <definedName name="wrn.ALL._.DPAK._.REPORTS." localSheetId="8" hidden="1">{"TOTALDPAK",#N/A,FALSE,"DPAK PRODUCTION";"HADPAK",#N/A,FALSE,"DPAK PRODUCTION";"PSIDPAK",#N/A,FALSE,"DPAK PRODUCTION"}</definedName>
    <definedName name="wrn.ALL._.DPAK._.REPORTS." localSheetId="6" hidden="1">{"TOTALDPAK",#N/A,FALSE,"DPAK PRODUCTION";"HADPAK",#N/A,FALSE,"DPAK PRODUCTION";"PSIDPAK",#N/A,FALSE,"DPAK PRODUCTION"}</definedName>
    <definedName name="wrn.ALL._.DPAK._.REPORTS." hidden="1">{"TOTALDPAK",#N/A,FALSE,"DPAK PRODUCTION";"HADPAK",#N/A,FALSE,"DPAK PRODUCTION";"PSIDPAK",#N/A,FALSE,"DPAK PRODUCTION"}</definedName>
    <definedName name="wrn.ALL._.FAB._.2._.EXP._.REPORTS."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wrn.ALL._.FAB._.2._.EXP._.REPORTS."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wrn.ALL._.FAB._.2._.EXP._.REPORTS." hidden="1">{"TOTALFAB",#N/A,FALSE,"WAFER FAB 2 EXPENSE";"FABPRODUCTION",#N/A,FALSE,"WAFER FAB 2 EXPENSE";"FABENGINEERING",#N/A,FALSE,"WAFER FAB 2 EXPENSE";"FABEQUIPSUPPORT",#N/A,FALSE,"WAFER FAB 2 EXPENSE";"FABPRODUCTLINE",#N/A,FALSE,"WAFER FAB 2 EXPENSE";"FABMATERIALS",#N/A,FALSE,"WAFER FAB 2 EXPENSE"}</definedName>
    <definedName name="wrn.ALL._.FAB._.I._.EXP._.REPORTS." localSheetId="8"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wrn.ALL._.FAB._.I._.EXP._.REPORTS." localSheetId="6"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wrn.ALL._.FAB._.I._.EXP._.REPORTS." hidden="1">{"TOTALFAB",#N/A,FALSE,"WAFER FAB 1 EXPENSE";"FABMANAGEMENT",#N/A,FALSE,"WAFER FAB 1 EXPENSE";"FABPRODUCTION",#N/A,FALSE,"WAFER FAB 1 EXPENSE";"FABENGINEERING",#N/A,FALSE,"WAFER FAB 1 EXPENSE";"FABEQUIPSUPPORT",#N/A,FALSE,"WAFER FAB 1 EXPENSE";"FABPRODUCTLINE",#N/A,FALSE,"WAFER FAB 1 EXPENSE";"FABMATERIALS",#N/A,FALSE,"WAFER FAB 1 EXPENSE"}</definedName>
    <definedName name="wrn.ALL._.FAB._9._.EXP._.REPORTS." localSheetId="8" hidden="1">{"TOTALFAB",#N/A,FALSE,"WAFER FAB 2 EXPENSE";"FABPRODUCTION",#N/A,FALSE,"WAFER FAB 2 EXPENSE";"FABENGINEERING",#N/A,FALSE,"WAFER FAB 2 EXPENSE";"FABEQUIPSUPPORT",#N/A,FALSE,"WAFER FAB 2 EXPENSE";"FABPRODUCTLINE",#N/A,FALSE,"WAFER FAB 2 EXPENSE";"FABMATERIALS",#N/A,FALSE,"WAFER FAB 2 EXPENSE"}</definedName>
    <definedName name="wrn.ALL._.FAB._9._.EXP._.REPORTS." localSheetId="6" hidden="1">{"TOTALFAB",#N/A,FALSE,"WAFER FAB 2 EXPENSE";"FABPRODUCTION",#N/A,FALSE,"WAFER FAB 2 EXPENSE";"FABENGINEERING",#N/A,FALSE,"WAFER FAB 2 EXPENSE";"FABEQUIPSUPPORT",#N/A,FALSE,"WAFER FAB 2 EXPENSE";"FABPRODUCTLINE",#N/A,FALSE,"WAFER FAB 2 EXPENSE";"FABMATERIALS",#N/A,FALSE,"WAFER FAB 2 EXPENSE"}</definedName>
    <definedName name="wrn.ALL._.FAB._9._.EXP._.REPORTS." hidden="1">{"TOTALFAB",#N/A,FALSE,"WAFER FAB 2 EXPENSE";"FABPRODUCTION",#N/A,FALSE,"WAFER FAB 2 EXPENSE";"FABENGINEERING",#N/A,FALSE,"WAFER FAB 2 EXPENSE";"FABEQUIPSUPPORT",#N/A,FALSE,"WAFER FAB 2 EXPENSE";"FABPRODUCTLINE",#N/A,FALSE,"WAFER FAB 2 EXPENSE";"FABMATERIALS",#N/A,FALSE,"WAFER FAB 2 EXPENSE"}</definedName>
    <definedName name="wrn.ALL._.FACILITIES._.REPORT." localSheetId="8" hidden="1">{"TOTAL",#N/A,FALSE,"FACILITIES EXPENSE";"TOTALDETAIL",#N/A,FALSE,"FACILITIES EXPENSE";"MATERIALS",#N/A,FALSE,"FACILITIES EXPENSE";"FACILITIES",#N/A,FALSE,"FACILITIES EXPENSE";"CHEM",#N/A,FALSE,"FACILITIES EXPENSE";"GENSVC",#N/A,FALSE,"FACILITIES EXPENSE";"SAFETY",#N/A,FALSE,"FACILITIES EXPENSE"}</definedName>
    <definedName name="wrn.ALL._.FACILITIES._.REPORT." localSheetId="6" hidden="1">{"TOTAL",#N/A,FALSE,"FACILITIES EXPENSE";"TOTALDETAIL",#N/A,FALSE,"FACILITIES EXPENSE";"MATERIALS",#N/A,FALSE,"FACILITIES EXPENSE";"FACILITIES",#N/A,FALSE,"FACILITIES EXPENSE";"CHEM",#N/A,FALSE,"FACILITIES EXPENSE";"GENSVC",#N/A,FALSE,"FACILITIES EXPENSE";"SAFETY",#N/A,FALSE,"FACILITIES EXPENSE"}</definedName>
    <definedName name="wrn.ALL._.FACILITIES._.REPORT." hidden="1">{"TOTAL",#N/A,FALSE,"FACILITIES EXPENSE";"TOTALDETAIL",#N/A,FALSE,"FACILITIES EXPENSE";"MATERIALS",#N/A,FALSE,"FACILITIES EXPENSE";"FACILITIES",#N/A,FALSE,"FACILITIES EXPENSE";"CHEM",#N/A,FALSE,"FACILITIES EXPENSE";"GENSVC",#N/A,FALSE,"FACILITIES EXPENSE";"SAFETY",#N/A,FALSE,"FACILITIES EXPENSE"}</definedName>
    <definedName name="wrn.all._.gulp._.sheets." localSheetId="8"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 localSheetId="6"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PACKAGE." localSheetId="8" hidden="1">{#N/A,#N/A,FALSE,"COVER";#N/A,#N/A,FALSE," index";#N/A,#N/A,FALSE,"notes";#N/A,#N/A,FALSE,"Perform";#N/A,#N/A,FALSE,"Graphs";#N/A,#N/A,FALSE,"FAMILIES GRAPHS";#N/A,#N/A,FALSE,"WWP&amp;Lsum";#N/A,#N/A,FALSE,"WWP&amp;Lfam";#N/A,#N/A,FALSE,"SALCOMP";#N/A,#N/A,FALSE,"Assets";#N/A,#N/A,FALSE,"assgraph";#N/A,#N/A,FALSE,"FG Inventory Aging";#N/A,#N/A,FALSE,"WWINVSUM";#N/A,#N/A,FALSE,"WWinvFAM";#N/A,#N/A,FALSE,"RM&amp;WIP";#N/A,#N/A,FALSE,"CUSTOM";#N/A,#N/A,FALSE,"cesd cust";#N/A,#N/A,FALSE,"cesd cust";#N/A,#N/A,FALSE,"PRODUCT"}</definedName>
    <definedName name="wrn.ALL._.PACKAGE." localSheetId="6" hidden="1">{#N/A,#N/A,FALSE,"COVER";#N/A,#N/A,FALSE," index";#N/A,#N/A,FALSE,"notes";#N/A,#N/A,FALSE,"Perform";#N/A,#N/A,FALSE,"Graphs";#N/A,#N/A,FALSE,"FAMILIES GRAPHS";#N/A,#N/A,FALSE,"WWP&amp;Lsum";#N/A,#N/A,FALSE,"WWP&amp;Lfam";#N/A,#N/A,FALSE,"SALCOMP";#N/A,#N/A,FALSE,"Assets";#N/A,#N/A,FALSE,"assgraph";#N/A,#N/A,FALSE,"FG Inventory Aging";#N/A,#N/A,FALSE,"WWINVSUM";#N/A,#N/A,FALSE,"WWinvFAM";#N/A,#N/A,FALSE,"RM&amp;WIP";#N/A,#N/A,FALSE,"CUSTOM";#N/A,#N/A,FALSE,"cesd cust";#N/A,#N/A,FALSE,"cesd cust";#N/A,#N/A,FALSE,"PRODUCT"}</definedName>
    <definedName name="wrn.ALL._.PACKAGE." hidden="1">{#N/A,#N/A,FALSE,"COVER";#N/A,#N/A,FALSE," index";#N/A,#N/A,FALSE,"notes";#N/A,#N/A,FALSE,"Perform";#N/A,#N/A,FALSE,"Graphs";#N/A,#N/A,FALSE,"FAMILIES GRAPHS";#N/A,#N/A,FALSE,"WWP&amp;Lsum";#N/A,#N/A,FALSE,"WWP&amp;Lfam";#N/A,#N/A,FALSE,"SALCOMP";#N/A,#N/A,FALSE,"Assets";#N/A,#N/A,FALSE,"assgraph";#N/A,#N/A,FALSE,"FG Inventory Aging";#N/A,#N/A,FALSE,"WWINVSUM";#N/A,#N/A,FALSE,"WWinvFAM";#N/A,#N/A,FALSE,"RM&amp;WIP";#N/A,#N/A,FALSE,"CUSTOM";#N/A,#N/A,FALSE,"cesd cust";#N/A,#N/A,FALSE,"cesd cust";#N/A,#N/A,FALSE,"PRODUCT"}</definedName>
    <definedName name="wrn.ALL._.PAGES." localSheetId="8" hidden="1">{#N/A,#N/A,FALSE,"puboff";#N/A,#N/A,FALSE,"financials";#N/A,#N/A,FALSE,"valuation";#N/A,#N/A,FALSE,"split"}</definedName>
    <definedName name="wrn.ALL._.PAGES." localSheetId="6" hidden="1">{#N/A,#N/A,FALSE,"puboff";#N/A,#N/A,FALSE,"financials";#N/A,#N/A,FALSE,"valuation";#N/A,#N/A,FALSE,"split"}</definedName>
    <definedName name="wrn.ALL._.PAGES." hidden="1">{#N/A,#N/A,FALSE,"puboff";#N/A,#N/A,FALSE,"financials";#N/A,#N/A,FALSE,"valuation";#N/A,#N/A,FALSE,"split"}</definedName>
    <definedName name="wrn.ALL._.QR._.EXP._.REPORTS." localSheetId="8"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wrn.ALL._.QR._.EXP._.REPORTS." localSheetId="6"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wrn.ALL._.QR._.EXP._.REPORTS." hidden="1">{"QAEXPENSE",#N/A,FALSE,"QUALITY AND RELIABILITY EXPENSE";"qaadmin",#N/A,FALSE,"QUALITY AND RELIABILITY EXPENSE";"FA",#N/A,FALSE,"QUALITY AND RELIABILITY EXPENSE";"QA",#N/A,FALSE,"QUALITY AND RELIABILITY EXPENSE";"DOCCTRL",#N/A,FALSE,"QUALITY AND RELIABILITY EXPENSE";"PRODSUP",#N/A,FALSE,"QUALITY AND RELIABILITY EXPENSE"}</definedName>
    <definedName name="wrn.All._.Sheets." localSheetId="8" hidden="1">{#N/A,#N/A,FALSE,"Adj Proj";#N/A,#N/A,FALSE,"Sheet1";#N/A,#N/A,FALSE,"LBO";#N/A,#N/A,FALSE,"LBOMER";#N/A,#N/A,FALSE,"WACC";#N/A,#N/A,FALSE,"DCF";#N/A,#N/A,FALSE,"DCFMER";#N/A,#N/A,FALSE,"Pooling";#N/A,#N/A,FALSE,"income";#N/A,#N/A,FALSE,"Offer"}</definedName>
    <definedName name="wrn.All._.Sheets." localSheetId="6" hidden="1">{#N/A,#N/A,FALSE,"Adj Proj";#N/A,#N/A,FALSE,"Sheet1";#N/A,#N/A,FALSE,"LBO";#N/A,#N/A,FALSE,"LBOMER";#N/A,#N/A,FALSE,"WACC";#N/A,#N/A,FALSE,"DCF";#N/A,#N/A,FALSE,"DCFMER";#N/A,#N/A,FALSE,"Pooling";#N/A,#N/A,FALSE,"income";#N/A,#N/A,FALSE,"Offer"}</definedName>
    <definedName name="wrn.All._.Sheets." hidden="1">{#N/A,#N/A,FALSE,"Adj Proj";#N/A,#N/A,FALSE,"Sheet1";#N/A,#N/A,FALSE,"LBO";#N/A,#N/A,FALSE,"LBOMER";#N/A,#N/A,FALSE,"WACC";#N/A,#N/A,FALSE,"DCF";#N/A,#N/A,FALSE,"DCFMER";#N/A,#N/A,FALSE,"Pooling";#N/A,#N/A,FALSE,"income";#N/A,#N/A,FALSE,"Offer"}</definedName>
    <definedName name="wrn.ALL._.SUMMARY._.EXP._.RPTS." localSheetId="8" hidden="1">{"TOTALHEXAMEXPENSE",#N/A,FALSE,"MANUFACTURING EXPENSE SUMMARY";"TOTALASSEMBLYEXPENSE",#N/A,FALSE,"MANUFACTURING EXPENSE SUMMARY";"TOTALWAFERFABEXPENSE",#N/A,FALSE,"MANUFACTURING EXPENSE SUMMARY";"TOTALMATERIALSEXPENSE",#N/A,FALSE,"MANUFACTURING EXPENSE SUMMARY";"TOTALQAEXPENSE",#N/A,FALSE,"MANUFACTURING EXPENSE SUMMARY";"TOTALSUBEXPNESE",#N/A,FALSE,"MANUFACTURING EXPENSE SUMMARY";"TOTALFACILITIESEXPENSE",#N/A,FALSE,"MANUFACTURING EXPENSE SUMMARY";"TOTALWAFERFAB2EXPENSE",#N/A,FALSE,"MANUFACTURING EXPENSE SUMMARY"}</definedName>
    <definedName name="wrn.ALL._.SUMMARY._.EXP._.RPTS." localSheetId="6" hidden="1">{"TOTALHEXAMEXPENSE",#N/A,FALSE,"MANUFACTURING EXPENSE SUMMARY";"TOTALASSEMBLYEXPENSE",#N/A,FALSE,"MANUFACTURING EXPENSE SUMMARY";"TOTALWAFERFABEXPENSE",#N/A,FALSE,"MANUFACTURING EXPENSE SUMMARY";"TOTALMATERIALSEXPENSE",#N/A,FALSE,"MANUFACTURING EXPENSE SUMMARY";"TOTALQAEXPENSE",#N/A,FALSE,"MANUFACTURING EXPENSE SUMMARY";"TOTALSUBEXPNESE",#N/A,FALSE,"MANUFACTURING EXPENSE SUMMARY";"TOTALFACILITIESEXPENSE",#N/A,FALSE,"MANUFACTURING EXPENSE SUMMARY";"TOTALWAFERFAB2EXPENSE",#N/A,FALSE,"MANUFACTURING EXPENSE SUMMARY"}</definedName>
    <definedName name="wrn.ALL._.SUMMARY._.EXP._.RPTS." hidden="1">{"TOTALHEXAMEXPENSE",#N/A,FALSE,"MANUFACTURING EXPENSE SUMMARY";"TOTALASSEMBLYEXPENSE",#N/A,FALSE,"MANUFACTURING EXPENSE SUMMARY";"TOTALWAFERFABEXPENSE",#N/A,FALSE,"MANUFACTURING EXPENSE SUMMARY";"TOTALMATERIALSEXPENSE",#N/A,FALSE,"MANUFACTURING EXPENSE SUMMARY";"TOTALQAEXPENSE",#N/A,FALSE,"MANUFACTURING EXPENSE SUMMARY";"TOTALSUBEXPNESE",#N/A,FALSE,"MANUFACTURING EXPENSE SUMMARY";"TOTALFACILITIESEXPENSE",#N/A,FALSE,"MANUFACTURING EXPENSE SUMMARY";"TOTALWAFERFAB2EXPENSE",#N/A,FALSE,"MANUFACTURING EXPENSE SUMMARY"}</definedName>
    <definedName name="wrn.ALL._.TO220._.REPORTS." localSheetId="8" hidden="1">{"TOTALTO220",#N/A,FALSE,"TO-220 PRODUCTION";"HATO220",#N/A,FALSE,"TO-220 PRODUCTION";"MXTO220",#N/A,FALSE,"TO-220 PRODUCTION";"PSITO220",#N/A,FALSE,"TO-220 PRODUCTION";"MOTTO220",#N/A,FALSE,"TO-220 PRODUCTION"}</definedName>
    <definedName name="wrn.ALL._.TO220._.REPORTS." localSheetId="6" hidden="1">{"TOTALTO220",#N/A,FALSE,"TO-220 PRODUCTION";"HATO220",#N/A,FALSE,"TO-220 PRODUCTION";"MXTO220",#N/A,FALSE,"TO-220 PRODUCTION";"PSITO220",#N/A,FALSE,"TO-220 PRODUCTION";"MOTTO220",#N/A,FALSE,"TO-220 PRODUCTION"}</definedName>
    <definedName name="wrn.ALL._.TO220._.REPORTS." hidden="1">{"TOTALTO220",#N/A,FALSE,"TO-220 PRODUCTION";"HATO220",#N/A,FALSE,"TO-220 PRODUCTION";"MXTO220",#N/A,FALSE,"TO-220 PRODUCTION";"PSITO220",#N/A,FALSE,"TO-220 PRODUCTION";"MOTTO220",#N/A,FALSE,"TO-220 PRODUCTION"}</definedName>
    <definedName name="wrn.All_Models." localSheetId="8" hidden="1">{#N/A,#N/A,FALSE,"Summary";#N/A,#N/A,FALSE,"Projections";#N/A,#N/A,FALSE,"Mkt Mults";#N/A,#N/A,FALSE,"DCF";#N/A,#N/A,FALSE,"Accr Dil";#N/A,#N/A,FALSE,"PIC LBO";#N/A,#N/A,FALSE,"MULT10_4";#N/A,#N/A,FALSE,"CBI LBO"}</definedName>
    <definedName name="wrn.All_Models." localSheetId="6" hidden="1">{#N/A,#N/A,FALSE,"Summary";#N/A,#N/A,FALSE,"Projections";#N/A,#N/A,FALSE,"Mkt Mults";#N/A,#N/A,FALSE,"DCF";#N/A,#N/A,FALSE,"Accr Dil";#N/A,#N/A,FALSE,"PIC LBO";#N/A,#N/A,FALSE,"MULT10_4";#N/A,#N/A,FALSE,"CBI LBO"}</definedName>
    <definedName name="wrn.All_Models." hidden="1">{#N/A,#N/A,FALSE,"Summary";#N/A,#N/A,FALSE,"Projections";#N/A,#N/A,FALSE,"Mkt Mults";#N/A,#N/A,FALSE,"DCF";#N/A,#N/A,FALSE,"Accr Dil";#N/A,#N/A,FALSE,"PIC LBO";#N/A,#N/A,FALSE,"MULT10_4";#N/A,#N/A,FALSE,"CBI LBO"}</definedName>
    <definedName name="wrn.All_Sheets." localSheetId="8" hidden="1">{#N/A,#N/A,FALSE,"Projections";#N/A,#N/A,FALSE,"Contribution_Stock";#N/A,#N/A,FALSE,"PF_Combo_Stock";#N/A,#N/A,FALSE,"Projections";#N/A,#N/A,FALSE,"Contribution_Cash";#N/A,#N/A,FALSE,"PF_Combo_Cash";#N/A,#N/A,FALSE,"IPO_Cash"}</definedName>
    <definedName name="wrn.All_Sheets." localSheetId="6" hidden="1">{#N/A,#N/A,FALSE,"Projections";#N/A,#N/A,FALSE,"Contribution_Stock";#N/A,#N/A,FALSE,"PF_Combo_Stock";#N/A,#N/A,FALSE,"Projections";#N/A,#N/A,FALSE,"Contribution_Cash";#N/A,#N/A,FALSE,"PF_Combo_Cash";#N/A,#N/A,FALSE,"IPO_Cash"}</definedName>
    <definedName name="wrn.All_Sheets." hidden="1">{#N/A,#N/A,FALSE,"Projections";#N/A,#N/A,FALSE,"Contribution_Stock";#N/A,#N/A,FALSE,"PF_Combo_Stock";#N/A,#N/A,FALSE,"Projections";#N/A,#N/A,FALSE,"Contribution_Cash";#N/A,#N/A,FALSE,"PF_Combo_Cash";#N/A,#N/A,FALSE,"IPO_Cash"}</definedName>
    <definedName name="wrn.ALLbutPREMIUM." localSheetId="8"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 localSheetId="6"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localSheetId="8" hidden="1">{#N/A,#N/A,FALSE,"AD_Purchase";#N/A,#N/A,FALSE,"Credit";#N/A,#N/A,FALSE,"PF Acquisition";#N/A,#N/A,FALSE,"PF Offering"}</definedName>
    <definedName name="wrn.AllModels." localSheetId="6" hidden="1">{#N/A,#N/A,FALSE,"AD_Purchase";#N/A,#N/A,FALSE,"Credit";#N/A,#N/A,FALSE,"PF Acquisition";#N/A,#N/A,FALSE,"PF Offering"}</definedName>
    <definedName name="wrn.AllModels." hidden="1">{#N/A,#N/A,FALSE,"AD_Purchase";#N/A,#N/A,FALSE,"Credit";#N/A,#N/A,FALSE,"PF Acquisition";#N/A,#N/A,FALSE,"PF Offering"}</definedName>
    <definedName name="wrn.ALLOC._.Q1._.AND._.Q2._.FY96." localSheetId="8" hidden="1">{"ALLOCATION1",#N/A,FALSE,"EXPENSE ALLOCATIONS"}</definedName>
    <definedName name="wrn.ALLOC._.Q1._.AND._.Q2._.FY96." localSheetId="6" hidden="1">{"ALLOCATION1",#N/A,FALSE,"EXPENSE ALLOCATIONS"}</definedName>
    <definedName name="wrn.ALLOC._.Q1._.AND._.Q2._.FY96." hidden="1">{"ALLOCATION1",#N/A,FALSE,"EXPENSE ALLOCATIONS"}</definedName>
    <definedName name="wrn.ALLOC._.Q1._.AND._.Q2._.FY97." localSheetId="8" hidden="1">{"ALLOCATION3",#N/A,FALSE,"EXPENSE ALLOCATIONS"}</definedName>
    <definedName name="wrn.ALLOC._.Q1._.AND._.Q2._.FY97." localSheetId="6" hidden="1">{"ALLOCATION3",#N/A,FALSE,"EXPENSE ALLOCATIONS"}</definedName>
    <definedName name="wrn.ALLOC._.Q1._.AND._.Q2._.FY97." hidden="1">{"ALLOCATION3",#N/A,FALSE,"EXPENSE ALLOCATIONS"}</definedName>
    <definedName name="wrn.ALLOC._.Q3._.AND._.Q4._.FY96." localSheetId="8" hidden="1">{"ALLOCATION2",#N/A,FALSE,"EXPENSE ALLOCATIONS"}</definedName>
    <definedName name="wrn.ALLOC._.Q3._.AND._.Q4._.FY96." localSheetId="6" hidden="1">{"ALLOCATION2",#N/A,FALSE,"EXPENSE ALLOCATIONS"}</definedName>
    <definedName name="wrn.ALLOC._.Q3._.AND._.Q4._.FY96." hidden="1">{"ALLOCATION2",#N/A,FALSE,"EXPENSE ALLOCATIONS"}</definedName>
    <definedName name="wrn.ALLOC._.Q3._.AND._.Q4._.FY97." localSheetId="8" hidden="1">{"ALLOCATION4",#N/A,FALSE,"EXPENSE ALLOCATIONS"}</definedName>
    <definedName name="wrn.ALLOC._.Q3._.AND._.Q4._.FY97." localSheetId="6" hidden="1">{"ALLOCATION4",#N/A,FALSE,"EXPENSE ALLOCATIONS"}</definedName>
    <definedName name="wrn.ALLOC._.Q3._.AND._.Q4._.FY97." hidden="1">{"ALLOCATION4",#N/A,FALSE,"EXPENSE ALLOCATIONS"}</definedName>
    <definedName name="wrn.Allocation._.Matrix." localSheetId="8" hidden="1">{"Allocation Matrix p1",#N/A,FALSE,"Allocation Matrix";"Allocation Matrix p2",#N/A,FALSE,"Allocation Matrix";"Allocation Matrix p3",#N/A,FALSE,"Allocation Matrix"}</definedName>
    <definedName name="wrn.Allocation._.Matrix." localSheetId="6" hidden="1">{"Allocation Matrix p1",#N/A,FALSE,"Allocation Matrix";"Allocation Matrix p2",#N/A,FALSE,"Allocation Matrix";"Allocation Matrix p3",#N/A,FALSE,"Allocation Matrix"}</definedName>
    <definedName name="wrn.Allocation._.Matrix." hidden="1">{"Allocation Matrix p1",#N/A,FALSE,"Allocation Matrix";"Allocation Matrix p2",#N/A,FALSE,"Allocation Matrix";"Allocation Matrix p3",#N/A,FALSE,"Allocation Matrix"}</definedName>
    <definedName name="wrn.Americas." localSheetId="8" hidden="1">{#N/A,#N/A,FALSE,"Americas"}</definedName>
    <definedName name="wrn.Americas." localSheetId="6" hidden="1">{#N/A,#N/A,FALSE,"Americas"}</definedName>
    <definedName name="wrn.Americas." hidden="1">{#N/A,#N/A,FALSE,"Americas"}</definedName>
    <definedName name="wrn.Amortization." localSheetId="8" hidden="1">{"Exist Debt Amort",#N/A,TRUE,"Financials";"Intangible Amort",#N/A,TRUE,"Financials";"Proj Debt Amort",#N/A,TRUE,"Financials";"Proj Pfd Amort",#N/A,TRUE,"Financials"}</definedName>
    <definedName name="wrn.Amortization." localSheetId="6"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PRIL." localSheetId="8" hidden="1">{"APRIL",#N/A,FALSE,"Q4"}</definedName>
    <definedName name="wrn.APRIL." localSheetId="6" hidden="1">{"APRIL",#N/A,FALSE,"Q4"}</definedName>
    <definedName name="wrn.APRIL." hidden="1">{"APRIL",#N/A,FALSE,"Q4"}</definedName>
    <definedName name="wrn.ASSEM._.SALARY._.CALC." localSheetId="8" hidden="1">{"SALMGMT",#N/A,FALSE,"ASSEMBLY EXPENSE";"SALMFGENG",#N/A,FALSE,"ASSEMBLY EXPENSE";"SALEQUIPENG",#N/A,FALSE,"ASSEMBLY EXPENSE";"SALTO220MGMT",#N/A,FALSE,"ASSEMBLY EXPENSE";"SALEQUIPSUP",#N/A,FALSE,"ASSEMBLY EXPENSE";"SALMATPROCESS",#N/A,FALSE,"ASSEMBLY EXPENSE"}</definedName>
    <definedName name="wrn.ASSEM._.SALARY._.CALC." localSheetId="6" hidden="1">{"SALMGMT",#N/A,FALSE,"ASSEMBLY EXPENSE";"SALMFGENG",#N/A,FALSE,"ASSEMBLY EXPENSE";"SALEQUIPENG",#N/A,FALSE,"ASSEMBLY EXPENSE";"SALTO220MGMT",#N/A,FALSE,"ASSEMBLY EXPENSE";"SALEQUIPSUP",#N/A,FALSE,"ASSEMBLY EXPENSE";"SALMATPROCESS",#N/A,FALSE,"ASSEMBLY EXPENSE"}</definedName>
    <definedName name="wrn.ASSEM._.SALARY._.CALC." hidden="1">{"SALMGMT",#N/A,FALSE,"ASSEMBLY EXPENSE";"SALMFGENG",#N/A,FALSE,"ASSEMBLY EXPENSE";"SALEQUIPENG",#N/A,FALSE,"ASSEMBLY EXPENSE";"SALTO220MGMT",#N/A,FALSE,"ASSEMBLY EXPENSE";"SALEQUIPSUP",#N/A,FALSE,"ASSEMBLY EXPENSE";"SALMATPROCESS",#N/A,FALSE,"ASSEMBLY EXPENSE"}</definedName>
    <definedName name="wrn.ASSETS." localSheetId="8" hidden="1">{#N/A,#N/A,FALSE,"notes";#N/A,#N/A,FALSE,"Assets";#N/A,#N/A,FALSE,"assgraph";#N/A,#N/A,FALSE,"FG Inventory Aging";#N/A,#N/A,FALSE,"WWINVSUM";#N/A,#N/A,FALSE,"WWinvFAM";#N/A,#N/A,FALSE,"RM&amp;WIP"}</definedName>
    <definedName name="wrn.ASSETS." localSheetId="6" hidden="1">{#N/A,#N/A,FALSE,"notes";#N/A,#N/A,FALSE,"Assets";#N/A,#N/A,FALSE,"assgraph";#N/A,#N/A,FALSE,"FG Inventory Aging";#N/A,#N/A,FALSE,"WWINVSUM";#N/A,#N/A,FALSE,"WWinvFAM";#N/A,#N/A,FALSE,"RM&amp;WIP"}</definedName>
    <definedName name="wrn.ASSETS." hidden="1">{#N/A,#N/A,FALSE,"notes";#N/A,#N/A,FALSE,"Assets";#N/A,#N/A,FALSE,"assgraph";#N/A,#N/A,FALSE,"FG Inventory Aging";#N/A,#N/A,FALSE,"WWINVSUM";#N/A,#N/A,FALSE,"WWinvFAM";#N/A,#N/A,FALSE,"RM&amp;WIP"}</definedName>
    <definedName name="wrn.Assumptions." localSheetId="8" hidden="1">{"Rev and Exp",#N/A,TRUE,"Financials";"Working Capital",#N/A,TRUE,"Financials"}</definedName>
    <definedName name="wrn.Assumptions." localSheetId="6" hidden="1">{"Rev and Exp",#N/A,TRUE,"Financials";"Working Capital",#N/A,TRUE,"Financials"}</definedName>
    <definedName name="wrn.Assumptions." hidden="1">{"Rev and Exp",#N/A,TRUE,"Financials";"Working Capital",#N/A,TRUE,"Financials"}</definedName>
    <definedName name="wrn.AUGUST." localSheetId="8" hidden="1">{"Q1AUG",#N/A,FALSE,"Q1"}</definedName>
    <definedName name="wrn.AUGUST." localSheetId="6" hidden="1">{"Q1AUG",#N/A,FALSE,"Q1"}</definedName>
    <definedName name="wrn.AUGUST." hidden="1">{"Q1AUG",#N/A,FALSE,"Q1"}</definedName>
    <definedName name="wrn.Auto._.Comp." localSheetId="8" hidden="1">{#N/A,#N/A,FALSE,"Sheet1"}</definedName>
    <definedName name="wrn.Auto._.Comp." localSheetId="6" hidden="1">{#N/A,#N/A,FALSE,"Sheet1"}</definedName>
    <definedName name="wrn.Auto._.Comp." hidden="1">{#N/A,#N/A,FALSE,"Sheet1"}</definedName>
    <definedName name="wrn.b1._.FY9798Totals." localSheetId="8" hidden="1">{"FY97Total",#N/A,FALSE,"FY97 - Total";"FY98Total",#N/A,FALSE,"FY98 - Total"}</definedName>
    <definedName name="wrn.b1._.FY9798Totals." localSheetId="6" hidden="1">{"FY97Total",#N/A,FALSE,"FY97 - Total";"FY98Total",#N/A,FALSE,"FY98 - Total"}</definedName>
    <definedName name="wrn.b1._.FY9798Totals." hidden="1">{"FY97Total",#N/A,FALSE,"FY97 - Total";"FY98Total",#N/A,FALSE,"FY98 - Total"}</definedName>
    <definedName name="wrn.b2._.FY97Q1234." localSheetId="8" hidden="1">{"FY97Q1",#N/A,FALSE,"FY97 - Q1";"FY97Q2",#N/A,FALSE,"FY97 - Q2";"FY97Q3",#N/A,FALSE,"FY97 - Q3";"FY97Q4",#N/A,FALSE,"FY97 - Q4"}</definedName>
    <definedName name="wrn.b2._.FY97Q1234." localSheetId="6" hidden="1">{"FY97Q1",#N/A,FALSE,"FY97 - Q1";"FY97Q2",#N/A,FALSE,"FY97 - Q2";"FY97Q3",#N/A,FALSE,"FY97 - Q3";"FY97Q4",#N/A,FALSE,"FY97 - Q4"}</definedName>
    <definedName name="wrn.b2._.FY97Q1234." hidden="1">{"FY97Q1",#N/A,FALSE,"FY97 - Q1";"FY97Q2",#N/A,FALSE,"FY97 - Q2";"FY97Q3",#N/A,FALSE,"FY97 - Q3";"FY97Q4",#N/A,FALSE,"FY97 - Q4"}</definedName>
    <definedName name="wrn.b3._.FY98Q1234." localSheetId="8" hidden="1">{"FY98Q1",#N/A,FALSE,"FY98 - Q1";"FY98Q2",#N/A,FALSE,"FY98 - Q2";"FY98Q3",#N/A,FALSE,"FY98 - Q3";"FY98Q4",#N/A,FALSE,"FY98 - Q4"}</definedName>
    <definedName name="wrn.b3._.FY98Q1234." localSheetId="6" hidden="1">{"FY98Q1",#N/A,FALSE,"FY98 - Q1";"FY98Q2",#N/A,FALSE,"FY98 - Q2";"FY98Q3",#N/A,FALSE,"FY98 - Q3";"FY98Q4",#N/A,FALSE,"FY98 - Q4"}</definedName>
    <definedName name="wrn.b3._.FY98Q1234." hidden="1">{"FY98Q1",#N/A,FALSE,"FY98 - Q1";"FY98Q2",#N/A,FALSE,"FY98 - Q2";"FY98Q3",#N/A,FALSE,"FY98 - Q3";"FY98Q4",#N/A,FALSE,"FY98 - Q4"}</definedName>
    <definedName name="wrn.balance._.sheet." localSheetId="8" hidden="1">{"bs",#N/A,FALSE,"SCF"}</definedName>
    <definedName name="wrn.balance._.sheet." localSheetId="6" hidden="1">{"bs",#N/A,FALSE,"SCF"}</definedName>
    <definedName name="wrn.balance._.sheet." hidden="1">{"bs",#N/A,FALSE,"SCF"}</definedName>
    <definedName name="wrn.basics." localSheetId="8" hidden="1">{#N/A,#N/A,FALSE,"TSUM";#N/A,#N/A,FALSE,"shares";#N/A,#N/A,FALSE,"earnout";#N/A,#N/A,FALSE,"Heaty";#N/A,#N/A,FALSE,"self-tend";#N/A,#N/A,FALSE,"self-sum"}</definedName>
    <definedName name="wrn.basics." localSheetId="6" hidden="1">{#N/A,#N/A,FALSE,"TSUM";#N/A,#N/A,FALSE,"shares";#N/A,#N/A,FALSE,"earnout";#N/A,#N/A,FALSE,"Heaty";#N/A,#N/A,FALSE,"self-tend";#N/A,#N/A,FALSE,"self-sum"}</definedName>
    <definedName name="wrn.basics." hidden="1">{#N/A,#N/A,FALSE,"TSUM";#N/A,#N/A,FALSE,"shares";#N/A,#N/A,FALSE,"earnout";#N/A,#N/A,FALSE,"Heaty";#N/A,#N/A,FALSE,"self-tend";#N/A,#N/A,FALSE,"self-sum"}</definedName>
    <definedName name="wrn.bullshit1." localSheetId="8" hidden="1">{#N/A,#N/A,FALSE,"Sheet1";#N/A,#N/A,FALSE,"Summary";#N/A,#N/A,FALSE,"proj1";#N/A,#N/A,FALSE,"proj2"}</definedName>
    <definedName name="wrn.bullshit1." localSheetId="6" hidden="1">{#N/A,#N/A,FALSE,"Sheet1";#N/A,#N/A,FALSE,"Summary";#N/A,#N/A,FALSE,"proj1";#N/A,#N/A,FALSE,"proj2"}</definedName>
    <definedName name="wrn.bullshit1." hidden="1">{#N/A,#N/A,FALSE,"Sheet1";#N/A,#N/A,FALSE,"Summary";#N/A,#N/A,FALSE,"proj1";#N/A,#N/A,FALSE,"proj2"}</definedName>
    <definedName name="wrn.c1._.FY9798Totals._.var._.only." localSheetId="8" hidden="1">{"FY97Total var",#N/A,FALSE,"FY97 - Total";"FY98Total var",#N/A,FALSE,"FY98 - Total"}</definedName>
    <definedName name="wrn.c1._.FY9798Totals._.var._.only." localSheetId="6" hidden="1">{"FY97Total var",#N/A,FALSE,"FY97 - Total";"FY98Total var",#N/A,FALSE,"FY98 - Total"}</definedName>
    <definedName name="wrn.c1._.FY9798Totals._.var._.only." hidden="1">{"FY97Total var",#N/A,FALSE,"FY97 - Total";"FY98Total var",#N/A,FALSE,"FY98 - Total"}</definedName>
    <definedName name="wrn.c2._.FY97Q1234._.var._.only." localSheetId="8" hidden="1">{"FY97Q1 var",#N/A,FALSE,"FY97 - Q1";"FY97Q2 var",#N/A,FALSE,"FY97 - Q2";"FY97Q3 var",#N/A,FALSE,"FY97 - Q3";"FY97Q4 var",#N/A,FALSE,"FY97 - Q4"}</definedName>
    <definedName name="wrn.c2._.FY97Q1234._.var._.only." localSheetId="6" hidden="1">{"FY97Q1 var",#N/A,FALSE,"FY97 - Q1";"FY97Q2 var",#N/A,FALSE,"FY97 - Q2";"FY97Q3 var",#N/A,FALSE,"FY97 - Q3";"FY97Q4 var",#N/A,FALSE,"FY97 - Q4"}</definedName>
    <definedName name="wrn.c2._.FY97Q1234._.var._.only." hidden="1">{"FY97Q1 var",#N/A,FALSE,"FY97 - Q1";"FY97Q2 var",#N/A,FALSE,"FY97 - Q2";"FY97Q3 var",#N/A,FALSE,"FY97 - Q3";"FY97Q4 var",#N/A,FALSE,"FY97 - Q4"}</definedName>
    <definedName name="wrn.c3._.FY98Q1234._.var._.only." localSheetId="8" hidden="1">{"FY98Q1 var",#N/A,FALSE,"FY98 - Q1";"FY98Q2 var",#N/A,FALSE,"FY98 - Q2";"FY98Q3 var",#N/A,FALSE,"FY98 - Q3";"FY98Q4 var",#N/A,FALSE,"FY98 - Q4"}</definedName>
    <definedName name="wrn.c3._.FY98Q1234._.var._.only." localSheetId="6" hidden="1">{"FY98Q1 var",#N/A,FALSE,"FY98 - Q1";"FY98Q2 var",#N/A,FALSE,"FY98 - Q2";"FY98Q3 var",#N/A,FALSE,"FY98 - Q3";"FY98Q4 var",#N/A,FALSE,"FY98 - Q4"}</definedName>
    <definedName name="wrn.c3._.FY98Q1234._.var._.only." hidden="1">{"FY98Q1 var",#N/A,FALSE,"FY98 - Q1";"FY98Q2 var",#N/A,FALSE,"FY98 - Q2";"FY98Q3 var",#N/A,FALSE,"FY98 - Q3";"FY98Q4 var",#N/A,FALSE,"FY98 - Q4"}</definedName>
    <definedName name="wrn.CapersPlotter." localSheetId="8" hidden="1">{#N/A,#N/A,FALSE,"DI 2 YEAR MASTER SCHEDULE"}</definedName>
    <definedName name="wrn.CapersPlotter." localSheetId="6" hidden="1">{#N/A,#N/A,FALSE,"DI 2 YEAR MASTER SCHEDULE"}</definedName>
    <definedName name="wrn.CapersPlotter." hidden="1">{#N/A,#N/A,FALSE,"DI 2 YEAR MASTER SCHEDULE"}</definedName>
    <definedName name="wrn.CESD._.PERFORMANCE." localSheetId="8" hidden="1">{#N/A,#N/A,FALSE,"CUSTOM";#N/A,#N/A,FALSE,"cesd cust";#N/A,#N/A,FALSE,"PRODUCT";#N/A,#N/A,FALSE,"cesd family"}</definedName>
    <definedName name="wrn.CESD._.PERFORMANCE." localSheetId="6" hidden="1">{#N/A,#N/A,FALSE,"CUSTOM";#N/A,#N/A,FALSE,"cesd cust";#N/A,#N/A,FALSE,"PRODUCT";#N/A,#N/A,FALSE,"cesd family"}</definedName>
    <definedName name="wrn.CESD._.PERFORMANCE." hidden="1">{#N/A,#N/A,FALSE,"CUSTOM";#N/A,#N/A,FALSE,"cesd cust";#N/A,#N/A,FALSE,"PRODUCT";#N/A,#N/A,FALSE,"cesd family"}</definedName>
    <definedName name="wrn.compare." localSheetId="8" hidden="1">{"page1",#N/A,FALSE,"Temp";"page2",#N/A,FALSE,"Temp";"page3",#N/A,FALSE,"Temp";"page4",#N/A,FALSE,"Temp";"page5",#N/A,FALSE,"Temp";"page6",#N/A,FALSE,"Temp"}</definedName>
    <definedName name="wrn.compare." localSheetId="6"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s" localSheetId="8" hidden="1">{"page1",#N/A,FALSE,"Temp";"page2",#N/A,FALSE,"Temp";"page3",#N/A,FALSE,"Temp";"page4",#N/A,FALSE,"Temp";"page5",#N/A,FALSE,"Temp";"page6",#N/A,FALSE,"Temp"}</definedName>
    <definedName name="wrn.compare.s" localSheetId="6" hidden="1">{"page1",#N/A,FALSE,"Temp";"page2",#N/A,FALSE,"Temp";"page3",#N/A,FALSE,"Temp";"page4",#N/A,FALSE,"Temp";"page5",#N/A,FALSE,"Temp";"page6",#N/A,FALSE,"Temp"}</definedName>
    <definedName name="wrn.compare.s" hidden="1">{"page1",#N/A,FALSE,"Temp";"page2",#N/A,FALSE,"Temp";"page3",#N/A,FALSE,"Temp";"page4",#N/A,FALSE,"Temp";"page5",#N/A,FALSE,"Temp";"page6",#N/A,FALSE,"Temp"}</definedName>
    <definedName name="wrn.Complete." localSheetId="8"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 localSheetId="6"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sat_compco." localSheetId="8" hidden="1">{"page1",#N/A,FALSE,"comsat";"page2",#N/A,FALSE,"comsat";"summary",#N/A,FALSE,"comsat"}</definedName>
    <definedName name="wrn.comsat_compco." localSheetId="6" hidden="1">{"page1",#N/A,FALSE,"comsat";"page2",#N/A,FALSE,"comsat";"summary",#N/A,FALSE,"comsat"}</definedName>
    <definedName name="wrn.comsat_compco." hidden="1">{"page1",#N/A,FALSE,"comsat";"page2",#N/A,FALSE,"comsat";"summary",#N/A,FALSE,"comsat"}</definedName>
    <definedName name="wrn.CONTROL." localSheetId="8" hidden="1">{"CONTROL",#N/A,FALSE,"REVENUE AND GM "}</definedName>
    <definedName name="wrn.CONTROL." localSheetId="6" hidden="1">{"CONTROL",#N/A,FALSE,"REVENUE AND GM "}</definedName>
    <definedName name="wrn.CONTROL." hidden="1">{"CONTROL",#N/A,FALSE,"REVENUE AND GM "}</definedName>
    <definedName name="wrn.Cost._.Center._.Opex." localSheetId="8" hidden="1">{"510 Opex",#N/A,FALSE,"510";"520 Opex",#N/A,FALSE,"520";"UK Cons Opex",#N/A,FALSE,"Consulting-UK";"522 Opex",#N/A,FALSE,"522";"530 Opex",#N/A,FALSE,"530";"600 Opex",#N/A,FALSE,"600";"601 Opex",#N/A,FALSE,"601";"603 Opex",#N/A,FALSE,"603";"610 Opex",#N/A,FALSE,"610";"UK Sales Opex",#N/A,FALSE,"Sales-UK";"640 Opex",#N/A,FALSE,"640";"642 Opex",#N/A,FALSE,"642";"UK Mktg Opex",#N/A,FALSE,"Marketing - UK";"650 Opex",#N/A,FALSE,"650";"700 Opex",#N/A,FALSE,"700";"710 Opex",#N/A,FALSE,"710";"715 Opex",#N/A,FALSE,"715(DCS)";"720 Opex",#N/A,FALSE,"720(QA)";"800 Opex",#N/A,FALSE,"800";"810 Opex",#N/A,FALSE,"810";"820 Opex",#N/A,FALSE,"820";"830 Opex",#N/A,FALSE,"830";"850 Opex",#N/A,FALSE,"850";"851 Opex",#N/A,FALSE,"851";"Fringe Opex",#N/A,FALSE,"Fringe-825"}</definedName>
    <definedName name="wrn.Cost._.Center._.Opex." localSheetId="6" hidden="1">{"510 Opex",#N/A,FALSE,"510";"520 Opex",#N/A,FALSE,"520";"UK Cons Opex",#N/A,FALSE,"Consulting-UK";"522 Opex",#N/A,FALSE,"522";"530 Opex",#N/A,FALSE,"530";"600 Opex",#N/A,FALSE,"600";"601 Opex",#N/A,FALSE,"601";"603 Opex",#N/A,FALSE,"603";"610 Opex",#N/A,FALSE,"610";"UK Sales Opex",#N/A,FALSE,"Sales-UK";"640 Opex",#N/A,FALSE,"640";"642 Opex",#N/A,FALSE,"642";"UK Mktg Opex",#N/A,FALSE,"Marketing - UK";"650 Opex",#N/A,FALSE,"650";"700 Opex",#N/A,FALSE,"700";"710 Opex",#N/A,FALSE,"710";"715 Opex",#N/A,FALSE,"715(DCS)";"720 Opex",#N/A,FALSE,"720(QA)";"800 Opex",#N/A,FALSE,"800";"810 Opex",#N/A,FALSE,"810";"820 Opex",#N/A,FALSE,"820";"830 Opex",#N/A,FALSE,"830";"850 Opex",#N/A,FALSE,"850";"851 Opex",#N/A,FALSE,"851";"Fringe Opex",#N/A,FALSE,"Fringe-825"}</definedName>
    <definedName name="wrn.Cost._.Center._.Opex." hidden="1">{"510 Opex",#N/A,FALSE,"510";"520 Opex",#N/A,FALSE,"520";"UK Cons Opex",#N/A,FALSE,"Consulting-UK";"522 Opex",#N/A,FALSE,"522";"530 Opex",#N/A,FALSE,"530";"600 Opex",#N/A,FALSE,"600";"601 Opex",#N/A,FALSE,"601";"603 Opex",#N/A,FALSE,"603";"610 Opex",#N/A,FALSE,"610";"UK Sales Opex",#N/A,FALSE,"Sales-UK";"640 Opex",#N/A,FALSE,"640";"642 Opex",#N/A,FALSE,"642";"UK Mktg Opex",#N/A,FALSE,"Marketing - UK";"650 Opex",#N/A,FALSE,"650";"700 Opex",#N/A,FALSE,"700";"710 Opex",#N/A,FALSE,"710";"715 Opex",#N/A,FALSE,"715(DCS)";"720 Opex",#N/A,FALSE,"720(QA)";"800 Opex",#N/A,FALSE,"800";"810 Opex",#N/A,FALSE,"810";"820 Opex",#N/A,FALSE,"820";"830 Opex",#N/A,FALSE,"830";"850 Opex",#N/A,FALSE,"850";"851 Opex",#N/A,FALSE,"851";"Fringe Opex",#N/A,FALSE,"Fringe-825"}</definedName>
    <definedName name="wrn.Cost._.Summary." localSheetId="8" hidden="1">{#N/A,#N/A,FALSE,"Tab 5 - Budget Statement";#N/A,#N/A,FALSE,"Tab 4 - Financial Worksheet";#N/A,#N/A,FALSE,"Tab 1 - Resource Worksheet";#N/A,#N/A,FALSE,"Tab 2 - Educ-Travel-Ent";#N/A,#N/A,FALSE,"Tab 3 - Hardware-Software"}</definedName>
    <definedName name="wrn.Cost._.Summary." localSheetId="6" hidden="1">{#N/A,#N/A,FALSE,"Tab 5 - Budget Statement";#N/A,#N/A,FALSE,"Tab 4 - Financial Worksheet";#N/A,#N/A,FALSE,"Tab 1 - Resource Worksheet";#N/A,#N/A,FALSE,"Tab 2 - Educ-Travel-Ent";#N/A,#N/A,FALSE,"Tab 3 - Hardware-Software"}</definedName>
    <definedName name="wrn.Cost._.Summary." hidden="1">{#N/A,#N/A,FALSE,"Tab 5 - Budget Statement";#N/A,#N/A,FALSE,"Tab 4 - Financial Worksheet";#N/A,#N/A,FALSE,"Tab 1 - Resource Worksheet";#N/A,#N/A,FALSE,"Tab 2 - Educ-Travel-Ent";#N/A,#N/A,FALSE,"Tab 3 - Hardware-Software"}</definedName>
    <definedName name="wrn.Cost._.Summary1." localSheetId="8" hidden="1">{#N/A,#N/A,FALSE,"Tab 5 - Budget Statement";#N/A,#N/A,FALSE,"Tab 4 - Financial Worksheet";#N/A,#N/A,FALSE,"Tab 1 - Resource Worksheet";#N/A,#N/A,FALSE,"Tab 2 - Educ-Travel-Ent";#N/A,#N/A,FALSE,"Tab 3 - Hardware-Software"}</definedName>
    <definedName name="wrn.Cost._.Summary1." localSheetId="6" hidden="1">{#N/A,#N/A,FALSE,"Tab 5 - Budget Statement";#N/A,#N/A,FALSE,"Tab 4 - Financial Worksheet";#N/A,#N/A,FALSE,"Tab 1 - Resource Worksheet";#N/A,#N/A,FALSE,"Tab 2 - Educ-Travel-Ent";#N/A,#N/A,FALSE,"Tab 3 - Hardware-Software"}</definedName>
    <definedName name="wrn.Cost._.Summary1." hidden="1">{#N/A,#N/A,FALSE,"Tab 5 - Budget Statement";#N/A,#N/A,FALSE,"Tab 4 - Financial Worksheet";#N/A,#N/A,FALSE,"Tab 1 - Resource Worksheet";#N/A,#N/A,FALSE,"Tab 2 - Educ-Travel-Ent";#N/A,#N/A,FALSE,"Tab 3 - Hardware-Software"}</definedName>
    <definedName name="wrn.cotop." localSheetId="8" hidden="1">{"ReportTop",#N/A,FALSE,"report top"}</definedName>
    <definedName name="wrn.cotop." localSheetId="6" hidden="1">{"ReportTop",#N/A,FALSE,"report top"}</definedName>
    <definedName name="wrn.cotop." hidden="1">{"ReportTop",#N/A,FALSE,"report top"}</definedName>
    <definedName name="wrn.DCFEpervier." localSheetId="8"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localSheetId="6"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CEMBER." localSheetId="8" hidden="1">{"DECEMBER",#N/A,FALSE,"Q2"}</definedName>
    <definedName name="wrn.DECEMBER." localSheetId="6" hidden="1">{"DECEMBER",#N/A,FALSE,"Q2"}</definedName>
    <definedName name="wrn.DECEMBER." hidden="1">{"DECEMBER",#N/A,FALSE,"Q2"}</definedName>
    <definedName name="wrn.Depreciation." localSheetId="8" hidden="1">{"GAAP Deprec",#N/A,TRUE,"Financials";"Tax Deprec",#N/A,TRUE,"Financials"}</definedName>
    <definedName name="wrn.Depreciation." localSheetId="6" hidden="1">{"GAAP Deprec",#N/A,TRUE,"Financials";"Tax Deprec",#N/A,TRUE,"Financials"}</definedName>
    <definedName name="wrn.Depreciation." hidden="1">{"GAAP Deprec",#N/A,TRUE,"Financials";"Tax Deprec",#N/A,TRUE,"Financials"}</definedName>
    <definedName name="wrn.Detail." localSheetId="8" hidden="1">{"Detail Cash",#N/A,TRUE,"P&amp;L Detail";#N/A,#N/A,TRUE,"P&amp;L Summ"}</definedName>
    <definedName name="wrn.Detail." localSheetId="6" hidden="1">{"Detail Cash",#N/A,TRUE,"P&amp;L Detail";#N/A,#N/A,TRUE,"P&amp;L Summ"}</definedName>
    <definedName name="wrn.Detail." hidden="1">{"Detail Cash",#N/A,TRUE,"P&amp;L Detail";#N/A,#N/A,TRUE,"P&amp;L Summ"}</definedName>
    <definedName name="wrn.Dream._.Team." localSheetId="8" hidden="1">{#N/A,#N/A,FALSE,"Introduction";#N/A,#N/A,FALSE,"Structure"}</definedName>
    <definedName name="wrn.Dream._.Team." localSheetId="6" hidden="1">{#N/A,#N/A,FALSE,"Introduction";#N/A,#N/A,FALSE,"Structure"}</definedName>
    <definedName name="wrn.Dream._.Team." hidden="1">{#N/A,#N/A,FALSE,"Introduction";#N/A,#N/A,FALSE,"Structure"}</definedName>
    <definedName name="wrn.Edutainment._.Priority._.List." localSheetId="8" hidden="1">{#N/A,#N/A,FALSE,"DI 2 YEAR MASTER SCHEDULE"}</definedName>
    <definedName name="wrn.Edutainment._.Priority._.List." localSheetId="6" hidden="1">{#N/A,#N/A,FALSE,"DI 2 YEAR MASTER SCHEDULE"}</definedName>
    <definedName name="wrn.Edutainment._.Priority._.List." hidden="1">{#N/A,#N/A,FALSE,"DI 2 YEAR MASTER SCHEDULE"}</definedName>
    <definedName name="wrn.electron_compco." localSheetId="8" hidden="1">{"page1",#N/A,FALSE,"CWS";"page2",#N/A,FALSE,"CWS";"summary",#N/A,FALSE,"CWS"}</definedName>
    <definedName name="wrn.electron_compco." localSheetId="6" hidden="1">{"page1",#N/A,FALSE,"CWS";"page2",#N/A,FALSE,"CWS";"summary",#N/A,FALSE,"CWS"}</definedName>
    <definedName name="wrn.electron_compco." hidden="1">{"page1",#N/A,FALSE,"CWS";"page2",#N/A,FALSE,"CWS";"summary",#N/A,FALSE,"CWS"}</definedName>
    <definedName name="wrn.electron_wacc." localSheetId="8" hidden="1">{"WACC",#N/A,FALSE,"CWS"}</definedName>
    <definedName name="wrn.electron_wacc." localSheetId="6" hidden="1">{"WACC",#N/A,FALSE,"CWS"}</definedName>
    <definedName name="wrn.electron_wacc." hidden="1">{"WACC",#N/A,FALSE,"CWS"}</definedName>
    <definedName name="wrn.FAB._.1._.TOTAL." localSheetId="8" hidden="1">{"FB1_T",#N/A,FALSE,"FAB 1"}</definedName>
    <definedName name="wrn.FAB._.1._.TOTAL." localSheetId="6" hidden="1">{"FB1_T",#N/A,FALSE,"FAB 1"}</definedName>
    <definedName name="wrn.FAB._.1._.TOTAL." hidden="1">{"FB1_T",#N/A,FALSE,"FAB 1"}</definedName>
    <definedName name="wrn.FAB._.2._.ADMIN._.EXP." localSheetId="8" hidden="1">{"FABMATERIALS",#N/A,FALSE,"WAFER FAB 2 EXPENSE"}</definedName>
    <definedName name="wrn.FAB._.2._.ADMIN._.EXP." localSheetId="6" hidden="1">{"FABMATERIALS",#N/A,FALSE,"WAFER FAB 2 EXPENSE"}</definedName>
    <definedName name="wrn.FAB._.2._.ADMIN._.EXP." hidden="1">{"FABMATERIALS",#N/A,FALSE,"WAFER FAB 2 EXPENSE"}</definedName>
    <definedName name="wrn.FAB._.2._.ENG._.EXP." localSheetId="8" hidden="1">{"FABENGINEERING",#N/A,FALSE,"WAFER FAB 2 EXPENSE"}</definedName>
    <definedName name="wrn.FAB._.2._.ENG._.EXP." localSheetId="6" hidden="1">{"FABENGINEERING",#N/A,FALSE,"WAFER FAB 2 EXPENSE"}</definedName>
    <definedName name="wrn.FAB._.2._.ENG._.EXP." hidden="1">{"FABENGINEERING",#N/A,FALSE,"WAFER FAB 2 EXPENSE"}</definedName>
    <definedName name="wrn.FAB._.2._.EQUIP._.SUP._.EXP." localSheetId="8" hidden="1">{"FABEQUIPSUPPORT",#N/A,FALSE,"WAFER FAB 2 EXPENSE"}</definedName>
    <definedName name="wrn.FAB._.2._.EQUIP._.SUP._.EXP." localSheetId="6" hidden="1">{"FABEQUIPSUPPORT",#N/A,FALSE,"WAFER FAB 2 EXPENSE"}</definedName>
    <definedName name="wrn.FAB._.2._.EQUIP._.SUP._.EXP." hidden="1">{"FABEQUIPSUPPORT",#N/A,FALSE,"WAFER FAB 2 EXPENSE"}</definedName>
    <definedName name="wrn.FAB._.2._.PROD._.EXP." localSheetId="8" hidden="1">{"FABPRODUCTION",#N/A,FALSE,"WAFER FAB 2 EXPENSE"}</definedName>
    <definedName name="wrn.FAB._.2._.PROD._.EXP." localSheetId="6" hidden="1">{"FABPRODUCTION",#N/A,FALSE,"WAFER FAB 2 EXPENSE"}</definedName>
    <definedName name="wrn.FAB._.2._.PROD._.EXP." hidden="1">{"FABPRODUCTION",#N/A,FALSE,"WAFER FAB 2 EXPENSE"}</definedName>
    <definedName name="wrn.FAB._.2._.PROD._.LINE._.EXP." localSheetId="8" hidden="1">{"FABPRODUCTLINE",#N/A,FALSE,"WAFER FAB 2 EXPENSE"}</definedName>
    <definedName name="wrn.FAB._.2._.PROD._.LINE._.EXP." localSheetId="6" hidden="1">{"FABPRODUCTLINE",#N/A,FALSE,"WAFER FAB 2 EXPENSE"}</definedName>
    <definedName name="wrn.FAB._.2._.PROD._.LINE._.EXP." hidden="1">{"FABPRODUCTLINE",#N/A,FALSE,"WAFER FAB 2 EXPENSE"}</definedName>
    <definedName name="wrn.FAB._.2._.SALARY._.REPORTS." localSheetId="8" hidden="1">{"SALFABENG",#N/A,FALSE,"WAFER FAB 2 EXPENSE";"SALFABMAT",#N/A,FALSE,"WAFER FAB 2 EXPENSE"}</definedName>
    <definedName name="wrn.FAB._.2._.SALARY._.REPORTS." localSheetId="6" hidden="1">{"SALFABENG",#N/A,FALSE,"WAFER FAB 2 EXPENSE";"SALFABMAT",#N/A,FALSE,"WAFER FAB 2 EXPENSE"}</definedName>
    <definedName name="wrn.FAB._.2._.SALARY._.REPORTS." hidden="1">{"SALFABENG",#N/A,FALSE,"WAFER FAB 2 EXPENSE";"SALFABMAT",#N/A,FALSE,"WAFER FAB 2 EXPENSE"}</definedName>
    <definedName name="wrn.FAB._.ONE._.3420." localSheetId="8" hidden="1">{"FB342O",#N/A,FALSE,"FAB 1"}</definedName>
    <definedName name="wrn.FAB._.ONE._.3420." localSheetId="6" hidden="1">{"FB342O",#N/A,FALSE,"FAB 1"}</definedName>
    <definedName name="wrn.FAB._.ONE._.3420." hidden="1">{"FB342O",#N/A,FALSE,"FAB 1"}</definedName>
    <definedName name="wrn.FAB._.ONE._.3430." localSheetId="8" hidden="1">{"FB343O",#N/A,FALSE,"FAB 1"}</definedName>
    <definedName name="wrn.FAB._.ONE._.3430." localSheetId="6" hidden="1">{"FB343O",#N/A,FALSE,"FAB 1"}</definedName>
    <definedName name="wrn.FAB._.ONE._.3430." hidden="1">{"FB343O",#N/A,FALSE,"FAB 1"}</definedName>
    <definedName name="wrn.FB3410." localSheetId="8" hidden="1">{"FB341O",#N/A,FALSE,"FAB 1"}</definedName>
    <definedName name="wrn.FB3410." localSheetId="6" hidden="1">{"FB341O",#N/A,FALSE,"FAB 1"}</definedName>
    <definedName name="wrn.FB3410." hidden="1">{"FB341O",#N/A,FALSE,"FAB 1"}</definedName>
    <definedName name="wrn.FEBRUARY." localSheetId="8" hidden="1">{"FEBRUARY",#N/A,FALSE,"Q3"}</definedName>
    <definedName name="wrn.FEBRUARY." localSheetId="6" hidden="1">{"FEBRUARY",#N/A,FALSE,"Q3"}</definedName>
    <definedName name="wrn.FEBRUARY." hidden="1">{"FEBRUARY",#N/A,FALSE,"Q3"}</definedName>
    <definedName name="wrn.Filter." localSheetId="8" hidden="1">{#N/A,#N/A,FALSE,"Assump2";#N/A,#N/A,FALSE,"Income2";#N/A,#N/A,FALSE,"Balance2";#N/A,#N/A,FALSE,"DCF Filter";#N/A,#N/A,FALSE,"Trans Assump2";#N/A,#N/A,FALSE,"Combined Income2";#N/A,#N/A,FALSE,"Combined Balance2"}</definedName>
    <definedName name="wrn.Filter." localSheetId="6" hidden="1">{#N/A,#N/A,FALSE,"Assump2";#N/A,#N/A,FALSE,"Income2";#N/A,#N/A,FALSE,"Balance2";#N/A,#N/A,FALSE,"DCF Filter";#N/A,#N/A,FALSE,"Trans Assump2";#N/A,#N/A,FALSE,"Combined Income2";#N/A,#N/A,FALSE,"Combined Balance2"}</definedName>
    <definedName name="wrn.Filter." hidden="1">{#N/A,#N/A,FALSE,"Assump2";#N/A,#N/A,FALSE,"Income2";#N/A,#N/A,FALSE,"Balance2";#N/A,#N/A,FALSE,"DCF Filter";#N/A,#N/A,FALSE,"Trans Assump2";#N/A,#N/A,FALSE,"Combined Income2";#N/A,#N/A,FALSE,"Combined Balance2"}</definedName>
    <definedName name="wrn.Financial._.Statements." localSheetId="8" hidden="1">{#N/A,#N/A,TRUE,"Hist &amp; Proj BS 98-02";#N/A,#N/A,TRUE,"Hist &amp; Proj IS 98-02";#N/A,#N/A,TRUE,"Hist &amp; Proj Oper Exp 98-02";#N/A,#N/A,TRUE,"Hist &amp; Proj CF 99-02";#N/A,#N/A,TRUE,"Mnthly Cash 99";#N/A,#N/A,TRUE,"Mnthly Cash 00";#N/A,#N/A,TRUE,"Mnthly Cash 01";#N/A,#N/A,TRUE,"Mnthly Cash 02";#N/A,#N/A,TRUE,"Mnthly IS 99";#N/A,#N/A,TRUE,"Mnthly IS 00";#N/A,#N/A,TRUE,"Mnthly IS 01";#N/A,#N/A,TRUE,"Mnthly IS 02"}</definedName>
    <definedName name="wrn.Financial._.Statements." localSheetId="6" hidden="1">{#N/A,#N/A,TRUE,"Hist &amp; Proj BS 98-02";#N/A,#N/A,TRUE,"Hist &amp; Proj IS 98-02";#N/A,#N/A,TRUE,"Hist &amp; Proj Oper Exp 98-02";#N/A,#N/A,TRUE,"Hist &amp; Proj CF 99-02";#N/A,#N/A,TRUE,"Mnthly Cash 99";#N/A,#N/A,TRUE,"Mnthly Cash 00";#N/A,#N/A,TRUE,"Mnthly Cash 01";#N/A,#N/A,TRUE,"Mnthly Cash 02";#N/A,#N/A,TRUE,"Mnthly IS 99";#N/A,#N/A,TRUE,"Mnthly IS 00";#N/A,#N/A,TRUE,"Mnthly IS 01";#N/A,#N/A,TRUE,"Mnthly IS 02"}</definedName>
    <definedName name="wrn.Financial._.Statements." hidden="1">{#N/A,#N/A,TRUE,"Hist &amp; Proj BS 98-02";#N/A,#N/A,TRUE,"Hist &amp; Proj IS 98-02";#N/A,#N/A,TRUE,"Hist &amp; Proj Oper Exp 98-02";#N/A,#N/A,TRUE,"Hist &amp; Proj CF 99-02";#N/A,#N/A,TRUE,"Mnthly Cash 99";#N/A,#N/A,TRUE,"Mnthly Cash 00";#N/A,#N/A,TRUE,"Mnthly Cash 01";#N/A,#N/A,TRUE,"Mnthly Cash 02";#N/A,#N/A,TRUE,"Mnthly IS 99";#N/A,#N/A,TRUE,"Mnthly IS 00";#N/A,#N/A,TRUE,"Mnthly IS 01";#N/A,#N/A,TRUE,"Mnthly IS 02"}</definedName>
    <definedName name="wrn.Financials." localSheetId="8" hidden="1">{"Inc Stmt",#N/A,TRUE,"Financials";"Common Size",#N/A,TRUE,"Financials";"BS Assets",#N/A,TRUE,"Financials";"BS Liabilities",#N/A,TRUE,"Financials";"Cash Flow Stmt",#N/A,TRUE,"Financials";"DCF",#N/A,TRUE,"Financials"}</definedName>
    <definedName name="wrn.Financials." localSheetId="6" hidden="1">{"Inc Stmt",#N/A,TRUE,"Financials";"Common Size",#N/A,TRUE,"Financials";"BS Assets",#N/A,TRUE,"Financials";"BS Liabilities",#N/A,TRUE,"Financials";"Cash Flow Stmt",#N/A,TRUE,"Financials";"DCF",#N/A,TRUE,"Financials"}</definedName>
    <definedName name="wrn.Financials." hidden="1">{"Inc Stmt",#N/A,TRUE,"Financials";"Common Size",#N/A,TRUE,"Financials";"BS Assets",#N/A,TRUE,"Financials";"BS Liabilities",#N/A,TRUE,"Financials";"Cash Flow Stmt",#N/A,TRUE,"Financials";"DCF",#N/A,TRUE,"Financials"}</definedName>
    <definedName name="wrn.first2." localSheetId="8" hidden="1">{#N/A,#N/A,FALSE,"sum-don";#N/A,#N/A,FALSE,"inc-don"}</definedName>
    <definedName name="wrn.first2." localSheetId="6" hidden="1">{#N/A,#N/A,FALSE,"sum-don";#N/A,#N/A,FALSE,"inc-don"}</definedName>
    <definedName name="wrn.first2." hidden="1">{#N/A,#N/A,FALSE,"sum-don";#N/A,#N/A,FALSE,"inc-don"}</definedName>
    <definedName name="wrn.first3." localSheetId="8" hidden="1">{#N/A,#N/A,FALSE,"Summary";#N/A,#N/A,FALSE,"proj1";#N/A,#N/A,FALSE,"proj2"}</definedName>
    <definedName name="wrn.first3." localSheetId="6" hidden="1">{#N/A,#N/A,FALSE,"Summary";#N/A,#N/A,FALSE,"proj1";#N/A,#N/A,FALSE,"proj2"}</definedName>
    <definedName name="wrn.first3." hidden="1">{#N/A,#N/A,FALSE,"Summary";#N/A,#N/A,FALSE,"proj1";#N/A,#N/A,FALSE,"proj2"}</definedName>
    <definedName name="wrn.first4." localSheetId="8" hidden="1">{#N/A,#N/A,FALSE,"Summary";#N/A,#N/A,FALSE,"proj1";#N/A,#N/A,FALSE,"proj2";#N/A,#N/A,FALSE,"DCF"}</definedName>
    <definedName name="wrn.first4." localSheetId="6" hidden="1">{#N/A,#N/A,FALSE,"Summary";#N/A,#N/A,FALSE,"proj1";#N/A,#N/A,FALSE,"proj2";#N/A,#N/A,FALSE,"DCF"}</definedName>
    <definedName name="wrn.first4." hidden="1">{#N/A,#N/A,FALSE,"Summary";#N/A,#N/A,FALSE,"proj1";#N/A,#N/A,FALSE,"proj2";#N/A,#N/A,FALSE,"DCF"}</definedName>
    <definedName name="wrn.Full._.Print." localSheetId="8" hidden="1">{"Compco",#N/A,FALSE,"CWS";"Summary",#N/A,FALSE,"CWS";"WACC",#N/A,FALSE,"CWS"}</definedName>
    <definedName name="wrn.Full._.Print." localSheetId="6" hidden="1">{"Compco",#N/A,FALSE,"CWS";"Summary",#N/A,FALSE,"CWS";"WACC",#N/A,FALSE,"CWS"}</definedName>
    <definedName name="wrn.Full._.Print." hidden="1">{"Compco",#N/A,FALSE,"CWS";"Summary",#N/A,FALSE,"CWS";"WACC",#N/A,FALSE,"CWS"}</definedName>
    <definedName name="wrn.Funnel._.Report." localSheetId="8" hidden="1">{#N/A,#N/A,FALSE,"funnel";#N/A,#N/A,FALSE,"AE Summary";#N/A,#N/A,FALSE,"Product Summary"}</definedName>
    <definedName name="wrn.Funnel._.Report." localSheetId="6" hidden="1">{#N/A,#N/A,FALSE,"funnel";#N/A,#N/A,FALSE,"AE Summary";#N/A,#N/A,FALSE,"Product Summary"}</definedName>
    <definedName name="wrn.Funnel._.Report." hidden="1">{#N/A,#N/A,FALSE,"funnel";#N/A,#N/A,FALSE,"AE Summary";#N/A,#N/A,FALSE,"Product Summary"}</definedName>
    <definedName name="wrn.GRAPHS." localSheetId="8" hidden="1">{#N/A,#N/A,FALSE,"Graphs";#N/A,#N/A,FALSE,"FAMILIES GRAPHS";#N/A,#N/A,FALSE,"assgraph";#N/A,#N/A,FALSE,"FG Inventory Aging"}</definedName>
    <definedName name="wrn.GRAPHS." localSheetId="6" hidden="1">{#N/A,#N/A,FALSE,"Graphs";#N/A,#N/A,FALSE,"FAMILIES GRAPHS";#N/A,#N/A,FALSE,"assgraph";#N/A,#N/A,FALSE,"FG Inventory Aging"}</definedName>
    <definedName name="wrn.GRAPHS." hidden="1">{#N/A,#N/A,FALSE,"Graphs";#N/A,#N/A,FALSE,"FAMILIES GRAPHS";#N/A,#N/A,FALSE,"assgraph";#N/A,#N/A,FALSE,"FG Inventory Aging"}</definedName>
    <definedName name="wrn.HEAT." localSheetId="8" hidden="1">{#N/A,#N/A,FALSE,"Heat";#N/A,#N/A,FALSE,"DCF";#N/A,#N/A,FALSE,"LBO";#N/A,#N/A,FALSE,"A";#N/A,#N/A,FALSE,"C";#N/A,#N/A,FALSE,"impd";#N/A,#N/A,FALSE,"Accr-Dilu"}</definedName>
    <definedName name="wrn.HEAT." localSheetId="6" hidden="1">{#N/A,#N/A,FALSE,"Heat";#N/A,#N/A,FALSE,"DCF";#N/A,#N/A,FALSE,"LBO";#N/A,#N/A,FALSE,"A";#N/A,#N/A,FALSE,"C";#N/A,#N/A,FALSE,"impd";#N/A,#N/A,FALSE,"Accr-Dilu"}</definedName>
    <definedName name="wrn.HEAT." hidden="1">{#N/A,#N/A,FALSE,"Heat";#N/A,#N/A,FALSE,"DCF";#N/A,#N/A,FALSE,"LBO";#N/A,#N/A,FALSE,"A";#N/A,#N/A,FALSE,"C";#N/A,#N/A,FALSE,"impd";#N/A,#N/A,FALSE,"Accr-Dilu"}</definedName>
    <definedName name="wrn.Hydraulic." localSheetId="8"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 localSheetId="6"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localSheetId="8" hidden="1">{#N/A,#N/A,FALSE,"HuscoCombined-Summ";#N/A,#N/A,FALSE,"HuscoCombined-Income";#N/A,#N/A,FALSE,"HuscoCombined-Offering";#N/A,#N/A,FALSE,"Husco-Income";#N/A,#N/A,FALSE,"TargetEngineer";#N/A,#N/A,FALSE,"TargetAcqCalc";#N/A,#N/A,FALSE,"Husco-Acq"}</definedName>
    <definedName name="wrn.Hydraulic2." localSheetId="6" hidden="1">{#N/A,#N/A,FALSE,"HuscoCombined-Summ";#N/A,#N/A,FALSE,"HuscoCombined-Income";#N/A,#N/A,FALSE,"HuscoCombined-Offering";#N/A,#N/A,FALSE,"Husco-Income";#N/A,#N/A,FALSE,"TargetEngineer";#N/A,#N/A,FALSE,"TargetAcqCalc";#N/A,#N/A,FALSE,"Husco-Acq"}</definedName>
    <definedName name="wrn.Hydraulic2." hidden="1">{#N/A,#N/A,FALSE,"HuscoCombined-Summ";#N/A,#N/A,FALSE,"HuscoCombined-Income";#N/A,#N/A,FALSE,"HuscoCombined-Offering";#N/A,#N/A,FALSE,"Husco-Income";#N/A,#N/A,FALSE,"TargetEngineer";#N/A,#N/A,FALSE,"TargetAcqCalc";#N/A,#N/A,FALSE,"Husco-Acq"}</definedName>
    <definedName name="wrn.Industry._.Growth._.Analysis." localSheetId="8" hidden="1">{#N/A,#N/A,FALSE,"Industry Sales %";#N/A,#N/A,FALSE,"Sales Growth";#N/A,#N/A,FALSE,"Inflation Adj Sales Growth";#N/A,#N/A,FALSE,"Industry Vs Economy-Sales";#N/A,#N/A,FALSE,"Dispersion of Sales Growth";#N/A,#N/A,FALSE,"Sales Growth Persistence";#N/A,#N/A,FALSE,"Industry Profitability";#N/A,#N/A,FALSE,"Industry Vs Economy-Ebitda";#N/A,#N/A,FALSE,"Sales Growth Vs GDP Growth";#N/A,#N/A,FALSE,"Sales Growth Vs Interest Rate"}</definedName>
    <definedName name="wrn.Industry._.Growth._.Analysis." localSheetId="6" hidden="1">{#N/A,#N/A,FALSE,"Industry Sales %";#N/A,#N/A,FALSE,"Sales Growth";#N/A,#N/A,FALSE,"Inflation Adj Sales Growth";#N/A,#N/A,FALSE,"Industry Vs Economy-Sales";#N/A,#N/A,FALSE,"Dispersion of Sales Growth";#N/A,#N/A,FALSE,"Sales Growth Persistence";#N/A,#N/A,FALSE,"Industry Profitability";#N/A,#N/A,FALSE,"Industry Vs Economy-Ebitda";#N/A,#N/A,FALSE,"Sales Growth Vs GDP Growth";#N/A,#N/A,FALSE,"Sales Growth Vs Interest Rate"}</definedName>
    <definedName name="wrn.Industry._.Growth._.Analysis." hidden="1">{#N/A,#N/A,FALSE,"Industry Sales %";#N/A,#N/A,FALSE,"Sales Growth";#N/A,#N/A,FALSE,"Inflation Adj Sales Growth";#N/A,#N/A,FALSE,"Industry Vs Economy-Sales";#N/A,#N/A,FALSE,"Dispersion of Sales Growth";#N/A,#N/A,FALSE,"Sales Growth Persistence";#N/A,#N/A,FALSE,"Industry Profitability";#N/A,#N/A,FALSE,"Industry Vs Economy-Ebitda";#N/A,#N/A,FALSE,"Sales Growth Vs GDP Growth";#N/A,#N/A,FALSE,"Sales Growth Vs Interest Rate"}</definedName>
    <definedName name="wrn.Industry._.Investment._.Performance._.Analysis." localSheetId="8" hidden="1">{#N/A,#N/A,FALSE,"TRS";#N/A,#N/A,FALSE,"TRS (Period)";#N/A,#N/A,FALSE,"Industry &amp; Market";#N/A,#N/A,FALSE,"TRS Vs GDP Growth";#N/A,#N/A,FALSE,"TRS Vs GDP Cycle";#N/A,#N/A,FALSE,"TRS Vs Interest Rate";#N/A,#N/A,FALSE,"TRS Vs Int Rate Change Cycle";#N/A,#N/A,FALSE,"TRS Vs Real Sales Growth";#N/A,#N/A,FALSE,"Corr(Sales &amp; TRS)";#N/A,#N/A,FALSE,"Corr(ROIC &amp; TRS)";#N/A,#N/A,FALSE,"Corr(MktCap &amp; TRS)";#N/A,#N/A,FALSE,"Corr(TRS &amp; TRS)";#N/A,#N/A,FALSE,"Excess TRS";#N/A,#N/A,FALSE,"Rolling TRS";#N/A,#N/A,FALSE,"Industry MktCap %";#N/A,#N/A,FALSE,"Industry Vs Economy-MktCap";#N/A,#N/A,FALSE,"TRS Dispersion"}</definedName>
    <definedName name="wrn.Industry._.Investment._.Performance._.Analysis." localSheetId="6" hidden="1">{#N/A,#N/A,FALSE,"TRS";#N/A,#N/A,FALSE,"TRS (Period)";#N/A,#N/A,FALSE,"Industry &amp; Market";#N/A,#N/A,FALSE,"TRS Vs GDP Growth";#N/A,#N/A,FALSE,"TRS Vs GDP Cycle";#N/A,#N/A,FALSE,"TRS Vs Interest Rate";#N/A,#N/A,FALSE,"TRS Vs Int Rate Change Cycle";#N/A,#N/A,FALSE,"TRS Vs Real Sales Growth";#N/A,#N/A,FALSE,"Corr(Sales &amp; TRS)";#N/A,#N/A,FALSE,"Corr(ROIC &amp; TRS)";#N/A,#N/A,FALSE,"Corr(MktCap &amp; TRS)";#N/A,#N/A,FALSE,"Corr(TRS &amp; TRS)";#N/A,#N/A,FALSE,"Excess TRS";#N/A,#N/A,FALSE,"Rolling TRS";#N/A,#N/A,FALSE,"Industry MktCap %";#N/A,#N/A,FALSE,"Industry Vs Economy-MktCap";#N/A,#N/A,FALSE,"TRS Dispersion"}</definedName>
    <definedName name="wrn.Industry._.Investment._.Performance._.Analysis." hidden="1">{#N/A,#N/A,FALSE,"TRS";#N/A,#N/A,FALSE,"TRS (Period)";#N/A,#N/A,FALSE,"Industry &amp; Market";#N/A,#N/A,FALSE,"TRS Vs GDP Growth";#N/A,#N/A,FALSE,"TRS Vs GDP Cycle";#N/A,#N/A,FALSE,"TRS Vs Interest Rate";#N/A,#N/A,FALSE,"TRS Vs Int Rate Change Cycle";#N/A,#N/A,FALSE,"TRS Vs Real Sales Growth";#N/A,#N/A,FALSE,"Corr(Sales &amp; TRS)";#N/A,#N/A,FALSE,"Corr(ROIC &amp; TRS)";#N/A,#N/A,FALSE,"Corr(MktCap &amp; TRS)";#N/A,#N/A,FALSE,"Corr(TRS &amp; TRS)";#N/A,#N/A,FALSE,"Excess TRS";#N/A,#N/A,FALSE,"Rolling TRS";#N/A,#N/A,FALSE,"Industry MktCap %";#N/A,#N/A,FALSE,"Industry Vs Economy-MktCap";#N/A,#N/A,FALSE,"TRS Dispersion"}</definedName>
    <definedName name="wrn.Industry._.Profitability._.Analysis." localSheetId="8" hidden="1">{#N/A,#N/A,FALSE,"Dispersion of ROIC";#N/A,#N/A,FALSE,"Industry ROIC";#N/A,#N/A,FALSE,"Components of ROIC";#N/A,#N/A,FALSE,"ROIC Persistence";#N/A,#N/A,FALSE,"ROIC Vs GDP Growth";#N/A,#N/A,FALSE,"ROIC Vs GDP Cycle";#N/A,#N/A,FALSE,"ROIC Vs Interest Rate"}</definedName>
    <definedName name="wrn.Industry._.Profitability._.Analysis." localSheetId="6" hidden="1">{#N/A,#N/A,FALSE,"Dispersion of ROIC";#N/A,#N/A,FALSE,"Industry ROIC";#N/A,#N/A,FALSE,"Components of ROIC";#N/A,#N/A,FALSE,"ROIC Persistence";#N/A,#N/A,FALSE,"ROIC Vs GDP Growth";#N/A,#N/A,FALSE,"ROIC Vs GDP Cycle";#N/A,#N/A,FALSE,"ROIC Vs Interest Rate"}</definedName>
    <definedName name="wrn.Industry._.Profitability._.Analysis." hidden="1">{#N/A,#N/A,FALSE,"Dispersion of ROIC";#N/A,#N/A,FALSE,"Industry ROIC";#N/A,#N/A,FALSE,"Components of ROIC";#N/A,#N/A,FALSE,"ROIC Persistence";#N/A,#N/A,FALSE,"ROIC Vs GDP Growth";#N/A,#N/A,FALSE,"ROIC Vs GDP Cycle";#N/A,#N/A,FALSE,"ROIC Vs Interest Rate"}</definedName>
    <definedName name="wrn.INPUT." localSheetId="8" hidden="1">{"INPUT",#N/A,FALSE,"REVENUE AND GM "}</definedName>
    <definedName name="wrn.INPUT." localSheetId="6" hidden="1">{"INPUT",#N/A,FALSE,"REVENUE AND GM "}</definedName>
    <definedName name="wrn.INPUT." hidden="1">{"INPUT",#N/A,FALSE,"REVENUE AND GM "}</definedName>
    <definedName name="wrn.Inputs." localSheetId="8" hidden="1">{"Input1",#N/A,FALSE,"PF";"Input2",#N/A,FALSE,"PF";"Input3",#N/A,FALSE,"PF"}</definedName>
    <definedName name="wrn.Inputs." localSheetId="6" hidden="1">{"Input1",#N/A,FALSE,"PF";"Input2",#N/A,FALSE,"PF";"Input3",#N/A,FALSE,"PF"}</definedName>
    <definedName name="wrn.Inputs." hidden="1">{"Input1",#N/A,FALSE,"PF";"Input2",#N/A,FALSE,"PF";"Input3",#N/A,FALSE,"PF"}</definedName>
    <definedName name="wrn.ipovalue." localSheetId="8" hidden="1">{#N/A,#N/A,FALSE,"puboff";#N/A,#N/A,FALSE,"valuation";#N/A,#N/A,FALSE,"finanalsis";#N/A,#N/A,FALSE,"split";#N/A,#N/A,FALSE,"ownership"}</definedName>
    <definedName name="wrn.ipovalue." localSheetId="6" hidden="1">{#N/A,#N/A,FALSE,"puboff";#N/A,#N/A,FALSE,"valuation";#N/A,#N/A,FALSE,"finanalsis";#N/A,#N/A,FALSE,"split";#N/A,#N/A,FALSE,"ownership"}</definedName>
    <definedName name="wrn.ipovalue." hidden="1">{#N/A,#N/A,FALSE,"puboff";#N/A,#N/A,FALSE,"valuation";#N/A,#N/A,FALSE,"finanalsis";#N/A,#N/A,FALSE,"split";#N/A,#N/A,FALSE,"ownership"}</definedName>
    <definedName name="wrn.ISCG._.model." localSheetId="8" hidden="1">{#N/A,#N/A,FALSE,"Second";#N/A,#N/A,FALSE,"ownership";#N/A,#N/A,FALSE,"Valuation";#N/A,#N/A,FALSE,"Eqiv";#N/A,#N/A,FALSE,"Mults";#N/A,#N/A,FALSE,"ISCG Graphics"}</definedName>
    <definedName name="wrn.ISCG._.model." localSheetId="6" hidden="1">{#N/A,#N/A,FALSE,"Second";#N/A,#N/A,FALSE,"ownership";#N/A,#N/A,FALSE,"Valuation";#N/A,#N/A,FALSE,"Eqiv";#N/A,#N/A,FALSE,"Mults";#N/A,#N/A,FALSE,"ISCG Graphics"}</definedName>
    <definedName name="wrn.ISCG._.model." hidden="1">{#N/A,#N/A,FALSE,"Second";#N/A,#N/A,FALSE,"ownership";#N/A,#N/A,FALSE,"Valuation";#N/A,#N/A,FALSE,"Eqiv";#N/A,#N/A,FALSE,"Mults";#N/A,#N/A,FALSE,"ISCG Graphics"}</definedName>
    <definedName name="wrn.JANUARY." localSheetId="8" hidden="1">{"JANUARY",#N/A,FALSE,"Q3"}</definedName>
    <definedName name="wrn.JANUARY." localSheetId="6" hidden="1">{"JANUARY",#N/A,FALSE,"Q3"}</definedName>
    <definedName name="wrn.JANUARY." hidden="1">{"JANUARY",#N/A,FALSE,"Q3"}</definedName>
    <definedName name="wrn.Japan._.Data." localSheetId="8" hidden="1">{"Analysis1Q95",#N/A,FALSE,"Japan";"Analysis2Q95",#N/A,FALSE,"Japan";"Analysis1H95",#N/A,FALSE,"Japan";"Data",#N/A,FALSE,"Japan";"Margin Summary",#N/A,FALSE,"Japan";"Sales Summary",#N/A,FALSE,"Japan"}</definedName>
    <definedName name="wrn.Japan._.Data." localSheetId="6" hidden="1">{"Analysis1Q95",#N/A,FALSE,"Japan";"Analysis2Q95",#N/A,FALSE,"Japan";"Analysis1H95",#N/A,FALSE,"Japan";"Data",#N/A,FALSE,"Japan";"Margin Summary",#N/A,FALSE,"Japan";"Sales Summary",#N/A,FALSE,"Japan"}</definedName>
    <definedName name="wrn.Japan._.Data." hidden="1">{"Analysis1Q95",#N/A,FALSE,"Japan";"Analysis2Q95",#N/A,FALSE,"Japan";"Analysis1H95",#N/A,FALSE,"Japan";"Data",#N/A,FALSE,"Japan";"Margin Summary",#N/A,FALSE,"Japan";"Sales Summary",#N/A,FALSE,"Japan"}</definedName>
    <definedName name="wrn.Japan_Capers_Ed._.Pub." localSheetId="8" hidden="1">{"Japan_Capers_Ed_Pub",#N/A,FALSE,"DI 2 YEAR MASTER SCHEDULE"}</definedName>
    <definedName name="wrn.Japan_Capers_Ed._.Pub." localSheetId="6" hidden="1">{"Japan_Capers_Ed_Pub",#N/A,FALSE,"DI 2 YEAR MASTER SCHEDULE"}</definedName>
    <definedName name="wrn.Japan_Capers_Ed._.Pub." hidden="1">{"Japan_Capers_Ed_Pub",#N/A,FALSE,"DI 2 YEAR MASTER SCHEDULE"}</definedName>
    <definedName name="wrn.JODM._.Graphs." localSheetId="8" hidden="1">{"graph",#N/A,FALSE,"WWJU";"graph",#N/A,FALSE,"WWSEM";"graph",#N/A,FALSE,"GOMJU";"graph",#N/A,FALSE,"GOMSEM";"graph",#N/A,FALSE,"NSJU";"graph",#N/A,FALSE,"NSSEM";"graph",#N/A,FALSE,"WAJU";"graph",#N/A,FALSE,"STOCKPRI";"graph",#N/A,FALSE,"CFTEV";"graph",#N/A,FALSE,"NAV-RCV";"graph",#N/A,FALSE,"CRUDEWW"}</definedName>
    <definedName name="wrn.JODM._.Graphs." localSheetId="6" hidden="1">{"graph",#N/A,FALSE,"WWJU";"graph",#N/A,FALSE,"WWSEM";"graph",#N/A,FALSE,"GOMJU";"graph",#N/A,FALSE,"GOMSEM";"graph",#N/A,FALSE,"NSJU";"graph",#N/A,FALSE,"NSSEM";"graph",#N/A,FALSE,"WAJU";"graph",#N/A,FALSE,"STOCKPRI";"graph",#N/A,FALSE,"CFTEV";"graph",#N/A,FALSE,"NAV-RCV";"graph",#N/A,FALSE,"CRUDEWW"}</definedName>
    <definedName name="wrn.JODM._.Graphs." hidden="1">{"graph",#N/A,FALSE,"WWJU";"graph",#N/A,FALSE,"WWSEM";"graph",#N/A,FALSE,"GOMJU";"graph",#N/A,FALSE,"GOMSEM";"graph",#N/A,FALSE,"NSJU";"graph",#N/A,FALSE,"NSSEM";"graph",#N/A,FALSE,"WAJU";"graph",#N/A,FALSE,"STOCKPRI";"graph",#N/A,FALSE,"CFTEV";"graph",#N/A,FALSE,"NAV-RCV";"graph",#N/A,FALSE,"CRUDEWW"}</definedName>
    <definedName name="wrn.JULY." localSheetId="8" hidden="1">{"Q1JUL",#N/A,FALSE,"Q1"}</definedName>
    <definedName name="wrn.JULY." localSheetId="6" hidden="1">{"Q1JUL",#N/A,FALSE,"Q1"}</definedName>
    <definedName name="wrn.JULY." hidden="1">{"Q1JUL",#N/A,FALSE,"Q1"}</definedName>
    <definedName name="wrn.JUNE." localSheetId="8" hidden="1">{"JUNE",#N/A,FALSE,"Q4"}</definedName>
    <definedName name="wrn.JUNE." localSheetId="6" hidden="1">{"JUNE",#N/A,FALSE,"Q4"}</definedName>
    <definedName name="wrn.JUNE." hidden="1">{"JUNE",#N/A,FALSE,"Q4"}</definedName>
    <definedName name="wrn.LC._.COST." localSheetId="8" hidden="1">{"LCCOST",#N/A,FALSE,"FC-3 "}</definedName>
    <definedName name="wrn.LC._.COST." localSheetId="6" hidden="1">{"LCCOST",#N/A,FALSE,"FC-3 "}</definedName>
    <definedName name="wrn.LC._.COST." hidden="1">{"LCCOST",#N/A,FALSE,"FC-3 "}</definedName>
    <definedName name="wrn.LC._.FC3." localSheetId="8" hidden="1">{"LCFC3",#N/A,FALSE,"FC-3 "}</definedName>
    <definedName name="wrn.LC._.FC3." localSheetId="6" hidden="1">{"LCFC3",#N/A,FALSE,"FC-3 "}</definedName>
    <definedName name="wrn.LC._.FC3." hidden="1">{"LCFC3",#N/A,FALSE,"FC-3 "}</definedName>
    <definedName name="wrn.legal." localSheetId="8" hidden="1">{"long",#N/A,FALSE,"ESC"}</definedName>
    <definedName name="wrn.legal." localSheetId="6" hidden="1">{"long",#N/A,FALSE,"ESC"}</definedName>
    <definedName name="wrn.legal." hidden="1">{"long",#N/A,FALSE,"ESC"}</definedName>
    <definedName name="wrn.LOB." localSheetId="8" hidden="1">{"grossprem(LOB)",#N/A,FALSE,"TEMPLATE";"gpwgrowth(LOB)",#N/A,FALSE,"TEMPLATE";"retention(LOB)",#N/A,FALSE,"TEMPLATE";"netprem(LOB)",#N/A,FALSE,"TEMPLATE";"npwgrowth(LOB)",#N/A,FALSE,"TEMPLATE";"premearned(LOB)",#N/A,FALSE,"TEMPLATE";"lossratio(LOB)",#N/A,FALSE,"TEMPLATE";"commratio(LOB)",#N/A,FALSE,"TEMPLATE";"uwratio(LOB)",#N/A,FALSE,"TEMPLATE";"expenseratio(LOB)",#N/A,FALSE,"TEMPLATE";"combined(LOB)",#N/A,FALSE,"TEMPLATE";"savings(LOB)",#N/A,FALSE,"TEMPLATE";"GAAPexpense(LOB)",#N/A,FALSE,"TEMPLATE";"GAAPcombined(LOB)",#N/A,FALSE,"TEMPLATE";"DAC%(LOB)",#N/A,FALSE,"TEMPLATE";"DAC$(LOB)",#N/A,FALSE,"TEMPLATE";"lossdoll(LOB)",#N/A,FALSE,"TEMPLATE";"uwexpgrowth(LOB)",#N/A,FALSE,"TEMPLATE";"uwdoll(LOB)",#N/A,FALSE,"TEMPLATE";"commdoll(LOB)",#N/A,FALSE,"TEMPLATE";"expensedoll(LOB)",#N/A,FALSE,"TEMPLATE"}</definedName>
    <definedName name="wrn.LOB." localSheetId="6" hidden="1">{"grossprem(LOB)",#N/A,FALSE,"TEMPLATE";"gpwgrowth(LOB)",#N/A,FALSE,"TEMPLATE";"retention(LOB)",#N/A,FALSE,"TEMPLATE";"netprem(LOB)",#N/A,FALSE,"TEMPLATE";"npwgrowth(LOB)",#N/A,FALSE,"TEMPLATE";"premearned(LOB)",#N/A,FALSE,"TEMPLATE";"lossratio(LOB)",#N/A,FALSE,"TEMPLATE";"commratio(LOB)",#N/A,FALSE,"TEMPLATE";"uwratio(LOB)",#N/A,FALSE,"TEMPLATE";"expenseratio(LOB)",#N/A,FALSE,"TEMPLATE";"combined(LOB)",#N/A,FALSE,"TEMPLATE";"savings(LOB)",#N/A,FALSE,"TEMPLATE";"GAAPexpense(LOB)",#N/A,FALSE,"TEMPLATE";"GAAPcombined(LOB)",#N/A,FALSE,"TEMPLATE";"DAC%(LOB)",#N/A,FALSE,"TEMPLATE";"DAC$(LOB)",#N/A,FALSE,"TEMPLATE";"lossdoll(LOB)",#N/A,FALSE,"TEMPLATE";"uwexpgrowth(LOB)",#N/A,FALSE,"TEMPLATE";"uwdoll(LOB)",#N/A,FALSE,"TEMPLATE";"commdoll(LOB)",#N/A,FALSE,"TEMPLATE";"expensedoll(LOB)",#N/A,FALSE,"TEMPLATE"}</definedName>
    <definedName name="wrn.LOB." hidden="1">{"grossprem(LOB)",#N/A,FALSE,"TEMPLATE";"gpwgrowth(LOB)",#N/A,FALSE,"TEMPLATE";"retention(LOB)",#N/A,FALSE,"TEMPLATE";"netprem(LOB)",#N/A,FALSE,"TEMPLATE";"npwgrowth(LOB)",#N/A,FALSE,"TEMPLATE";"premearned(LOB)",#N/A,FALSE,"TEMPLATE";"lossratio(LOB)",#N/A,FALSE,"TEMPLATE";"commratio(LOB)",#N/A,FALSE,"TEMPLATE";"uwratio(LOB)",#N/A,FALSE,"TEMPLATE";"expenseratio(LOB)",#N/A,FALSE,"TEMPLATE";"combined(LOB)",#N/A,FALSE,"TEMPLATE";"savings(LOB)",#N/A,FALSE,"TEMPLATE";"GAAPexpense(LOB)",#N/A,FALSE,"TEMPLATE";"GAAPcombined(LOB)",#N/A,FALSE,"TEMPLATE";"DAC%(LOB)",#N/A,FALSE,"TEMPLATE";"DAC$(LOB)",#N/A,FALSE,"TEMPLATE";"lossdoll(LOB)",#N/A,FALSE,"TEMPLATE";"uwexpgrowth(LOB)",#N/A,FALSE,"TEMPLATE";"uwdoll(LOB)",#N/A,FALSE,"TEMPLATE";"commdoll(LOB)",#N/A,FALSE,"TEMPLATE";"expensedoll(LOB)",#N/A,FALSE,"TEMPLATE"}</definedName>
    <definedName name="wrn.LOOKUP._.TABLE." localSheetId="8" hidden="1">{"LOOKUP TABLE",#N/A,FALSE,"FC-3 "}</definedName>
    <definedName name="wrn.LOOKUP._.TABLE." localSheetId="6" hidden="1">{"LOOKUP TABLE",#N/A,FALSE,"FC-3 "}</definedName>
    <definedName name="wrn.LOOKUP._.TABLE." hidden="1">{"LOOKUP TABLE",#N/A,FALSE,"FC-3 "}</definedName>
    <definedName name="wrn.Maine." localSheetId="8" hidden="1">{"Assumptions",#N/A,TRUE,"Assumptions";"Income",#N/A,TRUE,"Income";"Balance",#N/A,TRUE,"Balance"}</definedName>
    <definedName name="wrn.Maine." localSheetId="6" hidden="1">{"Assumptions",#N/A,TRUE,"Assumptions";"Income",#N/A,TRUE,"Income";"Balance",#N/A,TRUE,"Balance"}</definedName>
    <definedName name="wrn.Maine." hidden="1">{"Assumptions",#N/A,TRUE,"Assumptions";"Income",#N/A,TRUE,"Income";"Balance",#N/A,TRUE,"Balance"}</definedName>
    <definedName name="wrn.Maine2." localSheetId="8"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 localSheetId="6"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RCH." localSheetId="8" hidden="1">{"MARCH",#N/A,FALSE,"Q3"}</definedName>
    <definedName name="wrn.MARCH." localSheetId="6" hidden="1">{"MARCH",#N/A,FALSE,"Q3"}</definedName>
    <definedName name="wrn.MARCH." hidden="1">{"MARCH",#N/A,FALSE,"Q3"}</definedName>
    <definedName name="wrn.MAY." localSheetId="8" hidden="1">{"MAY",#N/A,FALSE,"Q4"}</definedName>
    <definedName name="wrn.MAY." localSheetId="6" hidden="1">{"MAY",#N/A,FALSE,"Q4"}</definedName>
    <definedName name="wrn.MAY." hidden="1">{"MAY",#N/A,FALSE,"Q4"}</definedName>
    <definedName name="wrn.merge." localSheetId="8" hidden="1">{#N/A,#N/A,FALSE,"IPO";#N/A,#N/A,FALSE,"DCF";#N/A,#N/A,FALSE,"LBO";#N/A,#N/A,FALSE,"MULT_VAL";#N/A,#N/A,FALSE,"Status Quo";#N/A,#N/A,FALSE,"Recap"}</definedName>
    <definedName name="wrn.merge." localSheetId="6" hidden="1">{#N/A,#N/A,FALSE,"IPO";#N/A,#N/A,FALSE,"DCF";#N/A,#N/A,FALSE,"LBO";#N/A,#N/A,FALSE,"MULT_VAL";#N/A,#N/A,FALSE,"Status Quo";#N/A,#N/A,FALSE,"Recap"}</definedName>
    <definedName name="wrn.merge." hidden="1">{#N/A,#N/A,FALSE,"IPO";#N/A,#N/A,FALSE,"DCF";#N/A,#N/A,FALSE,"LBO";#N/A,#N/A,FALSE,"MULT_VAL";#N/A,#N/A,FALSE,"Status Quo";#N/A,#N/A,FALSE,"Recap"}</definedName>
    <definedName name="wrn.MIE._.Summary." localSheetId="8" hidden="1">{#N/A,#N/A,FALSE,"MIE Total";#N/A,#N/A,FALSE,"Japan";#N/A,#N/A,FALSE,"North America";#N/A,#N/A,FALSE,"Asia";#N/A,#N/A,FALSE,"Europe"}</definedName>
    <definedName name="wrn.MIE._.Summary." localSheetId="6" hidden="1">{#N/A,#N/A,FALSE,"MIE Total";#N/A,#N/A,FALSE,"Japan";#N/A,#N/A,FALSE,"North America";#N/A,#N/A,FALSE,"Asia";#N/A,#N/A,FALSE,"Europe"}</definedName>
    <definedName name="wrn.MIE._.Summary." hidden="1">{#N/A,#N/A,FALSE,"MIE Total";#N/A,#N/A,FALSE,"Japan";#N/A,#N/A,FALSE,"North America";#N/A,#N/A,FALSE,"Asia";#N/A,#N/A,FALSE,"Europe"}</definedName>
    <definedName name="wrn.model." localSheetId="8" hidden="1">{"page1",#N/A,FALSE,"GIRLBO";"page2",#N/A,FALSE,"GIRLBO";"page3",#N/A,FALSE,"GIRLBO";"page4",#N/A,FALSE,"GIRLBO";"page5",#N/A,FALSE,"GIRLBO"}</definedName>
    <definedName name="wrn.model." localSheetId="6" hidden="1">{"page1",#N/A,FALSE,"GIRLBO";"page2",#N/A,FALSE,"GIRLBO";"page3",#N/A,FALSE,"GIRLBO";"page4",#N/A,FALSE,"GIRLBO";"page5",#N/A,FALSE,"GIRLBO"}</definedName>
    <definedName name="wrn.model." hidden="1">{"page1",#N/A,FALSE,"GIRLBO";"page2",#N/A,FALSE,"GIRLBO";"page3",#N/A,FALSE,"GIRLBO";"page4",#N/A,FALSE,"GIRLBO";"page5",#N/A,FALSE,"GIRLBO"}</definedName>
    <definedName name="wrn.Model._.Output." localSheetId="8" hidden="1">{#N/A,#N/A,FALSE,"Purchase_50_Stock";#N/A,#N/A,FALSE,"Purchase_All_Stock";"Summary",#N/A,FALSE,"PF";"Income Statement",#N/A,FALSE,"PF";"Earnings",#N/A,FALSE,"PF";"Balance Sheet",#N/A,FALSE,"PF"}</definedName>
    <definedName name="wrn.Model._.Output." localSheetId="6" hidden="1">{#N/A,#N/A,FALSE,"Purchase_50_Stock";#N/A,#N/A,FALSE,"Purchase_All_Stock";"Summary",#N/A,FALSE,"PF";"Income Statement",#N/A,FALSE,"PF";"Earnings",#N/A,FALSE,"PF";"Balance Sheet",#N/A,FALSE,"PF"}</definedName>
    <definedName name="wrn.Model._.Output." hidden="1">{#N/A,#N/A,FALSE,"Purchase_50_Stock";#N/A,#N/A,FALSE,"Purchase_All_Stock";"Summary",#N/A,FALSE,"PF";"Income Statement",#N/A,FALSE,"PF";"Earnings",#N/A,FALSE,"PF";"Balance Sheet",#N/A,FALSE,"PF"}</definedName>
    <definedName name="wrn.Monthly._.reports." localSheetId="8" hidden="1">{"P_Linformation",#N/A,FALSE,"Manuf_summ";#N/A,#N/A,FALSE,"Detail";#N/A,#N/A,FALSE,"Reconciliation"}</definedName>
    <definedName name="wrn.Monthly._.reports." localSheetId="6" hidden="1">{"P_Linformation",#N/A,FALSE,"Manuf_summ";#N/A,#N/A,FALSE,"Detail";#N/A,#N/A,FALSE,"Reconciliation"}</definedName>
    <definedName name="wrn.Monthly._.reports." hidden="1">{"P_Linformation",#N/A,FALSE,"Manuf_summ";#N/A,#N/A,FALSE,"Detail";#N/A,#N/A,FALSE,"Reconciliation"}</definedName>
    <definedName name="wrn.MOTOROLA._.TO220." localSheetId="8" hidden="1">{"MOTTO220",#N/A,FALSE,"TO-220 PRODUCTION"}</definedName>
    <definedName name="wrn.MOTOROLA._.TO220." localSheetId="6" hidden="1">{"MOTTO220",#N/A,FALSE,"TO-220 PRODUCTION"}</definedName>
    <definedName name="wrn.MOTOROLA._.TO220." hidden="1">{"MOTTO220",#N/A,FALSE,"TO-220 PRODUCTION"}</definedName>
    <definedName name="wrn.newest." localSheetId="8" hidden="1">{#N/A,#N/A,TRUE,"TS";#N/A,#N/A,TRUE,"Combo";#N/A,#N/A,TRUE,"FAIR";#N/A,#N/A,TRUE,"RBC";#N/A,#N/A,TRUE,"xxxx"}</definedName>
    <definedName name="wrn.newest." localSheetId="6" hidden="1">{#N/A,#N/A,TRUE,"TS";#N/A,#N/A,TRUE,"Combo";#N/A,#N/A,TRUE,"FAIR";#N/A,#N/A,TRUE,"RBC";#N/A,#N/A,TRUE,"xxxx"}</definedName>
    <definedName name="wrn.newest." hidden="1">{#N/A,#N/A,TRUE,"TS";#N/A,#N/A,TRUE,"Combo";#N/A,#N/A,TRUE,"FAIR";#N/A,#N/A,TRUE,"RBC";#N/A,#N/A,TRUE,"xxxx"}</definedName>
    <definedName name="wrn.No.._.America._.Data." localSheetId="8" hidden="1">{"Data",#N/A,FALSE,"North America";"Sales Summary",#N/A,FALSE,"North America"}</definedName>
    <definedName name="wrn.No.._.America._.Data." localSheetId="6" hidden="1">{"Data",#N/A,FALSE,"North America";"Sales Summary",#N/A,FALSE,"North America"}</definedName>
    <definedName name="wrn.No.._.America._.Data." hidden="1">{"Data",#N/A,FALSE,"North America";"Sales Summary",#N/A,FALSE,"North America"}</definedName>
    <definedName name="wrn.NOVEMBER." localSheetId="8" hidden="1">{"NOVEMBER",#N/A,FALSE,"Q2"}</definedName>
    <definedName name="wrn.NOVEMBER." localSheetId="6" hidden="1">{"NOVEMBER",#N/A,FALSE,"Q2"}</definedName>
    <definedName name="wrn.NOVEMBER." hidden="1">{"NOVEMBER",#N/A,FALSE,"Q2"}</definedName>
    <definedName name="wrn.OCTOBER." localSheetId="8" hidden="1">{"OCTOBER",#N/A,FALSE,"Q2"}</definedName>
    <definedName name="wrn.OCTOBER." localSheetId="6" hidden="1">{"OCTOBER",#N/A,FALSE,"Q2"}</definedName>
    <definedName name="wrn.OCTOBER." hidden="1">{"OCTOBER",#N/A,FALSE,"Q2"}</definedName>
    <definedName name="wrn.Operating._.Models." localSheetId="8" hidden="1">{#N/A,#N/A,TRUE,"Eastern Market";#N/A,#N/A,TRUE,"Western Market";#N/A,#N/A,TRUE,"Sulphur Services";#N/A,#N/A,TRUE,"Global Business";#N/A,#N/A,TRUE,"Incremental Overhead";#N/A,#N/A,TRUE,"Acquired Business"}</definedName>
    <definedName name="wrn.Operating._.Models." localSheetId="6" hidden="1">{#N/A,#N/A,TRUE,"Eastern Market";#N/A,#N/A,TRUE,"Western Market";#N/A,#N/A,TRUE,"Sulphur Services";#N/A,#N/A,TRUE,"Global Business";#N/A,#N/A,TRUE,"Incremental Overhead";#N/A,#N/A,TRUE,"Acquired Business"}</definedName>
    <definedName name="wrn.Operating._.Models." hidden="1">{#N/A,#N/A,TRUE,"Eastern Market";#N/A,#N/A,TRUE,"Western Market";#N/A,#N/A,TRUE,"Sulphur Services";#N/A,#N/A,TRUE,"Global Business";#N/A,#N/A,TRUE,"Incremental Overhead";#N/A,#N/A,TRUE,"Acquired Business"}</definedName>
    <definedName name="wrn.OTHER." localSheetId="8" hidden="1">{"OTHER",#N/A,FALSE,"EXP PIE"}</definedName>
    <definedName name="wrn.OTHER." localSheetId="6" hidden="1">{"OTHER",#N/A,FALSE,"EXP PIE"}</definedName>
    <definedName name="wrn.OTHER." hidden="1">{"OTHER",#N/A,FALSE,"EXP PIE"}</definedName>
    <definedName name="wrn.OUTPUT." localSheetId="8" hidden="1">{"OUTPUT",#N/A,FALSE,"REVENUE AND GM "}</definedName>
    <definedName name="wrn.OUTPUT." localSheetId="6" hidden="1">{"OUTPUT",#N/A,FALSE,"REVENUE AND GM "}</definedName>
    <definedName name="wrn.OUTPUT." hidden="1">{"OUTPUT",#N/A,FALSE,"REVENUE AND GM "}</definedName>
    <definedName name="wrn.p" localSheetId="8" hidden="1">{"PA1",#N/A,FALSE,"BORDMW";"pa2",#N/A,FALSE,"BORDMW";"PA3",#N/A,FALSE,"BORDMW";"PA4",#N/A,FALSE,"BORDMW"}</definedName>
    <definedName name="wrn.p" localSheetId="6" hidden="1">{"PA1",#N/A,FALSE,"BORDMW";"pa2",#N/A,FALSE,"BORDMW";"PA3",#N/A,FALSE,"BORDMW";"PA4",#N/A,FALSE,"BORDMW"}</definedName>
    <definedName name="wrn.p" hidden="1">{"PA1",#N/A,FALSE,"BORDMW";"pa2",#N/A,FALSE,"BORDMW";"PA3",#N/A,FALSE,"BORDMW";"PA4",#N/A,FALSE,"BORDMW"}</definedName>
    <definedName name="wrn.packer._.1." localSheetId="8"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 localSheetId="6"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1." localSheetId="8" hidden="1">{"page1",#N/A,FALSE,"comsat"}</definedName>
    <definedName name="wrn.page1." localSheetId="6" hidden="1">{"page1",#N/A,FALSE,"comsat"}</definedName>
    <definedName name="wrn.page1." hidden="1">{"page1",#N/A,FALSE,"comsat"}</definedName>
    <definedName name="wrn.PLX." localSheetId="8" hidden="1">{"cred comp",#N/A,FALSE,"Comparable Credit Analysis";"IS",#N/A,FALSE,"IS";"Sensitivity",#N/A,FALSE,"Sensitivity";"BS",#N/A,FALSE,"BS";"Bond Summary",#N/A,FALSE,"B Summary";"AD",#N/A,FALSE,"Accretion";"NAV",#N/A,FALSE,"NAV";"SU",#N/A,FALSE,"S&amp;U";"acq. study",#N/A,FALSE,"Acq. Study";"F Charges",#N/A,FALSE,"Fixed Charges"}</definedName>
    <definedName name="wrn.PLX." localSheetId="6" hidden="1">{"cred comp",#N/A,FALSE,"Comparable Credit Analysis";"IS",#N/A,FALSE,"IS";"Sensitivity",#N/A,FALSE,"Sensitivity";"BS",#N/A,FALSE,"BS";"Bond Summary",#N/A,FALSE,"B Summary";"AD",#N/A,FALSE,"Accretion";"NAV",#N/A,FALSE,"NAV";"SU",#N/A,FALSE,"S&amp;U";"acq. study",#N/A,FALSE,"Acq. Study";"F Charges",#N/A,FALSE,"Fixed Charges"}</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rint." localSheetId="8" hidden="1">{"page1",#N/A,FALSE,"PF";"page2",#N/A,FALSE,"PF";"page3",#N/A,FALSE,"PF";"page4",#N/A,FALSE,"Bal_Sht"}</definedName>
    <definedName name="wrn.print." localSheetId="6" hidden="1">{"page1",#N/A,FALSE,"PF";"page2",#N/A,FALSE,"PF";"page3",#N/A,FALSE,"PF";"page4",#N/A,FALSE,"Bal_Sht"}</definedName>
    <definedName name="wrn.print." hidden="1">{"page1",#N/A,FALSE,"PF";"page2",#N/A,FALSE,"PF";"page3",#N/A,FALSE,"PF";"page4",#N/A,FALSE,"Bal_Sht"}</definedName>
    <definedName name="wrn.Print._.All._.A4." localSheetId="8" hidden="1">{"Valuation",#N/A,TRUE,"Valuation Summary";"Financial Statements",#N/A,TRUE,"Results";"Results",#N/A,TRUE,"Results";"Ratios",#N/A,TRUE,"Results";"Historical data",#N/A,TRUE,"Historical Data";"Forecast inputs",#N/A,TRUE,"Forecast Drivers"}</definedName>
    <definedName name="wrn.Print._.All._.A4." localSheetId="6" hidden="1">{"Valuation",#N/A,TRUE,"Valuation Summary";"Financial Statements",#N/A,TRUE,"Results";"Results",#N/A,TRUE,"Results";"Ratios",#N/A,TRUE,"Results";"Historical data",#N/A,TRUE,"Historical Data";"Forecast inputs",#N/A,TRUE,"Forecast Drivers"}</definedName>
    <definedName name="wrn.Print._.All._.A4." hidden="1">{"Valuation",#N/A,TRUE,"Valuation Summary";"Financial Statements",#N/A,TRUE,"Results";"Results",#N/A,TRUE,"Results";"Ratios",#N/A,TRUE,"Results";"Historical data",#N/A,TRUE,"Historical Data";"Forecast inputs",#N/A,TRUE,"Forecast Drivers"}</definedName>
    <definedName name="wrn.Print._.All._.Letter." localSheetId="8"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6" hidden="1">{"Valuation Letter",#N/A,TRUE,"Valuation Summary";"Financial Statements Letter",#N/A,TRUE,"Results";"Results Letter",#N/A,TRUE,"Results";"Ratios Letter",#N/A,TRUE,"Results";"Historical data Letter",#N/A,TRUE,"Historical Data";"Forecast inputs Letter",#N/A,TRUE,"Forecast Drivers"}</definedName>
    <definedName name="wrn.Print._.All._.Letter." hidden="1">{"Valuation Letter",#N/A,TRUE,"Valuation Summary";"Financial Statements Letter",#N/A,TRUE,"Results";"Results Letter",#N/A,TRUE,"Results";"Ratios Letter",#N/A,TRUE,"Results";"Historical data Letter",#N/A,TRUE,"Historical Data";"Forecast inputs Letter",#N/A,TRUE,"Forecast Drivers"}</definedName>
    <definedName name="wrn.PRINT._.ALL._.REPORTS." localSheetId="8" hidden="1">{"USDFC3",#N/A,FALSE,"FC-3 ";"USDCOST",#N/A,FALSE,"FC-3 ";"LCFC3",#N/A,FALSE,"FC-3 ";"LCCOST",#N/A,FALSE,"FC-3 "}</definedName>
    <definedName name="wrn.PRINT._.ALL._.REPORTS." localSheetId="6" hidden="1">{"USDFC3",#N/A,FALSE,"FC-3 ";"USDCOST",#N/A,FALSE,"FC-3 ";"LCFC3",#N/A,FALSE,"FC-3 ";"LCCOST",#N/A,FALSE,"FC-3 "}</definedName>
    <definedName name="wrn.PRINT._.ALL._.REPORTS." hidden="1">{"USDFC3",#N/A,FALSE,"FC-3 ";"USDCOST",#N/A,FALSE,"FC-3 ";"LCFC3",#N/A,FALSE,"FC-3 ";"LCCOST",#N/A,FALSE,"FC-3 "}</definedName>
    <definedName name="wrn.print._.graphs." localSheetId="8" hidden="1">{"cap_structure",#N/A,FALSE,"Graph-Mkt Cap";"price",#N/A,FALSE,"Graph-Price";"ebit",#N/A,FALSE,"Graph-EBITDA";"ebitda",#N/A,FALSE,"Graph-EBITDA"}</definedName>
    <definedName name="wrn.print._.graphs." localSheetId="6"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LBO._.Model." localSheetId="8" hidden="1">{"toc",#N/A,TRUE,"TOC";"summary",#N/A,TRUE,"Summary";"credit",#N/A,TRUE,"Model";"income",#N/A,TRUE,"Model";"balance",#N/A,TRUE,"Model";"cash",#N/A,TRUE,"Model";"capitalization",#N/A,TRUE,"Model";"margins",#N/A,TRUE,"Model";"acq_bal",#N/A,TRUE,"Model";"dep_amort",#N/A,TRUE,"Model";"tax",#N/A,TRUE,"Model";"dep_tax",#N/A,TRUE,"TOC";#N/A,#N/A,TRUE,"Expenses";"returns",#N/A,TRUE,"Model";"return_calc",#N/A,TRUE,"Returns"}</definedName>
    <definedName name="wrn.Print._.LBO._.Model." localSheetId="6" hidden="1">{"toc",#N/A,TRUE,"TOC";"summary",#N/A,TRUE,"Summary";"credit",#N/A,TRUE,"Model";"income",#N/A,TRUE,"Model";"balance",#N/A,TRUE,"Model";"cash",#N/A,TRUE,"Model";"capitalization",#N/A,TRUE,"Model";"margins",#N/A,TRUE,"Model";"acq_bal",#N/A,TRUE,"Model";"dep_amort",#N/A,TRUE,"Model";"tax",#N/A,TRUE,"Model";"dep_tax",#N/A,TRUE,"TOC";#N/A,#N/A,TRUE,"Expenses";"returns",#N/A,TRUE,"Model";"return_calc",#N/A,TRUE,"Returns"}</definedName>
    <definedName name="wrn.Print._.LBO._.Model." hidden="1">{"toc",#N/A,TRUE,"TOC";"summary",#N/A,TRUE,"Summary";"credit",#N/A,TRUE,"Model";"income",#N/A,TRUE,"Model";"balance",#N/A,TRUE,"Model";"cash",#N/A,TRUE,"Model";"capitalization",#N/A,TRUE,"Model";"margins",#N/A,TRUE,"Model";"acq_bal",#N/A,TRUE,"Model";"dep_amort",#N/A,TRUE,"Model";"tax",#N/A,TRUE,"Model";"dep_tax",#N/A,TRUE,"TOC";#N/A,#N/A,TRUE,"Expenses";"returns",#N/A,TRUE,"Model";"return_calc",#N/A,TRUE,"Returns"}</definedName>
    <definedName name="wrn.PRINT._.LC._.CAPITAL." localSheetId="8" hidden="1">{"LC",#N/A,FALSE,"FC-15 Cap Expend"}</definedName>
    <definedName name="wrn.PRINT._.LC._.CAPITAL." localSheetId="6" hidden="1">{"LC",#N/A,FALSE,"FC-15 Cap Expend"}</definedName>
    <definedName name="wrn.PRINT._.LC._.CAPITAL." hidden="1">{"LC",#N/A,FALSE,"FC-15 Cap Expend"}</definedName>
    <definedName name="wrn.Print._.Model." localSheetId="8" hidden="1">{"Summary",#N/A,TRUE,"Model";"Returns I",#N/A,TRUE,"Model";"BS - Open",#N/A,TRUE,"Model";"Assumptions",#N/A,TRUE,"Model";"IS",#N/A,TRUE,"Model";"BS",#N/A,TRUE,"Model";"CF",#N/A,TRUE,"Model";"Debt",#N/A,TRUE,"Model";"Debt / Tax",#N/A,TRUE,"Model";"Returns II",#N/A,TRUE,"Model"}</definedName>
    <definedName name="wrn.Print._.Model." localSheetId="6" hidden="1">{"Summary",#N/A,TRUE,"Model";"Returns I",#N/A,TRUE,"Model";"BS - Open",#N/A,TRUE,"Model";"Assumptions",#N/A,TRUE,"Model";"IS",#N/A,TRUE,"Model";"BS",#N/A,TRUE,"Model";"CF",#N/A,TRUE,"Model";"Debt",#N/A,TRUE,"Model";"Debt / Tax",#N/A,TRUE,"Model";"Returns II",#N/A,TRUE,"Model"}</definedName>
    <definedName name="wrn.Print._.Model." hidden="1">{"Summary",#N/A,TRUE,"Model";"Returns I",#N/A,TRUE,"Model";"BS - Open",#N/A,TRUE,"Model";"Assumptions",#N/A,TRUE,"Model";"IS",#N/A,TRUE,"Model";"BS",#N/A,TRUE,"Model";"CF",#N/A,TRUE,"Model";"Debt",#N/A,TRUE,"Model";"Debt / Tax",#N/A,TRUE,"Model";"Returns II",#N/A,TRUE,"Model"}</definedName>
    <definedName name="wrn.print._.raw._.data._.entry." localSheetId="8" hidden="1">{"inputs raw data",#N/A,TRUE,"INPUT"}</definedName>
    <definedName name="wrn.print._.raw._.data._.entry." localSheetId="6" hidden="1">{"inputs raw data",#N/A,TRUE,"INPUT"}</definedName>
    <definedName name="wrn.print._.raw._.data._.entry." hidden="1">{"inputs raw data",#N/A,TRUE,"INPUT"}</definedName>
    <definedName name="wrn.Print._.Results._.A4." localSheetId="8" hidden="1">{"Valuation",#N/A,TRUE,"Valuation Summary";"Financial Statements",#N/A,TRUE,"Results";"Results",#N/A,TRUE,"Results";"Ratios",#N/A,TRUE,"Results"}</definedName>
    <definedName name="wrn.Print._.Results._.A4." localSheetId="6" hidden="1">{"Valuation",#N/A,TRUE,"Valuation Summary";"Financial Statements",#N/A,TRUE,"Results";"Results",#N/A,TRUE,"Results";"Ratios",#N/A,TRUE,"Results"}</definedName>
    <definedName name="wrn.Print._.Results._.A4." hidden="1">{"Valuation",#N/A,TRUE,"Valuation Summary";"Financial Statements",#N/A,TRUE,"Results";"Results",#N/A,TRUE,"Results";"Ratios",#N/A,TRUE,"Results"}</definedName>
    <definedName name="wrn.Print._.Results._.Letter." localSheetId="8" hidden="1">{"Valuation Letter",#N/A,TRUE,"Valuation Summary";"Financial Statements Letter",#N/A,TRUE,"Results";"Results Letter",#N/A,TRUE,"Results";"Ratios Letter",#N/A,TRUE,"Results"}</definedName>
    <definedName name="wrn.Print._.Results._.Letter." localSheetId="6" hidden="1">{"Valuation Letter",#N/A,TRUE,"Valuation Summary";"Financial Statements Letter",#N/A,TRUE,"Results";"Results Letter",#N/A,TRUE,"Results";"Ratios Letter",#N/A,TRUE,"Results"}</definedName>
    <definedName name="wrn.Print._.Results._.Letter." hidden="1">{"Valuation Letter",#N/A,TRUE,"Valuation Summary";"Financial Statements Letter",#N/A,TRUE,"Results";"Results Letter",#N/A,TRUE,"Results";"Ratios Letter",#N/A,TRUE,"Results"}</definedName>
    <definedName name="wrn.print._.summary._.sheets." localSheetId="8" hidden="1">{"summary1",#N/A,TRUE,"Comps";"summary2",#N/A,TRUE,"Comps";"summary3",#N/A,TRUE,"Comps"}</definedName>
    <definedName name="wrn.print._.summary._.sheets." localSheetId="6" hidden="1">{"summary1",#N/A,TRUE,"Comps";"summary2",#N/A,TRUE,"Comps";"summary3",#N/A,TRUE,"Comps"}</definedName>
    <definedName name="wrn.print._.summary._.sheets." hidden="1">{"summary1",#N/A,TRUE,"Comps";"summary2",#N/A,TRUE,"Comps";"summary3",#N/A,TRUE,"Comps"}</definedName>
    <definedName name="wrn.PRINT._.USD._.CAPITAL." localSheetId="8" hidden="1">{"USD",#N/A,FALSE,"FC-15 Cap Expend"}</definedName>
    <definedName name="wrn.PRINT._.USD._.CAPITAL." localSheetId="6" hidden="1">{"USD",#N/A,FALSE,"FC-15 Cap Expend"}</definedName>
    <definedName name="wrn.PRINT._.USD._.CAPITAL." hidden="1">{"USD",#N/A,FALSE,"FC-15 Cap Expend"}</definedName>
    <definedName name="wrn.PRINT1." localSheetId="8" hidden="1">{"page1",#N/A,FALSE,"PF";"page2",#N/A,FALSE,"PF";"page3",#N/A,FALSE,"PF";"page4",#N/A,FALSE,"Bal_Sht"}</definedName>
    <definedName name="wrn.PRINT1." localSheetId="6" hidden="1">{"page1",#N/A,FALSE,"PF";"page2",#N/A,FALSE,"PF";"page3",#N/A,FALSE,"PF";"page4",#N/A,FALSE,"Bal_Sht"}</definedName>
    <definedName name="wrn.PRINT1." hidden="1">{"page1",#N/A,FALSE,"PF";"page2",#N/A,FALSE,"PF";"page3",#N/A,FALSE,"PF";"page4",#N/A,FALSE,"Bal_Sht"}</definedName>
    <definedName name="wrn.print2." localSheetId="8" hidden="1">{"page1",#N/A,FALSE,"PF";"page2",#N/A,FALSE,"PF";"page3",#N/A,FALSE,"PF";"page4",#N/A,FALSE,"Bal_Sht"}</definedName>
    <definedName name="wrn.print2." localSheetId="6" hidden="1">{"page1",#N/A,FALSE,"PF";"page2",#N/A,FALSE,"PF";"page3",#N/A,FALSE,"PF";"page4",#N/A,FALSE,"Bal_Sht"}</definedName>
    <definedName name="wrn.print2." hidden="1">{"page1",#N/A,FALSE,"PF";"page2",#N/A,FALSE,"PF";"page3",#N/A,FALSE,"PF";"page4",#N/A,FALSE,"Bal_Sht"}</definedName>
    <definedName name="wrn.print3." localSheetId="8" hidden="1">{"page1",#N/A,FALSE,"PF";"page2",#N/A,FALSE,"PF";"page3",#N/A,FALSE,"PF";"page4",#N/A,FALSE,"Bal_Sht"}</definedName>
    <definedName name="wrn.print3." localSheetId="6" hidden="1">{"page1",#N/A,FALSE,"PF";"page2",#N/A,FALSE,"PF";"page3",#N/A,FALSE,"PF";"page4",#N/A,FALSE,"Bal_Sht"}</definedName>
    <definedName name="wrn.print3." hidden="1">{"page1",#N/A,FALSE,"PF";"page2",#N/A,FALSE,"PF";"page3",#N/A,FALSE,"PF";"page4",#N/A,FALSE,"Bal_Sht"}</definedName>
    <definedName name="wrn.PrintAll." localSheetId="8" hidden="1">{"PA1",#N/A,FALSE,"BORDMW";"pa2",#N/A,FALSE,"BORDMW";"PA3",#N/A,FALSE,"BORDMW";"PA4",#N/A,FALSE,"BORDMW"}</definedName>
    <definedName name="wrn.PrintAll." localSheetId="6" hidden="1">{"PA1",#N/A,FALSE,"BORDMW";"pa2",#N/A,FALSE,"BORDMW";"PA3",#N/A,FALSE,"BORDMW";"PA4",#N/A,FALSE,"BORDMW"}</definedName>
    <definedName name="wrn.PrintAll." hidden="1">{"PA1",#N/A,FALSE,"BORDMW";"pa2",#N/A,FALSE,"BORDMW";"PA3",#N/A,FALSE,"BORDMW";"PA4",#N/A,FALSE,"BORDMW"}</definedName>
    <definedName name="wrn.printbackup." localSheetId="8" hidden="1">{"back1",#N/A,FALSE,"SterlingVinters";"back2",#N/A,FALSE,"SterlingVinters";"back3",#N/A,FALSE,"SterlingVinters";"back4",#N/A,FALSE,"SterlingVinters";"back5",#N/A,FALSE,"SterlingVinters";"back6",#N/A,FALSE,"SterlingVinters";"back7",#N/A,FALSE,"SterlingVinters";"back8",#N/A,FALSE,"SterlingVinters";"back9",#N/A,FALSE,"SterlingVinters";"back10",#N/A,FALSE,"SterlingVinters";"back11",#N/A,FALSE,"SterlingVinters";"back12",#N/A,FALSE,"SterlingVinters";"back13",#N/A,FALSE,"SterlingVinters";"back14",#N/A,FALSE,"SterlingVinters";"back15",#N/A,FALSE,"SterlingVinters";"back16",#N/A,FALSE,"SterlingVinters";"back17",#N/A,FALSE,"SterlingVinters";"back18",#N/A,FALSE,"SterlingVinters";"back19",#N/A,FALSE,"SterlingVinters";"back20",#N/A,FALSE,"SterlingVinters";"back21",#N/A,FALSE,"SterlingVinters";"back22",#N/A,FALSE,"SterlingVinters"}</definedName>
    <definedName name="wrn.printbackup." localSheetId="6" hidden="1">{"back1",#N/A,FALSE,"SterlingVinters";"back2",#N/A,FALSE,"SterlingVinters";"back3",#N/A,FALSE,"SterlingVinters";"back4",#N/A,FALSE,"SterlingVinters";"back5",#N/A,FALSE,"SterlingVinters";"back6",#N/A,FALSE,"SterlingVinters";"back7",#N/A,FALSE,"SterlingVinters";"back8",#N/A,FALSE,"SterlingVinters";"back9",#N/A,FALSE,"SterlingVinters";"back10",#N/A,FALSE,"SterlingVinters";"back11",#N/A,FALSE,"SterlingVinters";"back12",#N/A,FALSE,"SterlingVinters";"back13",#N/A,FALSE,"SterlingVinters";"back14",#N/A,FALSE,"SterlingVinters";"back15",#N/A,FALSE,"SterlingVinters";"back16",#N/A,FALSE,"SterlingVinters";"back17",#N/A,FALSE,"SterlingVinters";"back18",#N/A,FALSE,"SterlingVinters";"back19",#N/A,FALSE,"SterlingVinters";"back20",#N/A,FALSE,"SterlingVinters";"back21",#N/A,FALSE,"SterlingVinters";"back22",#N/A,FALSE,"SterlingVinters"}</definedName>
    <definedName name="wrn.printbackup." hidden="1">{"back1",#N/A,FALSE,"SterlingVinters";"back2",#N/A,FALSE,"SterlingVinters";"back3",#N/A,FALSE,"SterlingVinters";"back4",#N/A,FALSE,"SterlingVinters";"back5",#N/A,FALSE,"SterlingVinters";"back6",#N/A,FALSE,"SterlingVinters";"back7",#N/A,FALSE,"SterlingVinters";"back8",#N/A,FALSE,"SterlingVinters";"back9",#N/A,FALSE,"SterlingVinters";"back10",#N/A,FALSE,"SterlingVinters";"back11",#N/A,FALSE,"SterlingVinters";"back12",#N/A,FALSE,"SterlingVinters";"back13",#N/A,FALSE,"SterlingVinters";"back14",#N/A,FALSE,"SterlingVinters";"back15",#N/A,FALSE,"SterlingVinters";"back16",#N/A,FALSE,"SterlingVinters";"back17",#N/A,FALSE,"SterlingVinters";"back18",#N/A,FALSE,"SterlingVinters";"back19",#N/A,FALSE,"SterlingVinters";"back20",#N/A,FALSE,"SterlingVinters";"back21",#N/A,FALSE,"SterlingVinters";"back22",#N/A,FALSE,"SterlingVinters"}</definedName>
    <definedName name="wrn.printmodel." localSheetId="8" hidden="1">{"page1",#N/A,FALSE,"Model";"assumption1",#N/A,FALSE,"Model";"assumption2",#N/A,FALSE,"Model";"assumption3",#N/A,FALSE,"Model";"income1",#N/A,FALSE,"Model";"income2",#N/A,FALSE,"Model";"income3",#N/A,FALSE,"Model";"cashflow",#N/A,FALSE,"Model";"balance",#N/A,FALSE,"Model";"irr",#N/A,FALSE,"Model"}</definedName>
    <definedName name="wrn.printmodel." localSheetId="6" hidden="1">{"page1",#N/A,FALSE,"Model";"assumption1",#N/A,FALSE,"Model";"assumption2",#N/A,FALSE,"Model";"assumption3",#N/A,FALSE,"Model";"income1",#N/A,FALSE,"Model";"income2",#N/A,FALSE,"Model";"income3",#N/A,FALSE,"Model";"cashflow",#N/A,FALSE,"Model";"balance",#N/A,FALSE,"Model";"irr",#N/A,FALSE,"Model"}</definedName>
    <definedName name="wrn.printmodel." hidden="1">{"page1",#N/A,FALSE,"Model";"assumption1",#N/A,FALSE,"Model";"assumption2",#N/A,FALSE,"Model";"assumption3",#N/A,FALSE,"Model";"income1",#N/A,FALSE,"Model";"income2",#N/A,FALSE,"Model";"income3",#N/A,FALSE,"Model";"cashflow",#N/A,FALSE,"Model";"balance",#N/A,FALSE,"Model";"irr",#N/A,FALSE,"Model"}</definedName>
    <definedName name="wrn.Priority._.list." localSheetId="8" hidden="1">{#N/A,#N/A,FALSE,"DI 2 YEAR MASTER SCHEDULE"}</definedName>
    <definedName name="wrn.Priority._.list." localSheetId="6" hidden="1">{#N/A,#N/A,FALSE,"DI 2 YEAR MASTER SCHEDULE"}</definedName>
    <definedName name="wrn.Priority._.list." hidden="1">{#N/A,#N/A,FALSE,"DI 2 YEAR MASTER SCHEDULE"}</definedName>
    <definedName name="wrn.Prjcted._.Mnthly._.Qtys." localSheetId="8" hidden="1">{#N/A,#N/A,FALSE,"PRJCTED MNTHLY QTY's"}</definedName>
    <definedName name="wrn.Prjcted._.Mnthly._.Qtys." localSheetId="6" hidden="1">{#N/A,#N/A,FALSE,"PRJCTED MNTHLY QTY's"}</definedName>
    <definedName name="wrn.Prjcted._.Mnthly._.Qtys." hidden="1">{#N/A,#N/A,FALSE,"PRJCTED MNTHLY QTY's"}</definedName>
    <definedName name="wrn.Prjcted._.Qtrly._.Dollars." localSheetId="8" hidden="1">{#N/A,#N/A,FALSE,"PRJCTED QTRLY $'s"}</definedName>
    <definedName name="wrn.Prjcted._.Qtrly._.Dollars." localSheetId="6" hidden="1">{#N/A,#N/A,FALSE,"PRJCTED QTRLY $'s"}</definedName>
    <definedName name="wrn.Prjcted._.Qtrly._.Dollars." hidden="1">{#N/A,#N/A,FALSE,"PRJCTED QTRLY $'s"}</definedName>
    <definedName name="wrn.Prjcted._.Qtrly._.Qtys." localSheetId="8" hidden="1">{#N/A,#N/A,FALSE,"PRJCTED QTRLY QTY's"}</definedName>
    <definedName name="wrn.Prjcted._.Qtrly._.Qtys." localSheetId="6" hidden="1">{#N/A,#N/A,FALSE,"PRJCTED QTRLY QTY's"}</definedName>
    <definedName name="wrn.Prjcted._.Qtrly._.Qtys." hidden="1">{#N/A,#N/A,FALSE,"PRJCTED QTRLY QTY's"}</definedName>
    <definedName name="wrn.Pulp." localSheetId="8" hidden="1">{"Pulp Production",#N/A,FALSE,"Pulp";"Pulp Earnings",#N/A,FALSE,"Pulp"}</definedName>
    <definedName name="wrn.Pulp." localSheetId="6" hidden="1">{"Pulp Production",#N/A,FALSE,"Pulp";"Pulp Earnings",#N/A,FALSE,"Pulp"}</definedName>
    <definedName name="wrn.Pulp." hidden="1">{"Pulp Production",#N/A,FALSE,"Pulp";"Pulp Earnings",#N/A,FALSE,"Pulp"}</definedName>
    <definedName name="wrn.Pump." localSheetId="8" hidden="1">{#N/A,#N/A,FALSE,"Assump";#N/A,#N/A,FALSE,"Income";#N/A,#N/A,FALSE,"Balance";#N/A,#N/A,FALSE,"DCF Pump";#N/A,#N/A,FALSE,"Trans Assump";#N/A,#N/A,FALSE,"Combined Income";#N/A,#N/A,FALSE,"Combined Balance"}</definedName>
    <definedName name="wrn.Pump." localSheetId="6" hidden="1">{#N/A,#N/A,FALSE,"Assump";#N/A,#N/A,FALSE,"Income";#N/A,#N/A,FALSE,"Balance";#N/A,#N/A,FALSE,"DCF Pump";#N/A,#N/A,FALSE,"Trans Assump";#N/A,#N/A,FALSE,"Combined Income";#N/A,#N/A,FALSE,"Combined Balance"}</definedName>
    <definedName name="wrn.Pump." hidden="1">{#N/A,#N/A,FALSE,"Assump";#N/A,#N/A,FALSE,"Income";#N/A,#N/A,FALSE,"Balance";#N/A,#N/A,FALSE,"DCF Pump";#N/A,#N/A,FALSE,"Trans Assump";#N/A,#N/A,FALSE,"Combined Income";#N/A,#N/A,FALSE,"Combined Balance"}</definedName>
    <definedName name="wrn.Q1._.QUARTER._.TO._.DATE." localSheetId="8" hidden="1">{"Q1QTD",#N/A,FALSE,"Q1"}</definedName>
    <definedName name="wrn.Q1._.QUARTER._.TO._.DATE." localSheetId="6" hidden="1">{"Q1QTD",#N/A,FALSE,"Q1"}</definedName>
    <definedName name="wrn.Q1._.QUARTER._.TO._.DATE." hidden="1">{"Q1QTD",#N/A,FALSE,"Q1"}</definedName>
    <definedName name="wrn.Q2._.QUARTER._.TO._.DATE." localSheetId="8" hidden="1">{"QUARTER TO DATE",#N/A,FALSE,"Q2"}</definedName>
    <definedName name="wrn.Q2._.QUARTER._.TO._.DATE." localSheetId="6" hidden="1">{"QUARTER TO DATE",#N/A,FALSE,"Q2"}</definedName>
    <definedName name="wrn.Q2._.QUARTER._.TO._.DATE." hidden="1">{"QUARTER TO DATE",#N/A,FALSE,"Q2"}</definedName>
    <definedName name="wrn.Q3._.QUARTER._.TO._.DATE." localSheetId="8" hidden="1">{"QUARTER TO DATE",#N/A,FALSE,"Q3"}</definedName>
    <definedName name="wrn.Q3._.QUARTER._.TO._.DATE." localSheetId="6" hidden="1">{"QUARTER TO DATE",#N/A,FALSE,"Q3"}</definedName>
    <definedName name="wrn.Q3._.QUARTER._.TO._.DATE." hidden="1">{"QUARTER TO DATE",#N/A,FALSE,"Q3"}</definedName>
    <definedName name="wrn.Q4._.QUARTER._.TO._.DATE." localSheetId="8" hidden="1">{"QUARTER TO DATE",#N/A,FALSE,"Q4"}</definedName>
    <definedName name="wrn.Q4._.QUARTER._.TO._.DATE." localSheetId="6" hidden="1">{"QUARTER TO DATE",#N/A,FALSE,"Q4"}</definedName>
    <definedName name="wrn.Q4._.QUARTER._.TO._.DATE." hidden="1">{"QUARTER TO DATE",#N/A,FALSE,"Q4"}</definedName>
    <definedName name="wrn.QUARTERLY._.VIEW." localSheetId="8" hidden="1">{"QUARTERLY VIEW",#N/A,FALSE,"YEAR TOTAL"}</definedName>
    <definedName name="wrn.QUARTERLY._.VIEW." localSheetId="6" hidden="1">{"QUARTERLY VIEW",#N/A,FALSE,"YEAR TOTAL"}</definedName>
    <definedName name="wrn.QUARTERLY._.VIEW." hidden="1">{"QUARTERLY VIEW",#N/A,FALSE,"YEAR TOTAL"}</definedName>
    <definedName name="wrn.RELEVANTSHEETS." localSheetId="8" hidden="1">{#N/A,#N/A,FALSE,"AD_Purch";#N/A,#N/A,FALSE,"Projections";#N/A,#N/A,FALSE,"DCF";#N/A,#N/A,FALSE,"Mkt Val"}</definedName>
    <definedName name="wrn.RELEVANTSHEETS." localSheetId="6" hidden="1">{#N/A,#N/A,FALSE,"AD_Purch";#N/A,#N/A,FALSE,"Projections";#N/A,#N/A,FALSE,"DCF";#N/A,#N/A,FALSE,"Mkt Val"}</definedName>
    <definedName name="wrn.RELEVANTSHEETS." hidden="1">{#N/A,#N/A,FALSE,"AD_Purch";#N/A,#N/A,FALSE,"Projections";#N/A,#N/A,FALSE,"DCF";#N/A,#N/A,FALSE,"Mkt Val"}</definedName>
    <definedName name="wrn.REPORTING._.PACKAGE." localSheetId="8" hidden="1">{#N/A,#N/A,TRUE,"Cover";#N/A,#N/A,TRUE,"BS";#N/A,#N/A,TRUE,"BS (2)";#N/A,#N/A,TRUE,"BS (3)";#N/A,#N/A,TRUE,"Supp Info-BS";#N/A,#N/A,TRUE,"IS";#N/A,#N/A,TRUE,"IS (2)";#N/A,#N/A,TRUE,"IS (3)";#N/A,#N/A,TRUE,"Supp Info-IS";#N/A,#N/A,TRUE,"CF";#N/A,#N/A,TRUE,"Supp Info-CF";#N/A,#N/A,TRUE,"SH";#N/A,#N/A,TRUE,"Supp Info-SH"}</definedName>
    <definedName name="wrn.REPORTING._.PACKAGE." localSheetId="6"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estricted._.Rpts." localSheetId="8" hidden="1">{"RptRY",#N/A,FALSE,"CDGy";"RptRQ",#N/A,FALSE,"CDGq";"RptRM",#N/A,FALSE,"CDGm"}</definedName>
    <definedName name="wrn.Restricted._.Rpts." localSheetId="6" hidden="1">{"RptRY",#N/A,FALSE,"CDGy";"RptRQ",#N/A,FALSE,"CDGq";"RptRM",#N/A,FALSE,"CDGm"}</definedName>
    <definedName name="wrn.Restricted._.Rpts." hidden="1">{"RptRY",#N/A,FALSE,"CDGy";"RptRQ",#N/A,FALSE,"CDGq";"RptRM",#N/A,FALSE,"CDGm"}</definedName>
    <definedName name="wrn.SALARY._.CALC._.REPORTS." localSheetId="8" hidden="1">{"SALDIR",#N/A,FALSE,"WAFER FAB 1 EXPENSE";"SALMGMT",#N/A,FALSE,"WAFER FAB 1 EXPENSE";"SALENGINEERING",#N/A,FALSE,"WAFER FAB 1 EXPENSE";"SALEQUIPSUPPORT",#N/A,FALSE,"WAFER FAB 1 EXPENSE";"SALFABMAT",#N/A,FALSE,"WAFER FAB 1 EXPENSE"}</definedName>
    <definedName name="wrn.SALARY._.CALC._.REPORTS." localSheetId="6" hidden="1">{"SALDIR",#N/A,FALSE,"WAFER FAB 1 EXPENSE";"SALMGMT",#N/A,FALSE,"WAFER FAB 1 EXPENSE";"SALENGINEERING",#N/A,FALSE,"WAFER FAB 1 EXPENSE";"SALEQUIPSUPPORT",#N/A,FALSE,"WAFER FAB 1 EXPENSE";"SALFABMAT",#N/A,FALSE,"WAFER FAB 1 EXPENSE"}</definedName>
    <definedName name="wrn.SALARY._.CALC._.REPORTS." hidden="1">{"SALDIR",#N/A,FALSE,"WAFER FAB 1 EXPENSE";"SALMGMT",#N/A,FALSE,"WAFER FAB 1 EXPENSE";"SALENGINEERING",#N/A,FALSE,"WAFER FAB 1 EXPENSE";"SALEQUIPSUPPORT",#N/A,FALSE,"WAFER FAB 1 EXPENSE";"SALFABMAT",#N/A,FALSE,"WAFER FAB 1 EXPENSE"}</definedName>
    <definedName name="wrn.SAW._.AND._.SUPPORT." localSheetId="8" hidden="1">{"SAW",#N/A,FALSE,"ASSEMBLY EXPENSE"}</definedName>
    <definedName name="wrn.SAW._.AND._.SUPPORT." localSheetId="6" hidden="1">{"SAW",#N/A,FALSE,"ASSEMBLY EXPENSE"}</definedName>
    <definedName name="wrn.SAW._.AND._.SUPPORT." hidden="1">{"SAW",#N/A,FALSE,"ASSEMBLY EXPENSE"}</definedName>
    <definedName name="wrn.sens." localSheetId="8" hidden="1">{"sens1\",#N/A,FALSE,"PF";"sens2",#N/A,FALSE,"PF";"sens3",#N/A,FALSE,"PF";"sens4",#N/A,FALSE,"PF"}</definedName>
    <definedName name="wrn.sens." localSheetId="6" hidden="1">{"sens1\",#N/A,FALSE,"PF";"sens2",#N/A,FALSE,"PF";"sens3",#N/A,FALSE,"PF";"sens4",#N/A,FALSE,"PF"}</definedName>
    <definedName name="wrn.sens." hidden="1">{"sens1\",#N/A,FALSE,"PF";"sens2",#N/A,FALSE,"PF";"sens3",#N/A,FALSE,"PF";"sens4",#N/A,FALSE,"PF"}</definedName>
    <definedName name="wrn.sens3." localSheetId="8" hidden="1">{"sens1\",#N/A,FALSE,"PF";"sens2",#N/A,FALSE,"PF";"sens3",#N/A,FALSE,"PF";"sens4",#N/A,FALSE,"PF"}</definedName>
    <definedName name="wrn.sens3." localSheetId="6" hidden="1">{"sens1\",#N/A,FALSE,"PF";"sens2",#N/A,FALSE,"PF";"sens3",#N/A,FALSE,"PF";"sens4",#N/A,FALSE,"PF"}</definedName>
    <definedName name="wrn.sens3." hidden="1">{"sens1\",#N/A,FALSE,"PF";"sens2",#N/A,FALSE,"PF";"sens3",#N/A,FALSE,"PF";"sens4",#N/A,FALSE,"PF"}</definedName>
    <definedName name="wrn.SEPTEMBER." localSheetId="8" hidden="1">{"Q1SEP",#N/A,FALSE,"Q1"}</definedName>
    <definedName name="wrn.SEPTEMBER." localSheetId="6" hidden="1">{"Q1SEP",#N/A,FALSE,"Q1"}</definedName>
    <definedName name="wrn.SEPTEMBER." hidden="1">{"Q1SEP",#N/A,FALSE,"Q1"}</definedName>
    <definedName name="wrn.small." localSheetId="8" hidden="1">{#N/A,#N/A,FALSE,"Cover";#N/A,#N/A,FALSE,"Contents-Pg1";#N/A,#N/A,FALSE,"High-Com-pg2";#N/A,#N/A,FALSE,"1 Full";#N/A,#N/A,FALSE,"1chts";#N/A,#N/A,FALSE,"Table 2";#N/A,#N/A,FALSE,"3New Iss";#N/A,#N/A,FALSE,"4Money raised";#N/A,#N/A,FALSE,"5Aim";#N/A,#N/A,FALSE,"AiM charts";#N/A,#N/A,FALSE,"6FT Smll";#N/A,#N/A,FALSE,"11SEATS";#N/A,#N/A,FALSE,"12Notes"}</definedName>
    <definedName name="wrn.small." localSheetId="6"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MC." localSheetId="8" hidden="1">{#N/A,#N/A,TRUE,"Main assumptions";#N/A,#N/A,TRUE,"Subscriber projections";#N/A,#N/A,TRUE,"Revenues";#N/A,#N/A,TRUE,"Opex";#N/A,#N/A,TRUE,"Capex";#N/A,#N/A,TRUE,"Working capital";#N/A,#N/A,TRUE,"P&amp;L";#N/A,#N/A,TRUE,"Cash";#N/A,#N/A,TRUE,"Balance";#N/A,#N/A,TRUE,"Valuation";#N/A,#N/A,TRUE,"Bench"}</definedName>
    <definedName name="wrn.SMC." localSheetId="6" hidden="1">{#N/A,#N/A,TRUE,"Main assumptions";#N/A,#N/A,TRUE,"Subscriber projections";#N/A,#N/A,TRUE,"Revenues";#N/A,#N/A,TRUE,"Opex";#N/A,#N/A,TRUE,"Capex";#N/A,#N/A,TRUE,"Working capital";#N/A,#N/A,TRUE,"P&amp;L";#N/A,#N/A,TRUE,"Cash";#N/A,#N/A,TRUE,"Balance";#N/A,#N/A,TRUE,"Valuation";#N/A,#N/A,TRUE,"Bench"}</definedName>
    <definedName name="wrn.SMC." hidden="1">{#N/A,#N/A,TRUE,"Main assumptions";#N/A,#N/A,TRUE,"Subscriber projections";#N/A,#N/A,TRUE,"Revenues";#N/A,#N/A,TRUE,"Opex";#N/A,#N/A,TRUE,"Capex";#N/A,#N/A,TRUE,"Working capital";#N/A,#N/A,TRUE,"P&amp;L";#N/A,#N/A,TRUE,"Cash";#N/A,#N/A,TRUE,"Balance";#N/A,#N/A,TRUE,"Valuation";#N/A,#N/A,TRUE,"Bench"}</definedName>
    <definedName name="wrn.Staffing1" localSheetId="8" hidden="1">{#N/A,#N/A,FALSE,"Assessment";#N/A,#N/A,FALSE,"Staffing";#N/A,#N/A,FALSE,"Hires";#N/A,#N/A,FALSE,"Assumptions"}</definedName>
    <definedName name="wrn.Staffing1" localSheetId="6" hidden="1">{#N/A,#N/A,FALSE,"Assessment";#N/A,#N/A,FALSE,"Staffing";#N/A,#N/A,FALSE,"Hires";#N/A,#N/A,FALSE,"Assumptions"}</definedName>
    <definedName name="wrn.Staffing1" hidden="1">{#N/A,#N/A,FALSE,"Assessment";#N/A,#N/A,FALSE,"Staffing";#N/A,#N/A,FALSE,"Hires";#N/A,#N/A,FALSE,"Assumptions"}</definedName>
    <definedName name="wrn.SUMMARY._.ASSEM._.EXP." localSheetId="8" hidden="1">{"TOTALASSEMBLYEXPENSE",#N/A,FALSE,"MANUFACTURING EXPENSE SUMMARY"}</definedName>
    <definedName name="wrn.SUMMARY._.ASSEM._.EXP." localSheetId="6" hidden="1">{"TOTALASSEMBLYEXPENSE",#N/A,FALSE,"MANUFACTURING EXPENSE SUMMARY"}</definedName>
    <definedName name="wrn.SUMMARY._.ASSEM._.EXP." hidden="1">{"TOTALASSEMBLYEXPENSE",#N/A,FALSE,"MANUFACTURING EXPENSE SUMMARY"}</definedName>
    <definedName name="wrn.SUMMARY._.FAB._.I._.EXP." localSheetId="8" hidden="1">{"TOTALWAFERFABEXPENSE",#N/A,FALSE,"MANUFACTURING EXPENSE SUMMARY"}</definedName>
    <definedName name="wrn.SUMMARY._.FAB._.I._.EXP." localSheetId="6" hidden="1">{"TOTALWAFERFABEXPENSE",#N/A,FALSE,"MANUFACTURING EXPENSE SUMMARY"}</definedName>
    <definedName name="wrn.SUMMARY._.FAB._.I._.EXP." hidden="1">{"TOTALWAFERFABEXPENSE",#N/A,FALSE,"MANUFACTURING EXPENSE SUMMARY"}</definedName>
    <definedName name="wrn.SUMMARY._.FAB._.II._.EXP." localSheetId="8" hidden="1">{"TOTALWAFERFAB2EXPENSE",#N/A,FALSE,"MANUFACTURING EXPENSE SUMMARY"}</definedName>
    <definedName name="wrn.SUMMARY._.FAB._.II._.EXP." localSheetId="6" hidden="1">{"TOTALWAFERFAB2EXPENSE",#N/A,FALSE,"MANUFACTURING EXPENSE SUMMARY"}</definedName>
    <definedName name="wrn.SUMMARY._.FAB._.II._.EXP." hidden="1">{"TOTALWAFERFAB2EXPENSE",#N/A,FALSE,"MANUFACTURING EXPENSE SUMMARY"}</definedName>
    <definedName name="wrn.SUMMARY._.FACIL._.EXP." localSheetId="8" hidden="1">{"TOTALFACILITIESEXPENSE",#N/A,FALSE,"MANUFACTURING EXPENSE SUMMARY"}</definedName>
    <definedName name="wrn.SUMMARY._.FACIL._.EXP." localSheetId="6" hidden="1">{"TOTALFACILITIESEXPENSE",#N/A,FALSE,"MANUFACTURING EXPENSE SUMMARY"}</definedName>
    <definedName name="wrn.SUMMARY._.FACIL._.EXP." hidden="1">{"TOTALFACILITIESEXPENSE",#N/A,FALSE,"MANUFACTURING EXPENSE SUMMARY"}</definedName>
    <definedName name="wrn.SUMMARY._.MATLS._.EXP." localSheetId="8" hidden="1">{"TOTALMATERIALSEXPENSE",#N/A,FALSE,"MANUFACTURING EXPENSE SUMMARY"}</definedName>
    <definedName name="wrn.SUMMARY._.MATLS._.EXP." localSheetId="6" hidden="1">{"TOTALMATERIALSEXPENSE",#N/A,FALSE,"MANUFACTURING EXPENSE SUMMARY"}</definedName>
    <definedName name="wrn.SUMMARY._.MATLS._.EXP." hidden="1">{"TOTALMATERIALSEXPENSE",#N/A,FALSE,"MANUFACTURING EXPENSE SUMMARY"}</definedName>
    <definedName name="wrn.SUMMARY._.QR._.EXP." localSheetId="8" hidden="1">{"TOTALQAEXPENSE",#N/A,FALSE,"MANUFACTURING EXPENSE SUMMARY"}</definedName>
    <definedName name="wrn.SUMMARY._.QR._.EXP." localSheetId="6" hidden="1">{"TOTALQAEXPENSE",#N/A,FALSE,"MANUFACTURING EXPENSE SUMMARY"}</definedName>
    <definedName name="wrn.SUMMARY._.QR._.EXP." hidden="1">{"TOTALQAEXPENSE",#N/A,FALSE,"MANUFACTURING EXPENSE SUMMARY"}</definedName>
    <definedName name="wrn.SUMMARY._.SUBCNTRT._.EXP." localSheetId="8" hidden="1">{"TOTALSUBEXPNESE",#N/A,FALSE,"MANUFACTURING EXPENSE SUMMARY"}</definedName>
    <definedName name="wrn.SUMMARY._.SUBCNTRT._.EXP." localSheetId="6" hidden="1">{"TOTALSUBEXPNESE",#N/A,FALSE,"MANUFACTURING EXPENSE SUMMARY"}</definedName>
    <definedName name="wrn.SUMMARY._.SUBCNTRT._.EXP." hidden="1">{"TOTALSUBEXPNESE",#N/A,FALSE,"MANUFACTURING EXPENSE SUMMARY"}</definedName>
    <definedName name="wrn.summary_comsat." localSheetId="8" hidden="1">{"summary",#N/A,FALSE,"comsat"}</definedName>
    <definedName name="wrn.summary_comsat." localSheetId="6" hidden="1">{"summary",#N/A,FALSE,"comsat"}</definedName>
    <definedName name="wrn.summary_comsat." hidden="1">{"summary",#N/A,FALSE,"comsat"}</definedName>
    <definedName name="wrn.SWITCH." localSheetId="8" hidden="1">{"SWITCH",#N/A,FALSE,"REVENUE AND GM "}</definedName>
    <definedName name="wrn.SWITCH." localSheetId="6" hidden="1">{"SWITCH",#N/A,FALSE,"REVENUE AND GM "}</definedName>
    <definedName name="wrn.SWITCH." hidden="1">{"SWITCH",#N/A,FALSE,"REVENUE AND GM "}</definedName>
    <definedName name="wrn.Taxes." localSheetId="8" hidden="1">{"Def Tax Long",#N/A,TRUE,"Financials";"Def Tax Short",#N/A,TRUE,"Financials";"Cons Tax Sched",#N/A,TRUE,"Financials"}</definedName>
    <definedName name="wrn.Taxes." localSheetId="6" hidden="1">{"Def Tax Long",#N/A,TRUE,"Financials";"Def Tax Short",#N/A,TRUE,"Financials";"Cons Tax Sched",#N/A,TRUE,"Financials"}</definedName>
    <definedName name="wrn.Taxes." hidden="1">{"Def Tax Long",#N/A,TRUE,"Financials";"Def Tax Short",#N/A,TRUE,"Financials";"Cons Tax Sched",#N/A,TRUE,"Financials"}</definedName>
    <definedName name="wrn.TEST." localSheetId="8" hidden="1">{#N/A,#N/A,FALSE,"96SALAR2"}</definedName>
    <definedName name="wrn.TEST." localSheetId="6" hidden="1">{#N/A,#N/A,FALSE,"96SALAR2"}</definedName>
    <definedName name="wrn.TEST." hidden="1">{#N/A,#N/A,FALSE,"96SALAR2"}</definedName>
    <definedName name="wrn.TOOL." localSheetId="8"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 localSheetId="6"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localSheetId="8" hidden="1">{#N/A,#N/A,FALSE,"Trans-Sum";#N/A,#N/A,FALSE,"Accr-Dilu2";#N/A,#N/A,FALSE,"Contribution";#N/A,#N/A,FALSE,"Combined";#N/A,#N/A,FALSE,"ASTF";#N/A,#N/A,FALSE,"BRA";#N/A,#N/A,FALSE,"Bra_C";#N/A,#N/A,FALSE,"AcqMults";#N/A,#N/A,FALSE,"CompMults";#N/A,#N/A,FALSE,"DCF";#N/A,#N/A,FALSE,"WACC";#N/A,#N/A,FALSE,"LBO";#N/A,#N/A,FALSE,"Summary";#N/A,#N/A,FALSE,"StructSum"}</definedName>
    <definedName name="wrn.Total." localSheetId="6" hidden="1">{#N/A,#N/A,FALSE,"Trans-Sum";#N/A,#N/A,FALSE,"Accr-Dilu2";#N/A,#N/A,FALSE,"Contribution";#N/A,#N/A,FALSE,"Combined";#N/A,#N/A,FALSE,"ASTF";#N/A,#N/A,FALSE,"BRA";#N/A,#N/A,FALSE,"Bra_C";#N/A,#N/A,FALSE,"AcqMults";#N/A,#N/A,FALSE,"CompMults";#N/A,#N/A,FALSE,"DCF";#N/A,#N/A,FALSE,"WACC";#N/A,#N/A,FALSE,"LBO";#N/A,#N/A,FALSE,"Summary";#N/A,#N/A,FALSE,"StructSum"}</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FAB._.2._.EXPENSE." localSheetId="8" hidden="1">{"TOTALFAB",#N/A,FALSE,"WAFER FAB 2 EXPENSE"}</definedName>
    <definedName name="wrn.TOTAL._.FAB._.2._.EXPENSE." localSheetId="6" hidden="1">{"TOTALFAB",#N/A,FALSE,"WAFER FAB 2 EXPENSE"}</definedName>
    <definedName name="wrn.TOTAL._.FAB._.2._.EXPENSE." hidden="1">{"TOTALFAB",#N/A,FALSE,"WAFER FAB 2 EXPENSE"}</definedName>
    <definedName name="wrn.TransPrcd_123." localSheetId="8" hidden="1">{#N/A,#N/A,TRUE,"TransPrcd 1";#N/A,#N/A,TRUE,"TransPrcd 2";#N/A,#N/A,TRUE,"TransPrcd 3"}</definedName>
    <definedName name="wrn.TransPrcd_123." localSheetId="6" hidden="1">{#N/A,#N/A,TRUE,"TransPrcd 1";#N/A,#N/A,TRUE,"TransPrcd 2";#N/A,#N/A,TRUE,"TransPrcd 3"}</definedName>
    <definedName name="wrn.TransPrcd_123." hidden="1">{#N/A,#N/A,TRUE,"TransPrcd 1";#N/A,#N/A,TRUE,"TransPrcd 2";#N/A,#N/A,TRUE,"TransPrcd 3"}</definedName>
    <definedName name="wrn.upstairs." localSheetId="8" hidden="1">{"histincome",#N/A,FALSE,"hyfins";"closing balance",#N/A,FALSE,"hyfins"}</definedName>
    <definedName name="wrn.upstairs." localSheetId="6" hidden="1">{"histincome",#N/A,FALSE,"hyfins";"closing balance",#N/A,FALSE,"hyfins"}</definedName>
    <definedName name="wrn.upstairs." hidden="1">{"histincome",#N/A,FALSE,"hyfins";"closing balance",#N/A,FALSE,"hyfins"}</definedName>
    <definedName name="wrn.USD._.COST." localSheetId="8" hidden="1">{"USDCOST",#N/A,FALSE,"FC-3 "}</definedName>
    <definedName name="wrn.USD._.COST." localSheetId="6" hidden="1">{"USDCOST",#N/A,FALSE,"FC-3 "}</definedName>
    <definedName name="wrn.USD._.COST." hidden="1">{"USDCOST",#N/A,FALSE,"FC-3 "}</definedName>
    <definedName name="wrn.USD._.FC3." localSheetId="8" hidden="1">{"USDFC3",#N/A,FALSE,"FC-3 "}</definedName>
    <definedName name="wrn.USD._.FC3." localSheetId="6" hidden="1">{"USDFC3",#N/A,FALSE,"FC-3 "}</definedName>
    <definedName name="wrn.USD._.FC3." hidden="1">{"USDFC3",#N/A,FALSE,"FC-3 "}</definedName>
    <definedName name="wrn.VALUATION." localSheetId="8" hidden="1">{#N/A,#N/A,FALSE,"Pooling";#N/A,#N/A,FALSE,"income";#N/A,#N/A,FALSE,"valuation"}</definedName>
    <definedName name="wrn.VALUATION." localSheetId="6" hidden="1">{#N/A,#N/A,FALSE,"Pooling";#N/A,#N/A,FALSE,"income";#N/A,#N/A,FALSE,"valuation"}</definedName>
    <definedName name="wrn.VALUATION." hidden="1">{#N/A,#N/A,FALSE,"Pooling";#N/A,#N/A,FALSE,"income";#N/A,#N/A,FALSE,"valuation"}</definedName>
    <definedName name="wrn.wicor." localSheetId="8" hidden="1">{#N/A,#N/A,FALSE,"FACTSHEETS";#N/A,#N/A,FALSE,"pump";#N/A,#N/A,FALSE,"filter"}</definedName>
    <definedName name="wrn.wicor." localSheetId="6" hidden="1">{#N/A,#N/A,FALSE,"FACTSHEETS";#N/A,#N/A,FALSE,"pump";#N/A,#N/A,FALSE,"filter"}</definedName>
    <definedName name="wrn.wicor." hidden="1">{#N/A,#N/A,FALSE,"FACTSHEETS";#N/A,#N/A,FALSE,"pump";#N/A,#N/A,FALSE,"filter"}</definedName>
    <definedName name="wrn.WSTS._.Trade._.Statistics." localSheetId="8" hidden="1">{#N/A,#N/A,FALSE,"Table of Contents";#N/A,#N/A,FALSE,"Overview";#N/A,#N/A,FALSE,"Data"}</definedName>
    <definedName name="wrn.WSTS._.Trade._.Statistics." localSheetId="6" hidden="1">{#N/A,#N/A,FALSE,"Table of Contents";#N/A,#N/A,FALSE,"Overview";#N/A,#N/A,FALSE,"Data"}</definedName>
    <definedName name="wrn.WSTS._.Trade._.Statistics." hidden="1">{#N/A,#N/A,FALSE,"Table of Contents";#N/A,#N/A,FALSE,"Overview";#N/A,#N/A,FALSE,"Data"}</definedName>
    <definedName name="wrn.WW._.PROFIT._.AND._.LOSS." localSheetId="8" hidden="1">{#N/A,#N/A,FALSE,"notes";#N/A,#N/A,FALSE,"Perform";#N/A,#N/A,FALSE,"Graphs";#N/A,#N/A,FALSE,"FAMILIES GRAPHS";#N/A,#N/A,FALSE,"WWP&amp;Lsum";#N/A,#N/A,FALSE,"WWP&amp;Lfam";#N/A,#N/A,FALSE,"SALCOMP"}</definedName>
    <definedName name="wrn.WW._.PROFIT._.AND._.LOSS." localSheetId="6" hidden="1">{#N/A,#N/A,FALSE,"notes";#N/A,#N/A,FALSE,"Perform";#N/A,#N/A,FALSE,"Graphs";#N/A,#N/A,FALSE,"FAMILIES GRAPHS";#N/A,#N/A,FALSE,"WWP&amp;Lsum";#N/A,#N/A,FALSE,"WWP&amp;Lfam";#N/A,#N/A,FALSE,"SALCOMP"}</definedName>
    <definedName name="wrn.WW._.PROFIT._.AND._.LOSS." hidden="1">{#N/A,#N/A,FALSE,"notes";#N/A,#N/A,FALSE,"Perform";#N/A,#N/A,FALSE,"Graphs";#N/A,#N/A,FALSE,"FAMILIES GRAPHS";#N/A,#N/A,FALSE,"WWP&amp;Lsum";#N/A,#N/A,FALSE,"WWP&amp;Lfam";#N/A,#N/A,FALSE,"SALCOMP"}</definedName>
    <definedName name="wrn.YEAR._.TO._.DATE." localSheetId="8" hidden="1">{"YEAR TO DATE",#N/A,FALSE,"YTD"}</definedName>
    <definedName name="wrn.YEAR._.TO._.DATE." localSheetId="6" hidden="1">{"YEAR TO DATE",#N/A,FALSE,"YTD"}</definedName>
    <definedName name="wrn.YEAR._.TO._.DATE." hidden="1">{"YEAR TO DATE",#N/A,FALSE,"YTD"}</definedName>
    <definedName name="wrn.YEAR._.VIEW." localSheetId="8" hidden="1">{#N/A,#N/A,FALSE,"YEAR TOTAL"}</definedName>
    <definedName name="wrn.YEAR._.VIEW." localSheetId="6" hidden="1">{#N/A,#N/A,FALSE,"YEAR TOTAL"}</definedName>
    <definedName name="wrn.YEAR._.VIEW." hidden="1">{#N/A,#N/A,FALSE,"YEAR TOTAL"}</definedName>
    <definedName name="wtvr" localSheetId="8" hidden="1">{#N/A,#N/A,TRUE,"Hist &amp; Proj BS 98-02";#N/A,#N/A,TRUE,"Hist &amp; Proj IS 98-02";#N/A,#N/A,TRUE,"Hist &amp; Proj Oper Exp 98-02";#N/A,#N/A,TRUE,"Hist &amp; Proj CF 99-02";#N/A,#N/A,TRUE,"Mnthly Cash 99";#N/A,#N/A,TRUE,"Mnthly Cash 00";#N/A,#N/A,TRUE,"Mnthly Cash 01";#N/A,#N/A,TRUE,"Mnthly Cash 02";#N/A,#N/A,TRUE,"Mnthly IS 99";#N/A,#N/A,TRUE,"Mnthly IS 00";#N/A,#N/A,TRUE,"Mnthly IS 01";#N/A,#N/A,TRUE,"Mnthly IS 02"}</definedName>
    <definedName name="wtvr" localSheetId="6" hidden="1">{#N/A,#N/A,TRUE,"Hist &amp; Proj BS 98-02";#N/A,#N/A,TRUE,"Hist &amp; Proj IS 98-02";#N/A,#N/A,TRUE,"Hist &amp; Proj Oper Exp 98-02";#N/A,#N/A,TRUE,"Hist &amp; Proj CF 99-02";#N/A,#N/A,TRUE,"Mnthly Cash 99";#N/A,#N/A,TRUE,"Mnthly Cash 00";#N/A,#N/A,TRUE,"Mnthly Cash 01";#N/A,#N/A,TRUE,"Mnthly Cash 02";#N/A,#N/A,TRUE,"Mnthly IS 99";#N/A,#N/A,TRUE,"Mnthly IS 00";#N/A,#N/A,TRUE,"Mnthly IS 01";#N/A,#N/A,TRUE,"Mnthly IS 02"}</definedName>
    <definedName name="wtvr" hidden="1">{#N/A,#N/A,TRUE,"Hist &amp; Proj BS 98-02";#N/A,#N/A,TRUE,"Hist &amp; Proj IS 98-02";#N/A,#N/A,TRUE,"Hist &amp; Proj Oper Exp 98-02";#N/A,#N/A,TRUE,"Hist &amp; Proj CF 99-02";#N/A,#N/A,TRUE,"Mnthly Cash 99";#N/A,#N/A,TRUE,"Mnthly Cash 00";#N/A,#N/A,TRUE,"Mnthly Cash 01";#N/A,#N/A,TRUE,"Mnthly Cash 02";#N/A,#N/A,TRUE,"Mnthly IS 99";#N/A,#N/A,TRUE,"Mnthly IS 00";#N/A,#N/A,TRUE,"Mnthly IS 01";#N/A,#N/A,TRUE,"Mnthly IS 02"}</definedName>
    <definedName name="wvu.Analysis1H95." localSheetId="8" hidden="1">{TRUE,TRUE,-1.25,-15.5,484.5,276.75,FALSE,TRUE,TRUE,TRUE,0,112,#N/A,156,#N/A,14.21875,18.2941176470588,1,FALSE,FALSE,3,TRUE,1,FALSE,100,"Swvu.Analysis1H95.","ACwvu.Analysis1H95.",#N/A,FALSE,FALSE,0.5,0,0,0,2,"","",TRUE,TRUE,FALSE,FALSE,1,#N/A,1,1,"=R130C94:R170C123",FALSE,"Rwvu.Analysis1H95.",#N/A,FALSE,FALSE,FALSE,1,65532,65532,FALSE,FALSE,TRUE,TRUE,TRUE}</definedName>
    <definedName name="wvu.Analysis1H95." localSheetId="6" hidden="1">{TRUE,TRUE,-1.25,-15.5,484.5,276.75,FALSE,TRUE,TRUE,TRUE,0,112,#N/A,156,#N/A,14.21875,18.2941176470588,1,FALSE,FALSE,3,TRUE,1,FALSE,100,"Swvu.Analysis1H95.","ACwvu.Analysis1H95.",#N/A,FALSE,FALSE,0.5,0,0,0,2,"","",TRUE,TRUE,FALSE,FALSE,1,#N/A,1,1,"=R130C94:R170C123",FALSE,"Rwvu.Analysis1H95.",#N/A,FALSE,FALSE,FALSE,1,65532,65532,FALSE,FALSE,TRUE,TRUE,TRUE}</definedName>
    <definedName name="wvu.Analysis1H95." hidden="1">{TRUE,TRUE,-1.25,-15.5,484.5,276.75,FALSE,TRUE,TRUE,TRUE,0,112,#N/A,156,#N/A,14.21875,18.2941176470588,1,FALSE,FALSE,3,TRUE,1,FALSE,100,"Swvu.Analysis1H95.","ACwvu.Analysis1H95.",#N/A,FALSE,FALSE,0.5,0,0,0,2,"","",TRUE,TRUE,FALSE,FALSE,1,#N/A,1,1,"=R130C94:R170C123",FALSE,"Rwvu.Analysis1H95.",#N/A,FALSE,FALSE,FALSE,1,65532,65532,FALSE,FALSE,TRUE,TRUE,TRUE}</definedName>
    <definedName name="wvu.Analysis1Q95." localSheetId="8" hidden="1">{TRUE,TRUE,-1.25,-15.5,484.5,276.75,FALSE,TRUE,TRUE,TRUE,0,111,#N/A,58,#N/A,14.21875,18.8888888888889,1,FALSE,FALSE,3,TRUE,1,FALSE,100,"Swvu.Analysis1Q95.","ACwvu.Analysis1Q95.",#N/A,FALSE,FALSE,0.5,0,0,0,2,"","",TRUE,TRUE,FALSE,FALSE,1,#N/A,1,1,"=R130C94:R170C123",FALSE,"Rwvu.Analysis1Q95.",#N/A,FALSE,FALSE,FALSE,1,65532,65532,FALSE,FALSE,TRUE,TRUE,TRUE}</definedName>
    <definedName name="wvu.Analysis1Q95." localSheetId="6" hidden="1">{TRUE,TRUE,-1.25,-15.5,484.5,276.75,FALSE,TRUE,TRUE,TRUE,0,111,#N/A,58,#N/A,14.21875,18.8888888888889,1,FALSE,FALSE,3,TRUE,1,FALSE,100,"Swvu.Analysis1Q95.","ACwvu.Analysis1Q95.",#N/A,FALSE,FALSE,0.5,0,0,0,2,"","",TRUE,TRUE,FALSE,FALSE,1,#N/A,1,1,"=R130C94:R170C123",FALSE,"Rwvu.Analysis1Q95.",#N/A,FALSE,FALSE,FALSE,1,65532,65532,FALSE,FALSE,TRUE,TRUE,TRUE}</definedName>
    <definedName name="wvu.Analysis1Q95." hidden="1">{TRUE,TRUE,-1.25,-15.5,484.5,276.75,FALSE,TRUE,TRUE,TRUE,0,111,#N/A,58,#N/A,14.21875,18.8888888888889,1,FALSE,FALSE,3,TRUE,1,FALSE,100,"Swvu.Analysis1Q95.","ACwvu.Analysis1Q95.",#N/A,FALSE,FALSE,0.5,0,0,0,2,"","",TRUE,TRUE,FALSE,FALSE,1,#N/A,1,1,"=R130C94:R170C123",FALSE,"Rwvu.Analysis1Q95.",#N/A,FALSE,FALSE,FALSE,1,65532,65532,FALSE,FALSE,TRUE,TRUE,TRUE}</definedName>
    <definedName name="wvu.Analysis2Q95." localSheetId="8" hidden="1">{TRUE,TRUE,-1.25,-15.5,484.5,276.75,FALSE,TRUE,TRUE,TRUE,0,111,#N/A,120,#N/A,14.21875,17.9411764705882,1,FALSE,FALSE,3,TRUE,1,FALSE,100,"Swvu.Analysis2Q95.","ACwvu.Analysis2Q95.",#N/A,FALSE,FALSE,0.5,0,0,0,2,"","",TRUE,TRUE,FALSE,FALSE,1,#N/A,1,1,"=R130C94:R170C123",FALSE,"Rwvu.Analysis2Q95.",#N/A,FALSE,FALSE,FALSE,1,65532,65532,FALSE,FALSE,TRUE,TRUE,TRUE}</definedName>
    <definedName name="wvu.Analysis2Q95." localSheetId="6" hidden="1">{TRUE,TRUE,-1.25,-15.5,484.5,276.75,FALSE,TRUE,TRUE,TRUE,0,111,#N/A,120,#N/A,14.21875,17.9411764705882,1,FALSE,FALSE,3,TRUE,1,FALSE,100,"Swvu.Analysis2Q95.","ACwvu.Analysis2Q95.",#N/A,FALSE,FALSE,0.5,0,0,0,2,"","",TRUE,TRUE,FALSE,FALSE,1,#N/A,1,1,"=R130C94:R170C123",FALSE,"Rwvu.Analysis2Q95.",#N/A,FALSE,FALSE,FALSE,1,65532,65532,FALSE,FALSE,TRUE,TRUE,TRUE}</definedName>
    <definedName name="wvu.Analysis2Q95." hidden="1">{TRUE,TRUE,-1.25,-15.5,484.5,276.75,FALSE,TRUE,TRUE,TRUE,0,111,#N/A,120,#N/A,14.21875,17.9411764705882,1,FALSE,FALSE,3,TRUE,1,FALSE,100,"Swvu.Analysis2Q95.","ACwvu.Analysis2Q95.",#N/A,FALSE,FALSE,0.5,0,0,0,2,"","",TRUE,TRUE,FALSE,FALSE,1,#N/A,1,1,"=R130C94:R170C123",FALSE,"Rwvu.Analysis2Q95.",#N/A,FALSE,FALSE,FALSE,1,65532,65532,FALSE,FALSE,TRUE,TRUE,TRUE}</definedName>
    <definedName name="wvu.CapersView." localSheetId="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6"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redit._.Active." localSheetId="8" hidden="1">{TRUE,TRUE,-1.25,-15.5,484.5,276.75,FALSE,TRUE,TRUE,TRUE,0,1,#N/A,1,#N/A,6.91071428571429,18.2941176470588,1,FALSE,FALSE,3,TRUE,1,FALSE,100,"Swvu.Credit._.Active.","ACwvu.Credit._.Active.",#N/A,FALSE,FALSE,0.25,0.25,0.5,0.5,2,"","&amp;L&amp;F&amp;C&amp;A&amp;R&amp;D&amp;T",TRUE,FALSE,FALSE,FALSE,1,#N/A,1,8,"=R8C1:R142C23","=R1:R7",#N/A,"Cwvu.Credit._.Active.",FALSE,FALSE,FALSE,1,65534,65534,FALSE,FALSE,TRUE,TRUE,TRUE}</definedName>
    <definedName name="wvu.Credit._.Active." localSheetId="6" hidden="1">{TRUE,TRUE,-1.25,-15.5,484.5,276.75,FALSE,TRUE,TRUE,TRUE,0,1,#N/A,1,#N/A,6.91071428571429,18.2941176470588,1,FALSE,FALSE,3,TRUE,1,FALSE,100,"Swvu.Credit._.Active.","ACwvu.Credit._.Active.",#N/A,FALSE,FALSE,0.25,0.25,0.5,0.5,2,"","&amp;L&amp;F&amp;C&amp;A&amp;R&amp;D&amp;T",TRUE,FALSE,FALSE,FALSE,1,#N/A,1,8,"=R8C1:R142C23","=R1:R7",#N/A,"Cwvu.Credit._.Active.",FALSE,FALSE,FALSE,1,65534,65534,FALSE,FALSE,TRUE,TRUE,TRUE}</definedName>
    <definedName name="wvu.Credit._.Active." hidden="1">{TRUE,TRUE,-1.25,-15.5,484.5,276.75,FALSE,TRUE,TRUE,TRUE,0,1,#N/A,1,#N/A,6.91071428571429,18.2941176470588,1,FALSE,FALSE,3,TRUE,1,FALSE,100,"Swvu.Credit._.Active.","ACwvu.Credit._.Active.",#N/A,FALSE,FALSE,0.25,0.25,0.5,0.5,2,"","&amp;L&amp;F&amp;C&amp;A&amp;R&amp;D&amp;T",TRUE,FALSE,FALSE,FALSE,1,#N/A,1,8,"=R8C1:R142C23","=R1:R7",#N/A,"Cwvu.Credit._.Active.",FALSE,FALSE,FALSE,1,65534,65534,FALSE,FALSE,TRUE,TRUE,TRUE}</definedName>
    <definedName name="wvu.Credit._.Active1." localSheetId="8" hidden="1">{TRUE,TRUE,-1.25,-15.5,484.5,276.75,FALSE,TRUE,TRUE,TRUE,0,1,#N/A,1,#N/A,6.91071428571429,18.2941176470588,1,FALSE,FALSE,3,TRUE,1,FALSE,100,"Swvu.Credit._.Active.","ACwvu.Credit._.Active.",#N/A,FALSE,FALSE,0.25,0.25,0.5,0.5,2,"","&amp;L&amp;F&amp;C&amp;A&amp;R&amp;D&amp;T",TRUE,FALSE,FALSE,FALSE,1,#N/A,1,8,"=R8C1:R142C23","=R1:R7",#N/A,"Cwvu.Credit._.Active.",FALSE,FALSE,FALSE,1,65534,65534,FALSE,FALSE,TRUE,TRUE,TRUE}</definedName>
    <definedName name="wvu.Credit._.Active1." localSheetId="6" hidden="1">{TRUE,TRUE,-1.25,-15.5,484.5,276.75,FALSE,TRUE,TRUE,TRUE,0,1,#N/A,1,#N/A,6.91071428571429,18.2941176470588,1,FALSE,FALSE,3,TRUE,1,FALSE,100,"Swvu.Credit._.Active.","ACwvu.Credit._.Active.",#N/A,FALSE,FALSE,0.25,0.25,0.5,0.5,2,"","&amp;L&amp;F&amp;C&amp;A&amp;R&amp;D&amp;T",TRUE,FALSE,FALSE,FALSE,1,#N/A,1,8,"=R8C1:R142C23","=R1:R7",#N/A,"Cwvu.Credit._.Active.",FALSE,FALSE,FALSE,1,65534,65534,FALSE,FALSE,TRUE,TRUE,TRUE}</definedName>
    <definedName name="wvu.Credit._.Active1." hidden="1">{TRUE,TRUE,-1.25,-15.5,484.5,276.75,FALSE,TRUE,TRUE,TRUE,0,1,#N/A,1,#N/A,6.91071428571429,18.2941176470588,1,FALSE,FALSE,3,TRUE,1,FALSE,100,"Swvu.Credit._.Active.","ACwvu.Credit._.Active.",#N/A,FALSE,FALSE,0.25,0.25,0.5,0.5,2,"","&amp;L&amp;F&amp;C&amp;A&amp;R&amp;D&amp;T",TRUE,FALSE,FALSE,FALSE,1,#N/A,1,8,"=R8C1:R142C23","=R1:R7",#N/A,"Cwvu.Credit._.Active.",FALSE,FALSE,FALSE,1,65534,65534,FALSE,FALSE,TRUE,TRUE,TRUE}</definedName>
    <definedName name="wvu.Credit._.Additions." localSheetId="8" hidden="1">{TRUE,TRUE,-1.25,-15.5,484.5,276.75,FALSE,TRUE,TRUE,TRUE,0,1,#N/A,140,#N/A,6.91071428571429,18.1764705882353,1,FALSE,FALSE,3,TRUE,1,FALSE,100,"Swvu.Credit._.Additions.","ACwvu.Credit._.Additions.",#N/A,FALSE,FALSE,0.25,0.25,0.5,0.5,2,"","&amp;L&amp;F&amp;C&amp;A&amp;R&amp;D&amp;T",TRUE,FALSE,FALSE,FALSE,1,#N/A,1,8,"=R155C1:R270C23","=R146:R154",#N/A,"Cwvu.Credit._.Additions.",FALSE,FALSE,FALSE,1,65534,65534,FALSE,FALSE,TRUE,TRUE,TRUE}</definedName>
    <definedName name="wvu.Credit._.Additions." localSheetId="6" hidden="1">{TRUE,TRUE,-1.25,-15.5,484.5,276.75,FALSE,TRUE,TRUE,TRUE,0,1,#N/A,140,#N/A,6.91071428571429,18.1764705882353,1,FALSE,FALSE,3,TRUE,1,FALSE,100,"Swvu.Credit._.Additions.","ACwvu.Credit._.Additions.",#N/A,FALSE,FALSE,0.25,0.25,0.5,0.5,2,"","&amp;L&amp;F&amp;C&amp;A&amp;R&amp;D&amp;T",TRUE,FALSE,FALSE,FALSE,1,#N/A,1,8,"=R155C1:R270C23","=R146:R154",#N/A,"Cwvu.Credit._.Additions.",FALSE,FALSE,FALSE,1,65534,65534,FALSE,FALSE,TRUE,TRUE,TRUE}</definedName>
    <definedName name="wvu.Credit._.Additions." hidden="1">{TRUE,TRUE,-1.25,-15.5,484.5,276.75,FALSE,TRUE,TRUE,TRUE,0,1,#N/A,140,#N/A,6.91071428571429,18.1764705882353,1,FALSE,FALSE,3,TRUE,1,FALSE,100,"Swvu.Credit._.Additions.","ACwvu.Credit._.Additions.",#N/A,FALSE,FALSE,0.25,0.25,0.5,0.5,2,"","&amp;L&amp;F&amp;C&amp;A&amp;R&amp;D&amp;T",TRUE,FALSE,FALSE,FALSE,1,#N/A,1,8,"=R155C1:R270C23","=R146:R154",#N/A,"Cwvu.Credit._.Additions.",FALSE,FALSE,FALSE,1,65534,65534,FALSE,FALSE,TRUE,TRUE,TRUE}</definedName>
    <definedName name="wvu.Credit._.Additions1." localSheetId="8" hidden="1">{TRUE,TRUE,-1.25,-15.5,484.5,276.75,FALSE,TRUE,TRUE,TRUE,0,1,#N/A,140,#N/A,6.91071428571429,18.1764705882353,1,FALSE,FALSE,3,TRUE,1,FALSE,100,"Swvu.Credit._.Additions.","ACwvu.Credit._.Additions.",#N/A,FALSE,FALSE,0.25,0.25,0.5,0.5,2,"","&amp;L&amp;F&amp;C&amp;A&amp;R&amp;D&amp;T",TRUE,FALSE,FALSE,FALSE,1,#N/A,1,8,"=R155C1:R270C23","=R146:R154",#N/A,"Cwvu.Credit._.Additions.",FALSE,FALSE,FALSE,1,65534,65534,FALSE,FALSE,TRUE,TRUE,TRUE}</definedName>
    <definedName name="wvu.Credit._.Additions1." localSheetId="6" hidden="1">{TRUE,TRUE,-1.25,-15.5,484.5,276.75,FALSE,TRUE,TRUE,TRUE,0,1,#N/A,140,#N/A,6.91071428571429,18.1764705882353,1,FALSE,FALSE,3,TRUE,1,FALSE,100,"Swvu.Credit._.Additions.","ACwvu.Credit._.Additions.",#N/A,FALSE,FALSE,0.25,0.25,0.5,0.5,2,"","&amp;L&amp;F&amp;C&amp;A&amp;R&amp;D&amp;T",TRUE,FALSE,FALSE,FALSE,1,#N/A,1,8,"=R155C1:R270C23","=R146:R154",#N/A,"Cwvu.Credit._.Additions.",FALSE,FALSE,FALSE,1,65534,65534,FALSE,FALSE,TRUE,TRUE,TRUE}</definedName>
    <definedName name="wvu.Credit._.Additions1." hidden="1">{TRUE,TRUE,-1.25,-15.5,484.5,276.75,FALSE,TRUE,TRUE,TRUE,0,1,#N/A,140,#N/A,6.91071428571429,18.1764705882353,1,FALSE,FALSE,3,TRUE,1,FALSE,100,"Swvu.Credit._.Additions.","ACwvu.Credit._.Additions.",#N/A,FALSE,FALSE,0.25,0.25,0.5,0.5,2,"","&amp;L&amp;F&amp;C&amp;A&amp;R&amp;D&amp;T",TRUE,FALSE,FALSE,FALSE,1,#N/A,1,8,"=R155C1:R270C23","=R146:R154",#N/A,"Cwvu.Credit._.Additions.",FALSE,FALSE,FALSE,1,65534,65534,FALSE,FALSE,TRUE,TRUE,TRUE}</definedName>
    <definedName name="wvu.inputs._.raw._.dat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localSheetId="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6"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6"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Margin._.Summary." localSheetId="8" hidden="1">{TRUE,TRUE,-1.25,-15.5,484.5,276.75,FALSE,TRUE,TRUE,TRUE,0,91,#N/A,33,#N/A,11.575,18.8823529411765,1,FALSE,FALSE,3,TRUE,1,FALSE,100,"Swvu.Margin._.Summary.","ACwvu.Margin._.Summary.",#N/A,FALSE,FALSE,0.5,0,0,0,2,"","",TRUE,TRUE,FALSE,FALSE,1,#N/A,1,1,"=R130C94:R170C123",FALSE,"Rwvu.Margin._.Summary.",#N/A,FALSE,FALSE,FALSE,1,65532,65532,FALSE,FALSE,TRUE,TRUE,TRUE}</definedName>
    <definedName name="wvu.Margin._.Summary." localSheetId="6" hidden="1">{TRUE,TRUE,-1.25,-15.5,484.5,276.75,FALSE,TRUE,TRUE,TRUE,0,91,#N/A,33,#N/A,11.575,18.8823529411765,1,FALSE,FALSE,3,TRUE,1,FALSE,100,"Swvu.Margin._.Summary.","ACwvu.Margin._.Summary.",#N/A,FALSE,FALSE,0.5,0,0,0,2,"","",TRUE,TRUE,FALSE,FALSE,1,#N/A,1,1,"=R130C94:R170C123",FALSE,"Rwvu.Margin._.Summary.",#N/A,FALSE,FALSE,FALSE,1,65532,65532,FALSE,FALSE,TRUE,TRUE,TRUE}</definedName>
    <definedName name="wvu.Margin._.Summary." hidden="1">{TRUE,TRUE,-1.25,-15.5,484.5,276.75,FALSE,TRUE,TRUE,TRUE,0,91,#N/A,33,#N/A,11.575,18.8823529411765,1,FALSE,FALSE,3,TRUE,1,FALSE,100,"Swvu.Margin._.Summary.","ACwvu.Margin._.Summary.",#N/A,FALSE,FALSE,0.5,0,0,0,2,"","",TRUE,TRUE,FALSE,FALSE,1,#N/A,1,1,"=R130C94:R170C123",FALSE,"Rwvu.Margin._.Summary.",#N/A,FALSE,FALSE,FALSE,1,65532,65532,FALSE,FALSE,TRUE,TRUE,TRUE}</definedName>
    <definedName name="wvu.summary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8" hidden="1">{TRUE,TRUE,-1.25,-15.5,484.5,276.75,FALSE,TRUE,TRUE,TRUE,0,1,#N/A,1,#N/A,6.91071428571429,18.2941176470588,1,FALSE,FALSE,3,TRUE,1,FALSE,100,"Swvu.Credit._.Active.","ACwvu.Credit._.Active.",#N/A,FALSE,FALSE,0.25,0.25,0.5,0.5,2,"","&amp;L&amp;F&amp;C&amp;A&amp;R&amp;D&amp;T",TRUE,FALSE,FALSE,FALSE,1,#N/A,1,8,"=R8C1:R142C23","=R1:R7",#N/A,"Cwvu.Credit._.Active.",FALSE,FALSE,FALSE,1,65534,65534,FALSE,FALSE,TRUE,TRUE,TRUE}</definedName>
    <definedName name="www" localSheetId="6" hidden="1">{TRUE,TRUE,-1.25,-15.5,484.5,276.75,FALSE,TRUE,TRUE,TRUE,0,1,#N/A,1,#N/A,6.91071428571429,18.2941176470588,1,FALSE,FALSE,3,TRUE,1,FALSE,100,"Swvu.Credit._.Active.","ACwvu.Credit._.Active.",#N/A,FALSE,FALSE,0.25,0.25,0.5,0.5,2,"","&amp;L&amp;F&amp;C&amp;A&amp;R&amp;D&amp;T",TRUE,FALSE,FALSE,FALSE,1,#N/A,1,8,"=R8C1:R142C23","=R1:R7",#N/A,"Cwvu.Credit._.Active.",FALSE,FALSE,FALSE,1,65534,65534,FALSE,FALSE,TRUE,TRUE,TRUE}</definedName>
    <definedName name="www" hidden="1">{TRUE,TRUE,-1.25,-15.5,484.5,276.75,FALSE,TRUE,TRUE,TRUE,0,1,#N/A,1,#N/A,6.91071428571429,18.2941176470588,1,FALSE,FALSE,3,TRUE,1,FALSE,100,"Swvu.Credit._.Active.","ACwvu.Credit._.Active.",#N/A,FALSE,FALSE,0.25,0.25,0.5,0.5,2,"","&amp;L&amp;F&amp;C&amp;A&amp;R&amp;D&amp;T",TRUE,FALSE,FALSE,FALSE,1,#N/A,1,8,"=R8C1:R142C23","=R1:R7",#N/A,"Cwvu.Credit._.Active.",FALSE,FALSE,FALSE,1,65534,65534,FALSE,FALSE,TRUE,TRUE,TRUE}</definedName>
    <definedName name="X" localSheetId="8" hidden="1">{"page1",#N/A,FALSE,"comsat";"page2",#N/A,FALSE,"comsat";"summary",#N/A,FALSE,"comsat"}</definedName>
    <definedName name="X" localSheetId="6" hidden="1">{"page1",#N/A,FALSE,"comsat";"page2",#N/A,FALSE,"comsat";"summary",#N/A,FALSE,"comsat"}</definedName>
    <definedName name="X" hidden="1">{"page1",#N/A,FALSE,"comsat";"page2",#N/A,FALSE,"comsat";"summary",#N/A,FALSE,"comsat"}</definedName>
    <definedName name="xde" localSheetId="8" hidden="1">{"FY97Total",#N/A,FALSE,"FY97 - Total";"FY98Total",#N/A,FALSE,"FY98 - Total"}</definedName>
    <definedName name="xde" localSheetId="6" hidden="1">{"FY97Total",#N/A,FALSE,"FY97 - Total";"FY98Total",#N/A,FALSE,"FY98 - Total"}</definedName>
    <definedName name="xde" hidden="1">{"FY97Total",#N/A,FALSE,"FY97 - Total";"FY98Total",#N/A,FALSE,"FY98 - Total"}</definedName>
    <definedName name="xssq" localSheetId="8" hidden="1">{"FY97Q1 nvs",#N/A,FALSE,"FY97 - Q1";"FY97Q2 nvs",#N/A,FALSE,"FY97 - Q2";"FY97Q3 nvs",#N/A,FALSE,"FY97 - Q3";"FY97Q4 nvs",#N/A,FALSE,"FY97 - Q4"}</definedName>
    <definedName name="xssq" localSheetId="6" hidden="1">{"FY97Q1 nvs",#N/A,FALSE,"FY97 - Q1";"FY97Q2 nvs",#N/A,FALSE,"FY97 - Q2";"FY97Q3 nvs",#N/A,FALSE,"FY97 - Q3";"FY97Q4 nvs",#N/A,FALSE,"FY97 - Q4"}</definedName>
    <definedName name="xssq" hidden="1">{"FY97Q1 nvs",#N/A,FALSE,"FY97 - Q1";"FY97Q2 nvs",#N/A,FALSE,"FY97 - Q2";"FY97Q3 nvs",#N/A,FALSE,"FY97 - Q3";"FY97Q4 nvs",#N/A,FALSE,"FY97 - Q4"}</definedName>
    <definedName name="XX" localSheetId="8" hidden="1">{#N/A,#N/A,TRUE,"Main assumptions";#N/A,#N/A,TRUE,"Subscriber projections";#N/A,#N/A,TRUE,"Revenues";#N/A,#N/A,TRUE,"Opex";#N/A,#N/A,TRUE,"Capex";#N/A,#N/A,TRUE,"Working capital";#N/A,#N/A,TRUE,"P&amp;L";#N/A,#N/A,TRUE,"Cash";#N/A,#N/A,TRUE,"Balance";#N/A,#N/A,TRUE,"Valuation";#N/A,#N/A,TRUE,"Bench"}</definedName>
    <definedName name="XX" localSheetId="6" hidden="1">{#N/A,#N/A,TRUE,"Main assumptions";#N/A,#N/A,TRUE,"Subscriber projections";#N/A,#N/A,TRUE,"Revenues";#N/A,#N/A,TRUE,"Opex";#N/A,#N/A,TRUE,"Capex";#N/A,#N/A,TRUE,"Working capital";#N/A,#N/A,TRUE,"P&amp;L";#N/A,#N/A,TRUE,"Cash";#N/A,#N/A,TRUE,"Balance";#N/A,#N/A,TRUE,"Valuation";#N/A,#N/A,TRUE,"Bench"}</definedName>
    <definedName name="XX" hidden="1">{#N/A,#N/A,TRUE,"Main assumptions";#N/A,#N/A,TRUE,"Subscriber projections";#N/A,#N/A,TRUE,"Revenues";#N/A,#N/A,TRUE,"Opex";#N/A,#N/A,TRUE,"Capex";#N/A,#N/A,TRUE,"Working capital";#N/A,#N/A,TRUE,"P&amp;L";#N/A,#N/A,TRUE,"Cash";#N/A,#N/A,TRUE,"Balance";#N/A,#N/A,TRUE,"Valuation";#N/A,#N/A,TRUE,"Bench"}</definedName>
    <definedName name="XXX" localSheetId="8" hidden="1">{"LCCOST",#N/A,FALSE,"FC-3 "}</definedName>
    <definedName name="XXX" localSheetId="6" hidden="1">{"LCCOST",#N/A,FALSE,"FC-3 "}</definedName>
    <definedName name="XXX" hidden="1">{"LCCOST",#N/A,FALSE,"FC-3 "}</definedName>
    <definedName name="XXXX" localSheetId="8" hidden="1">{"PA1",#N/A,FALSE,"BORDMW";"pa2",#N/A,FALSE,"BORDMW";"PA3",#N/A,FALSE,"BORDMW";"PA4",#N/A,FALSE,"BORDMW"}</definedName>
    <definedName name="XXXX" localSheetId="6" hidden="1">{"PA1",#N/A,FALSE,"BORDMW";"pa2",#N/A,FALSE,"BORDMW";"PA3",#N/A,FALSE,"BORDMW";"PA4",#N/A,FALSE,"BORDMW"}</definedName>
    <definedName name="XXXX" hidden="1">{"PA1",#N/A,FALSE,"BORDMW";"pa2",#N/A,FALSE,"BORDMW";"PA3",#N/A,FALSE,"BORDMW";"PA4",#N/A,FALSE,"BORDMW"}</definedName>
    <definedName name="XXXXXXX" localSheetId="8" hidden="1">{#N/A,#N/A,TRUE,"Main assumptions";#N/A,#N/A,TRUE,"Subscriber projections";#N/A,#N/A,TRUE,"Revenues";#N/A,#N/A,TRUE,"Opex";#N/A,#N/A,TRUE,"Capex";#N/A,#N/A,TRUE,"Working capital";#N/A,#N/A,TRUE,"P&amp;L";#N/A,#N/A,TRUE,"Cash";#N/A,#N/A,TRUE,"Balance";#N/A,#N/A,TRUE,"Valuation";#N/A,#N/A,TRUE,"Bench"}</definedName>
    <definedName name="XXXXXXX" localSheetId="6" hidden="1">{#N/A,#N/A,TRUE,"Main assumptions";#N/A,#N/A,TRUE,"Subscriber projections";#N/A,#N/A,TRUE,"Revenues";#N/A,#N/A,TRUE,"Opex";#N/A,#N/A,TRUE,"Capex";#N/A,#N/A,TRUE,"Working capital";#N/A,#N/A,TRUE,"P&amp;L";#N/A,#N/A,TRUE,"Cash";#N/A,#N/A,TRUE,"Balance";#N/A,#N/A,TRUE,"Valuation";#N/A,#N/A,TRUE,"Bench"}</definedName>
    <definedName name="XXXXXXX" hidden="1">{#N/A,#N/A,TRUE,"Main assumptions";#N/A,#N/A,TRUE,"Subscriber projections";#N/A,#N/A,TRUE,"Revenues";#N/A,#N/A,TRUE,"Opex";#N/A,#N/A,TRUE,"Capex";#N/A,#N/A,TRUE,"Working capital";#N/A,#N/A,TRUE,"P&amp;L";#N/A,#N/A,TRUE,"Cash";#N/A,#N/A,TRUE,"Balance";#N/A,#N/A,TRUE,"Valuation";#N/A,#N/A,TRUE,"Bench"}</definedName>
    <definedName name="xxxxxxxxx" hidden="1">#REF!</definedName>
    <definedName name="xyz" localSheetId="8" hidden="1">{"histincome",#N/A,FALSE,"hyfins";"closing balance",#N/A,FALSE,"hyfins"}</definedName>
    <definedName name="xyz" localSheetId="6" hidden="1">{"histincome",#N/A,FALSE,"hyfins";"closing balance",#N/A,FALSE,"hyfins"}</definedName>
    <definedName name="xyz" hidden="1">{"histincome",#N/A,FALSE,"hyfins";"closing balance",#N/A,FALSE,"hyfins"}</definedName>
    <definedName name="y" localSheetId="8" hidden="1">{"page1",#N/A,FALSE,"CWS";"page2",#N/A,FALSE,"CWS";"summary",#N/A,FALSE,"CWS"}</definedName>
    <definedName name="y" localSheetId="6" hidden="1">{"page1",#N/A,FALSE,"CWS";"page2",#N/A,FALSE,"CWS";"summary",#N/A,FALSE,"CWS"}</definedName>
    <definedName name="y" hidden="1">{"page1",#N/A,FALSE,"CWS";"page2",#N/A,FALSE,"CWS";"summary",#N/A,FALSE,"CWS"}</definedName>
    <definedName name="YEAR_RANGE">#REF!</definedName>
    <definedName name="YEARHIGH" hidden="1">"YEARHIGH"</definedName>
    <definedName name="YEARLOW" hidden="1">"YEARLOW"</definedName>
    <definedName name="yre" localSheetId="8" hidden="1">{"FY97Q1 nvs",#N/A,FALSE,"FY97 - Q1";"FY97Q2 nvs",#N/A,FALSE,"FY97 - Q2";"FY97Q3 nvs",#N/A,FALSE,"FY97 - Q3";"FY97Q4 nvs",#N/A,FALSE,"FY97 - Q4"}</definedName>
    <definedName name="yre" localSheetId="6" hidden="1">{"FY97Q1 nvs",#N/A,FALSE,"FY97 - Q1";"FY97Q2 nvs",#N/A,FALSE,"FY97 - Q2";"FY97Q3 nvs",#N/A,FALSE,"FY97 - Q3";"FY97Q4 nvs",#N/A,FALSE,"FY97 - Q4"}</definedName>
    <definedName name="yre" hidden="1">{"FY97Q1 nvs",#N/A,FALSE,"FY97 - Q1";"FY97Q2 nvs",#N/A,FALSE,"FY97 - Q2";"FY97Q3 nvs",#N/A,FALSE,"FY97 - Q3";"FY97Q4 nvs",#N/A,FALSE,"FY97 - Q4"}</definedName>
    <definedName name="yt" localSheetId="8" hidden="1">{"FY98Q1 nvs",#N/A,FALSE,"FY98 - Q1";"FY98Q2 nvs",#N/A,FALSE,"FY98 - Q2";"FY98Q3 nvs",#N/A,FALSE,"FY98 - Q3";"FY98Q4 nvs",#N/A,FALSE,"FY98 - Q4"}</definedName>
    <definedName name="yt" localSheetId="6" hidden="1">{"FY98Q1 nvs",#N/A,FALSE,"FY98 - Q1";"FY98Q2 nvs",#N/A,FALSE,"FY98 - Q2";"FY98Q3 nvs",#N/A,FALSE,"FY98 - Q3";"FY98Q4 nvs",#N/A,FALSE,"FY98 - Q4"}</definedName>
    <definedName name="yt" hidden="1">{"FY98Q1 nvs",#N/A,FALSE,"FY98 - Q1";"FY98Q2 nvs",#N/A,FALSE,"FY98 - Q2";"FY98Q3 nvs",#N/A,FALSE,"FY98 - Q3";"FY98Q4 nvs",#N/A,FALSE,"FY98 - Q4"}</definedName>
    <definedName name="yw" localSheetId="8" hidden="1">{#VALUE!,#N/A,FALSE,0}</definedName>
    <definedName name="yw" localSheetId="6" hidden="1">{#VALUE!,#N/A,FALSE,0}</definedName>
    <definedName name="yw" hidden="1">{#VALUE!,#N/A,FALSE,0}</definedName>
    <definedName name="YYY" localSheetId="8" hidden="1">{#N/A,#N/A,FALSE,"Introduction";#N/A,#N/A,FALSE,"Structure"}</definedName>
    <definedName name="YYY" localSheetId="6" hidden="1">{#N/A,#N/A,FALSE,"Introduction";#N/A,#N/A,FALSE,"Structure"}</definedName>
    <definedName name="YYY" hidden="1">{#N/A,#N/A,FALSE,"Introduction";#N/A,#N/A,FALSE,"Structure"}</definedName>
    <definedName name="YYYY" localSheetId="8" hidden="1">{"WACC",#N/A,FALSE,"CWS"}</definedName>
    <definedName name="YYYY" localSheetId="6" hidden="1">{"WACC",#N/A,FALSE,"CWS"}</definedName>
    <definedName name="YYYY" hidden="1">{"WACC",#N/A,FALSE,"CWS"}</definedName>
    <definedName name="YYYYY" localSheetId="8" hidden="1">{"Compco",#N/A,FALSE,"CWS";"Summary",#N/A,FALSE,"CWS";"WACC",#N/A,FALSE,"CWS"}</definedName>
    <definedName name="YYYYY" localSheetId="6" hidden="1">{"Compco",#N/A,FALSE,"CWS";"Summary",#N/A,FALSE,"CWS";"WACC",#N/A,FALSE,"CWS"}</definedName>
    <definedName name="YYYYY" hidden="1">{"Compco",#N/A,FALSE,"CWS";"Summary",#N/A,FALSE,"CWS";"WACC",#N/A,FALSE,"CWS"}</definedName>
    <definedName name="YYYYYY" localSheetId="8" hidden="1">{"PA1",#N/A,FALSE,"BORDMW";"pa2",#N/A,FALSE,"BORDMW";"PA3",#N/A,FALSE,"BORDMW";"PA4",#N/A,FALSE,"BORDMW"}</definedName>
    <definedName name="YYYYYY" localSheetId="6" hidden="1">{"PA1",#N/A,FALSE,"BORDMW";"pa2",#N/A,FALSE,"BORDMW";"PA3",#N/A,FALSE,"BORDMW";"PA4",#N/A,FALSE,"BORDMW"}</definedName>
    <definedName name="YYYYYY" hidden="1">{"PA1",#N/A,FALSE,"BORDMW";"pa2",#N/A,FALSE,"BORDMW";"PA3",#N/A,FALSE,"BORDMW";"PA4",#N/A,FALSE,"BORDMW"}</definedName>
    <definedName name="z" localSheetId="8" hidden="1">{#N/A,#N/A,FALSE,"TS";#N/A,#N/A,FALSE,"Combo";#N/A,#N/A,FALSE,"FAIR";#N/A,#N/A,FALSE,"RBC";#N/A,#N/A,FALSE,"xxxx";#N/A,#N/A,FALSE,"A_D";#N/A,#N/A,FALSE,"WACC";#N/A,#N/A,FALSE,"DCF";#N/A,#N/A,FALSE,"LBO";#N/A,#N/A,FALSE,"AcqMults";#N/A,#N/A,FALSE,"CompMults"}</definedName>
    <definedName name="z" localSheetId="6" hidden="1">{#N/A,#N/A,FALSE,"TS";#N/A,#N/A,FALSE,"Combo";#N/A,#N/A,FALSE,"FAIR";#N/A,#N/A,FALSE,"RBC";#N/A,#N/A,FALSE,"xxxx";#N/A,#N/A,FALSE,"A_D";#N/A,#N/A,FALSE,"WACC";#N/A,#N/A,FALSE,"DCF";#N/A,#N/A,FALSE,"LBO";#N/A,#N/A,FALSE,"AcqMults";#N/A,#N/A,FALSE,"CompMults"}</definedName>
    <definedName name="z" hidden="1">{#N/A,#N/A,FALSE,"TS";#N/A,#N/A,FALSE,"Combo";#N/A,#N/A,FALSE,"FAIR";#N/A,#N/A,FALSE,"RBC";#N/A,#N/A,FALSE,"xxxx";#N/A,#N/A,FALSE,"A_D";#N/A,#N/A,FALSE,"WACC";#N/A,#N/A,FALSE,"DCF";#N/A,#N/A,FALSE,"LBO";#N/A,#N/A,FALSE,"AcqMults";#N/A,#N/A,FALSE,"CompMults"}</definedName>
    <definedName name="Z_3B46133C_A773_4E04_B6B4_47050AB13554_.wvu.Cols" localSheetId="8" hidden="1">#REF!,#REF!,#REF!</definedName>
    <definedName name="Z_3B46133C_A773_4E04_B6B4_47050AB13554_.wvu.Cols" localSheetId="6" hidden="1">#REF!,#REF!,#REF!</definedName>
    <definedName name="Z_3B46133C_A773_4E04_B6B4_47050AB13554_.wvu.Cols" hidden="1">#REF!,#REF!,#REF!</definedName>
    <definedName name="Z_3B46133C_A773_4E04_B6B4_47050AB13554_.wvu.Rows" localSheetId="8" hidden="1">#REF!</definedName>
    <definedName name="Z_3B46133C_A773_4E04_B6B4_47050AB13554_.wvu.Rows" hidden="1">#REF!</definedName>
    <definedName name="Z_5F5BFFB3_BAF2_456B_BC73_9B3894AE395A_.wvu.Rows" localSheetId="8" hidden="1">#REF!,#REF!,#REF!,#REF!,#REF!,#REF!,#REF!,#REF!</definedName>
    <definedName name="Z_5F5BFFB3_BAF2_456B_BC73_9B3894AE395A_.wvu.Rows" hidden="1">#REF!,#REF!,#REF!,#REF!,#REF!,#REF!,#REF!,#REF!</definedName>
    <definedName name="Z_61BCD568_73D2_11D6_9A49_00105AE12B1C_.wvu.Rows" hidden="1">#REF!</definedName>
    <definedName name="Z_658CB600_AA26_498D_A80D_487116058C40_.wvu.Rows" hidden="1">#REF!</definedName>
    <definedName name="Z_7B1B3191_D02E_4275_8DEC_AC1813D2E4C7_.wvu.Rows" hidden="1">#REF!</definedName>
    <definedName name="Z_87755D72_2DD6_4DE4_B85E_16D559F8F984_.wvu.Cols" localSheetId="8" hidden="1">#REF!,#REF!,#REF!</definedName>
    <definedName name="Z_87755D72_2DD6_4DE4_B85E_16D559F8F984_.wvu.Cols" hidden="1">#REF!,#REF!,#REF!</definedName>
    <definedName name="Z_87755D72_2DD6_4DE4_B85E_16D559F8F984_.wvu.Rows" hidden="1">#REF!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ABB84380_5919_11D2_BBB7_00104B2ACF13_.wvu.Rows" hidden="1">#REF!,#REF!,#REF!,#REF!</definedName>
    <definedName name="Z_DC9D1C40_07A5_43AB_A11B_52757B1D7BD1_.wvu.Cols" hidden="1">#REF!,#REF!,#REF!</definedName>
    <definedName name="Z_FFD9B7F5_04F7_11D6_992D_00104BD16E42_.wvu.Rows" hidden="1">#REF!</definedName>
    <definedName name="ZIO" localSheetId="8" hidden="1">{"FY98Q1 var",#N/A,FALSE,"FY98 - Q1";"FY98Q2 var",#N/A,FALSE,"FY98 - Q2";"FY98Q3 var",#N/A,FALSE,"FY98 - Q3";"FY98Q4 var",#N/A,FALSE,"FY98 - Q4"}</definedName>
    <definedName name="ZIO" localSheetId="6" hidden="1">{"FY98Q1 var",#N/A,FALSE,"FY98 - Q1";"FY98Q2 var",#N/A,FALSE,"FY98 - Q2";"FY98Q3 var",#N/A,FALSE,"FY98 - Q3";"FY98Q4 var",#N/A,FALSE,"FY98 - Q4"}</definedName>
    <definedName name="ZIO" hidden="1">{"FY98Q1 var",#N/A,FALSE,"FY98 - Q1";"FY98Q2 var",#N/A,FALSE,"FY98 - Q2";"FY98Q3 var",#N/A,FALSE,"FY98 - Q3";"FY98Q4 var",#N/A,FALSE,"FY98 - Q4"}</definedName>
    <definedName name="zrr" localSheetId="8" hidden="1">{"FY97Q1 var",#N/A,FALSE,"FY97 - Q1";"FY97Q2 var",#N/A,FALSE,"FY97 - Q2";"FY97Q3 var",#N/A,FALSE,"FY97 - Q3";"FY97Q4 var",#N/A,FALSE,"FY97 - Q4"}</definedName>
    <definedName name="zrr" localSheetId="6" hidden="1">{"FY97Q1 var",#N/A,FALSE,"FY97 - Q1";"FY97Q2 var",#N/A,FALSE,"FY97 - Q2";"FY97Q3 var",#N/A,FALSE,"FY97 - Q3";"FY97Q4 var",#N/A,FALSE,"FY97 - Q4"}</definedName>
    <definedName name="zrr" hidden="1">{"FY97Q1 var",#N/A,FALSE,"FY97 - Q1";"FY97Q2 var",#N/A,FALSE,"FY97 - Q2";"FY97Q3 var",#N/A,FALSE,"FY97 - Q3";"FY97Q4 var",#N/A,FALSE,"FY97 - Q4"}</definedName>
    <definedName name="АСО" localSheetId="8">#REF!</definedName>
    <definedName name="АСО">#REF!</definedName>
    <definedName name="АСС" localSheetId="8">#REF!</definedName>
    <definedName name="АСС">#REF!</definedName>
    <definedName name="АССА" localSheetId="8">#REF!</definedName>
    <definedName name="АССА">#REF!</definedName>
    <definedName name="АЭБ">#REF!</definedName>
    <definedName name="АЭЗ">#REF!</definedName>
    <definedName name="АЭЛ">#REF!</definedName>
    <definedName name="АЭО">#REF!</definedName>
    <definedName name="АЭП">#REF!</definedName>
    <definedName name="АЭР">#REF!</definedName>
    <definedName name="АЭС">#REF!</definedName>
    <definedName name="АЭЦ">#REF!</definedName>
    <definedName name="Банк_Рэйт">#REF!</definedName>
    <definedName name="Валюта">#REF!</definedName>
    <definedName name="джлорпавыф" localSheetId="8" hidden="1">{"Valuation Letter",#N/A,TRUE,"Valuation Summary";"Financial Statements Letter",#N/A,TRUE,"Results";"Results Letter",#N/A,TRUE,"Results";"Ratios Letter",#N/A,TRUE,"Results"}</definedName>
    <definedName name="джлорпавыф" localSheetId="6" hidden="1">{"Valuation Letter",#N/A,TRUE,"Valuation Summary";"Financial Statements Letter",#N/A,TRUE,"Results";"Results Letter",#N/A,TRUE,"Results";"Ratios Letter",#N/A,TRUE,"Results"}</definedName>
    <definedName name="джлорпавыф" hidden="1">{"Valuation Letter",#N/A,TRUE,"Valuation Summary";"Financial Statements Letter",#N/A,TRUE,"Results";"Results Letter",#N/A,TRUE,"Results";"Ratios Letter",#N/A,TRUE,"Results"}</definedName>
    <definedName name="ДОЛЯ_КРЕДИТ">#REF!</definedName>
    <definedName name="ДОЛЯ_СОБСТВ">#REF!</definedName>
    <definedName name="ЕП">#REF!</definedName>
    <definedName name="Индекс">#REF!</definedName>
    <definedName name="индекс_0">#REF!</definedName>
    <definedName name="Индекс_1">#REF!</definedName>
    <definedName name="индекс_100">#REF!</definedName>
    <definedName name="индекс_101">#REF!</definedName>
    <definedName name="индекс_102">#REF!</definedName>
    <definedName name="индекс_103">#REF!</definedName>
    <definedName name="индекс_104">#REF!</definedName>
    <definedName name="индекс_105">#REF!</definedName>
    <definedName name="индекс_С3">#REF!</definedName>
    <definedName name="Индекс1">#REF!</definedName>
    <definedName name="Индекс2">#REF!</definedName>
    <definedName name="ИндексА">#REF!</definedName>
    <definedName name="ИНФЛ">#REF!</definedName>
    <definedName name="км">#REF!</definedName>
    <definedName name="Контракт">#REF!</definedName>
    <definedName name="коэф_д">#REF!</definedName>
    <definedName name="КС">#REF!</definedName>
    <definedName name="курс">#REF!</definedName>
    <definedName name="курс_д">#REF!</definedName>
    <definedName name="ЛЕП">#REF!</definedName>
    <definedName name="МЕС_ШАГ">#REF!</definedName>
    <definedName name="МК">#REF!</definedName>
    <definedName name="НАЛ_ЗЕМЛЯ">#REF!</definedName>
    <definedName name="НАЛ_ИМ">#REF!</definedName>
    <definedName name="НАЛ_ПРИБ">#REF!</definedName>
    <definedName name="НДП">#REF!</definedName>
    <definedName name="ндс">#REF!</definedName>
    <definedName name="ндс_сельх">#REF!</definedName>
    <definedName name="НИ">#REF!</definedName>
    <definedName name="НО">#REF!</definedName>
    <definedName name="НП">#REF!</definedName>
    <definedName name="НФОТ">#REF!</definedName>
    <definedName name="_xlnm.Print_Area">#REF!</definedName>
    <definedName name="Опер">#REF!</definedName>
    <definedName name="ОТЧИСЛ_ЗП">#REF!</definedName>
    <definedName name="период">#REF!</definedName>
    <definedName name="период_1">#REF!</definedName>
    <definedName name="ПИР">#REF!</definedName>
    <definedName name="С3Г">#REF!</definedName>
    <definedName name="С3ГН">#REF!</definedName>
    <definedName name="С3ГНП">#REF!</definedName>
    <definedName name="СС">#REF!</definedName>
    <definedName name="сср">#REF!</definedName>
    <definedName name="ссср">#REF!</definedName>
    <definedName name="СТАТУС">#REF!</definedName>
    <definedName name="Цена1">#REF!</definedName>
    <definedName name="ывапролдж" localSheetId="8" hidden="1">{#N/A,#N/A,FALSE,"TRS";#N/A,#N/A,FALSE,"TRS (Period)";#N/A,#N/A,FALSE,"Industry &amp; Market";#N/A,#N/A,FALSE,"TRS Vs GDP Growth";#N/A,#N/A,FALSE,"TRS Vs GDP Cycle";#N/A,#N/A,FALSE,"TRS Vs Interest Rate";#N/A,#N/A,FALSE,"TRS Vs Int Rate Change Cycle";#N/A,#N/A,FALSE,"TRS Vs Real Sales Growth";#N/A,#N/A,FALSE,"Corr(Sales &amp; TRS)";#N/A,#N/A,FALSE,"Corr(ROIC &amp; TRS)";#N/A,#N/A,FALSE,"Corr(MktCap &amp; TRS)";#N/A,#N/A,FALSE,"Corr(TRS &amp; TRS)";#N/A,#N/A,FALSE,"Excess TRS";#N/A,#N/A,FALSE,"Rolling TRS";#N/A,#N/A,FALSE,"Industry MktCap %";#N/A,#N/A,FALSE,"Industry Vs Economy-MktCap";#N/A,#N/A,FALSE,"TRS Dispersion"}</definedName>
    <definedName name="ывапролдж" localSheetId="6" hidden="1">{#N/A,#N/A,FALSE,"TRS";#N/A,#N/A,FALSE,"TRS (Period)";#N/A,#N/A,FALSE,"Industry &amp; Market";#N/A,#N/A,FALSE,"TRS Vs GDP Growth";#N/A,#N/A,FALSE,"TRS Vs GDP Cycle";#N/A,#N/A,FALSE,"TRS Vs Interest Rate";#N/A,#N/A,FALSE,"TRS Vs Int Rate Change Cycle";#N/A,#N/A,FALSE,"TRS Vs Real Sales Growth";#N/A,#N/A,FALSE,"Corr(Sales &amp; TRS)";#N/A,#N/A,FALSE,"Corr(ROIC &amp; TRS)";#N/A,#N/A,FALSE,"Corr(MktCap &amp; TRS)";#N/A,#N/A,FALSE,"Corr(TRS &amp; TRS)";#N/A,#N/A,FALSE,"Excess TRS";#N/A,#N/A,FALSE,"Rolling TRS";#N/A,#N/A,FALSE,"Industry MktCap %";#N/A,#N/A,FALSE,"Industry Vs Economy-MktCap";#N/A,#N/A,FALSE,"TRS Dispersion"}</definedName>
    <definedName name="ывапролдж" hidden="1">{#N/A,#N/A,FALSE,"TRS";#N/A,#N/A,FALSE,"TRS (Period)";#N/A,#N/A,FALSE,"Industry &amp; Market";#N/A,#N/A,FALSE,"TRS Vs GDP Growth";#N/A,#N/A,FALSE,"TRS Vs GDP Cycle";#N/A,#N/A,FALSE,"TRS Vs Interest Rate";#N/A,#N/A,FALSE,"TRS Vs Int Rate Change Cycle";#N/A,#N/A,FALSE,"TRS Vs Real Sales Growth";#N/A,#N/A,FALSE,"Corr(Sales &amp; TRS)";#N/A,#N/A,FALSE,"Corr(ROIC &amp; TRS)";#N/A,#N/A,FALSE,"Corr(MktCap &amp; TRS)";#N/A,#N/A,FALSE,"Corr(TRS &amp; TRS)";#N/A,#N/A,FALSE,"Excess TRS";#N/A,#N/A,FALSE,"Rolling TRS";#N/A,#N/A,FALSE,"Industry MktCap %";#N/A,#N/A,FALSE,"Industry Vs Economy-MktCap";#N/A,#N/A,FALSE,"TRS Dispersion"}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G152" i="12" l="1"/>
  <c r="AK117" i="1"/>
  <c r="AJ117" i="1"/>
  <c r="AI117" i="1"/>
  <c r="AH117" i="1"/>
  <c r="AG117" i="1"/>
  <c r="Z28" i="12"/>
  <c r="AG154" i="12" l="1"/>
  <c r="AF138" i="12"/>
  <c r="AJ152" i="12"/>
  <c r="AH137" i="12" l="1"/>
  <c r="N9" i="24"/>
  <c r="O9" i="24"/>
  <c r="P9" i="24"/>
  <c r="L9" i="24"/>
  <c r="M9" i="24"/>
  <c r="AC27" i="14" l="1"/>
  <c r="AA95" i="1" l="1"/>
  <c r="AF114" i="1"/>
  <c r="AE114" i="1"/>
  <c r="W6" i="14"/>
  <c r="BP29" i="14" l="1"/>
  <c r="BR29" i="14"/>
  <c r="BT29" i="14"/>
  <c r="BU29" i="14"/>
  <c r="BV29" i="14"/>
  <c r="CB29" i="14"/>
  <c r="CD29" i="14"/>
  <c r="CE6" i="14"/>
  <c r="BK29" i="14"/>
  <c r="BM29" i="14"/>
  <c r="BN29" i="14"/>
  <c r="BO29" i="14"/>
  <c r="BQ29" i="14"/>
  <c r="BW29" i="14"/>
  <c r="BY29" i="14"/>
  <c r="BZ29" i="14"/>
  <c r="CA29" i="14"/>
  <c r="CC29" i="14"/>
  <c r="BM3" i="22"/>
  <c r="BN3" i="22"/>
  <c r="BO3" i="22"/>
  <c r="BP3" i="22"/>
  <c r="BQ3" i="22"/>
  <c r="BR3" i="22"/>
  <c r="BS3" i="22"/>
  <c r="BT3" i="22"/>
  <c r="BU3" i="22"/>
  <c r="BV3" i="22"/>
  <c r="BW3" i="22"/>
  <c r="BX3" i="22"/>
  <c r="BY3" i="22"/>
  <c r="BS3" i="14"/>
  <c r="BS2" i="14" s="1"/>
  <c r="BT3" i="14"/>
  <c r="BT2" i="14" s="1"/>
  <c r="BU3" i="14"/>
  <c r="BU2" i="14" s="1"/>
  <c r="BV3" i="14"/>
  <c r="BV2" i="14" s="1"/>
  <c r="BW3" i="14"/>
  <c r="BW2" i="14" s="1"/>
  <c r="BX3" i="14"/>
  <c r="BX2" i="14" s="1"/>
  <c r="BY3" i="14"/>
  <c r="BY2" i="14" s="1"/>
  <c r="BZ3" i="14"/>
  <c r="BZ2" i="14" s="1"/>
  <c r="CA3" i="14"/>
  <c r="CA2" i="14" s="1"/>
  <c r="CB3" i="14"/>
  <c r="CB2" i="14" s="1"/>
  <c r="CC3" i="14"/>
  <c r="CC2" i="14" s="1"/>
  <c r="CD3" i="14"/>
  <c r="CD2" i="14" s="1"/>
  <c r="CE3" i="14"/>
  <c r="CE2" i="14" s="1"/>
  <c r="BM2" i="21"/>
  <c r="BN2" i="21"/>
  <c r="BO2" i="21"/>
  <c r="BP2" i="21"/>
  <c r="BQ2" i="21"/>
  <c r="BR2" i="21"/>
  <c r="BS2" i="21"/>
  <c r="BT2" i="21"/>
  <c r="BU2" i="21"/>
  <c r="BV2" i="21"/>
  <c r="BW2" i="21"/>
  <c r="BX2" i="21"/>
  <c r="BY2" i="21"/>
  <c r="BM19" i="21"/>
  <c r="BN19" i="21"/>
  <c r="BO19" i="21"/>
  <c r="BP19" i="21"/>
  <c r="BQ19" i="21"/>
  <c r="BR19" i="21"/>
  <c r="BS19" i="21"/>
  <c r="BT19" i="21"/>
  <c r="BU19" i="21"/>
  <c r="BV19" i="21"/>
  <c r="BW19" i="21"/>
  <c r="BX19" i="21"/>
  <c r="BY19" i="21"/>
  <c r="BM34" i="21"/>
  <c r="BM47" i="21" s="1"/>
  <c r="BN34" i="21"/>
  <c r="BN47" i="21" s="1"/>
  <c r="BO34" i="21"/>
  <c r="BO47" i="21" s="1"/>
  <c r="BP34" i="21"/>
  <c r="BP47" i="21" s="1"/>
  <c r="BQ34" i="21"/>
  <c r="BQ47" i="21" s="1"/>
  <c r="BR34" i="21"/>
  <c r="BS34" i="21"/>
  <c r="BS47" i="21" s="1"/>
  <c r="BT34" i="21"/>
  <c r="BT47" i="21" s="1"/>
  <c r="BU34" i="21"/>
  <c r="BU47" i="21" s="1"/>
  <c r="BV34" i="21"/>
  <c r="BV47" i="21" s="1"/>
  <c r="BW34" i="21"/>
  <c r="BX34" i="21"/>
  <c r="BY34" i="21"/>
  <c r="BY47" i="21" s="1"/>
  <c r="BR47" i="21"/>
  <c r="BW47" i="21"/>
  <c r="BX47" i="21"/>
  <c r="BY3" i="12"/>
  <c r="BY2" i="12" s="1"/>
  <c r="BZ3" i="12"/>
  <c r="BZ2" i="12" s="1"/>
  <c r="CA3" i="12"/>
  <c r="CA2" i="12" s="1"/>
  <c r="CB3" i="12"/>
  <c r="CB40" i="12" s="1"/>
  <c r="CB52" i="12" s="1"/>
  <c r="CC3" i="12"/>
  <c r="CC2" i="12" s="1"/>
  <c r="CD3" i="12"/>
  <c r="CD2" i="12" s="1"/>
  <c r="CE3" i="12"/>
  <c r="CE2" i="12" s="1"/>
  <c r="CF3" i="12"/>
  <c r="CF40" i="12" s="1"/>
  <c r="CF52" i="12" s="1"/>
  <c r="CG3" i="12"/>
  <c r="CG40" i="12" s="1"/>
  <c r="CG52" i="12" s="1"/>
  <c r="CH3" i="12"/>
  <c r="CH40" i="12" s="1"/>
  <c r="CH52" i="12" s="1"/>
  <c r="CI3" i="12"/>
  <c r="CQ3" i="13" s="1"/>
  <c r="CQ2" i="13" s="1"/>
  <c r="CJ3" i="12"/>
  <c r="CJ40" i="12" s="1"/>
  <c r="CJ52" i="12" s="1"/>
  <c r="CK3" i="12"/>
  <c r="CK2" i="12" s="1"/>
  <c r="BY24" i="12"/>
  <c r="CG13" i="13" s="1"/>
  <c r="BZ24" i="12"/>
  <c r="CH13" i="13" s="1"/>
  <c r="CA24" i="12"/>
  <c r="CI13" i="13" s="1"/>
  <c r="CB24" i="12"/>
  <c r="CJ13" i="13" s="1"/>
  <c r="CC24" i="12"/>
  <c r="CK13" i="13" s="1"/>
  <c r="CD24" i="12"/>
  <c r="CL13" i="13" s="1"/>
  <c r="CE24" i="12"/>
  <c r="CM13" i="13" s="1"/>
  <c r="CF24" i="12"/>
  <c r="CN13" i="13" s="1"/>
  <c r="CG24" i="12"/>
  <c r="CO13" i="13" s="1"/>
  <c r="CH24" i="12"/>
  <c r="CP13" i="13" s="1"/>
  <c r="CI24" i="12"/>
  <c r="CQ13" i="13" s="1"/>
  <c r="CJ24" i="12"/>
  <c r="CR13" i="13" s="1"/>
  <c r="CK24" i="12"/>
  <c r="CS13" i="13" s="1"/>
  <c r="BY40" i="12"/>
  <c r="BY52" i="12" s="1"/>
  <c r="BZ40" i="12"/>
  <c r="BZ52" i="12" s="1"/>
  <c r="CA40" i="12"/>
  <c r="CA52" i="12" s="1"/>
  <c r="CE40" i="12"/>
  <c r="CE52" i="12" s="1"/>
  <c r="BY68" i="12"/>
  <c r="BZ68" i="12"/>
  <c r="CA68" i="12"/>
  <c r="CB68" i="12"/>
  <c r="CC68" i="12"/>
  <c r="CD68" i="12"/>
  <c r="CE68" i="12"/>
  <c r="CF68" i="12"/>
  <c r="CG68" i="12"/>
  <c r="CH68" i="12"/>
  <c r="CI68" i="12"/>
  <c r="CJ68" i="12"/>
  <c r="CK68" i="12"/>
  <c r="BY69" i="12"/>
  <c r="BZ69" i="12"/>
  <c r="CA69" i="12"/>
  <c r="CB69" i="12"/>
  <c r="CC69" i="12"/>
  <c r="CD69" i="12"/>
  <c r="CE69" i="12"/>
  <c r="CF69" i="12"/>
  <c r="CG69" i="12"/>
  <c r="CH69" i="12"/>
  <c r="CI69" i="12"/>
  <c r="CJ69" i="12"/>
  <c r="CK69" i="12"/>
  <c r="BY70" i="12"/>
  <c r="BZ70" i="12"/>
  <c r="CA70" i="12"/>
  <c r="CB70" i="12"/>
  <c r="CC70" i="12"/>
  <c r="CD70" i="12"/>
  <c r="CE70" i="12"/>
  <c r="CF70" i="12"/>
  <c r="CG70" i="12"/>
  <c r="CH70" i="12"/>
  <c r="CI70" i="12"/>
  <c r="CJ70" i="12"/>
  <c r="CK70" i="12"/>
  <c r="BY75" i="12"/>
  <c r="BZ75" i="12"/>
  <c r="CA75" i="12"/>
  <c r="CB75" i="12"/>
  <c r="CC75" i="12"/>
  <c r="CD75" i="12"/>
  <c r="CE75" i="12"/>
  <c r="CF75" i="12"/>
  <c r="CG75" i="12"/>
  <c r="CH75" i="12"/>
  <c r="CI75" i="12"/>
  <c r="CJ75" i="12"/>
  <c r="CK75" i="12"/>
  <c r="BY78" i="12"/>
  <c r="BZ78" i="12"/>
  <c r="CA78" i="12"/>
  <c r="CB78" i="12"/>
  <c r="CC78" i="12"/>
  <c r="CD78" i="12"/>
  <c r="CE78" i="12"/>
  <c r="CF78" i="12"/>
  <c r="CG78" i="12"/>
  <c r="CH78" i="12"/>
  <c r="CI78" i="12"/>
  <c r="CJ78" i="12"/>
  <c r="CK78" i="12"/>
  <c r="BY79" i="12"/>
  <c r="BZ79" i="12"/>
  <c r="CA79" i="12"/>
  <c r="CB79" i="12"/>
  <c r="CC79" i="12"/>
  <c r="CD79" i="12"/>
  <c r="CE79" i="12"/>
  <c r="CF79" i="12"/>
  <c r="CG79" i="12"/>
  <c r="CH79" i="12"/>
  <c r="CI79" i="12"/>
  <c r="CJ79" i="12"/>
  <c r="CK79" i="12"/>
  <c r="BY80" i="12"/>
  <c r="BZ80" i="12"/>
  <c r="CA80" i="12"/>
  <c r="CB80" i="12"/>
  <c r="CC80" i="12"/>
  <c r="CD80" i="12"/>
  <c r="CE80" i="12"/>
  <c r="CF80" i="12"/>
  <c r="CG80" i="12"/>
  <c r="CH80" i="12"/>
  <c r="CI80" i="12"/>
  <c r="CJ80" i="12"/>
  <c r="CK80" i="12"/>
  <c r="BY81" i="12"/>
  <c r="BZ81" i="12"/>
  <c r="CA81" i="12"/>
  <c r="CB81" i="12"/>
  <c r="CC81" i="12"/>
  <c r="CD81" i="12"/>
  <c r="CE81" i="12"/>
  <c r="CF81" i="12"/>
  <c r="CG81" i="12"/>
  <c r="CH81" i="12"/>
  <c r="CI81" i="12"/>
  <c r="CJ81" i="12"/>
  <c r="CK81" i="12"/>
  <c r="BY86" i="12"/>
  <c r="BY104" i="12" s="1"/>
  <c r="BZ86" i="12"/>
  <c r="BZ104" i="12" s="1"/>
  <c r="CB86" i="12"/>
  <c r="CB104" i="12" s="1"/>
  <c r="CE86" i="12"/>
  <c r="CJ86" i="12"/>
  <c r="CJ104" i="12" s="1"/>
  <c r="CE104" i="12"/>
  <c r="CE125" i="12" s="1"/>
  <c r="BY105" i="12"/>
  <c r="BZ105" i="12"/>
  <c r="CA105" i="12"/>
  <c r="CB105" i="12"/>
  <c r="CC105" i="12"/>
  <c r="CD105" i="12"/>
  <c r="CE105" i="12"/>
  <c r="CF105" i="12"/>
  <c r="CG105" i="12"/>
  <c r="CH105" i="12"/>
  <c r="CI105" i="12"/>
  <c r="CJ105" i="12"/>
  <c r="CK105" i="12"/>
  <c r="BY106" i="12"/>
  <c r="BZ106" i="12"/>
  <c r="CA106" i="12"/>
  <c r="CB106" i="12"/>
  <c r="CC106" i="12"/>
  <c r="CD106" i="12"/>
  <c r="CE106" i="12"/>
  <c r="CF106" i="12"/>
  <c r="CG106" i="12"/>
  <c r="CH106" i="12"/>
  <c r="CI106" i="12"/>
  <c r="CJ106" i="12"/>
  <c r="CK106" i="12"/>
  <c r="BY107" i="12"/>
  <c r="BZ107" i="12"/>
  <c r="CA107" i="12"/>
  <c r="CB107" i="12"/>
  <c r="CC107" i="12"/>
  <c r="CD107" i="12"/>
  <c r="CE107" i="12"/>
  <c r="CF107" i="12"/>
  <c r="CG107" i="12"/>
  <c r="CH107" i="12"/>
  <c r="CI107" i="12"/>
  <c r="CJ107" i="12"/>
  <c r="CK107" i="12"/>
  <c r="CE108" i="12"/>
  <c r="BY136" i="12"/>
  <c r="BS19" i="14" s="1"/>
  <c r="BZ136" i="12"/>
  <c r="BT19" i="14" s="1"/>
  <c r="CA136" i="12"/>
  <c r="BU19" i="14" s="1"/>
  <c r="CB136" i="12"/>
  <c r="BV19" i="14" s="1"/>
  <c r="CC136" i="12"/>
  <c r="BW19" i="14" s="1"/>
  <c r="CD136" i="12"/>
  <c r="BX19" i="14" s="1"/>
  <c r="CE136" i="12"/>
  <c r="BY19" i="14" s="1"/>
  <c r="CF136" i="12"/>
  <c r="BZ19" i="14" s="1"/>
  <c r="CG136" i="12"/>
  <c r="CA19" i="14" s="1"/>
  <c r="CH136" i="12"/>
  <c r="CB19" i="14" s="1"/>
  <c r="CI136" i="12"/>
  <c r="CC19" i="14" s="1"/>
  <c r="CJ136" i="12"/>
  <c r="CD19" i="14" s="1"/>
  <c r="CK136" i="12"/>
  <c r="CE19" i="14" s="1"/>
  <c r="BY151" i="12"/>
  <c r="BZ151" i="12"/>
  <c r="CA151" i="12"/>
  <c r="CB151" i="12"/>
  <c r="CC151" i="12"/>
  <c r="BW20" i="14" s="1"/>
  <c r="CD151" i="12"/>
  <c r="CE151" i="12"/>
  <c r="CF151" i="12"/>
  <c r="CG151" i="12"/>
  <c r="CH151" i="12"/>
  <c r="CB20" i="14" s="1"/>
  <c r="CI151" i="12"/>
  <c r="CC20" i="14" s="1"/>
  <c r="CJ151" i="12"/>
  <c r="CD20" i="14" s="1"/>
  <c r="CK151" i="12"/>
  <c r="CE20" i="14" s="1"/>
  <c r="BY167" i="12"/>
  <c r="BZ167" i="12"/>
  <c r="CA167" i="12"/>
  <c r="CB167" i="12"/>
  <c r="CC167" i="12"/>
  <c r="CD167" i="12"/>
  <c r="CE167" i="12"/>
  <c r="CF167" i="12"/>
  <c r="CG167" i="12"/>
  <c r="CH167" i="12"/>
  <c r="CI167" i="12"/>
  <c r="CJ167" i="12"/>
  <c r="CK167" i="12"/>
  <c r="BY46" i="8"/>
  <c r="BZ46" i="8"/>
  <c r="CA46" i="8"/>
  <c r="CB46" i="8"/>
  <c r="CC46" i="8"/>
  <c r="CD46" i="8"/>
  <c r="CE46" i="8"/>
  <c r="CF46" i="8"/>
  <c r="CG46" i="8"/>
  <c r="CH46" i="8"/>
  <c r="CI46" i="8"/>
  <c r="CJ46" i="8"/>
  <c r="CK46" i="8"/>
  <c r="BY58" i="8"/>
  <c r="BZ58" i="8"/>
  <c r="CA58" i="8"/>
  <c r="CB58" i="8"/>
  <c r="CC58" i="8"/>
  <c r="CD58" i="8"/>
  <c r="CE58" i="8"/>
  <c r="CF58" i="8"/>
  <c r="CG58" i="8"/>
  <c r="CH58" i="8"/>
  <c r="CI58" i="8"/>
  <c r="CJ58" i="8"/>
  <c r="CK58" i="8"/>
  <c r="BY91" i="8"/>
  <c r="BZ91" i="8"/>
  <c r="CA91" i="8"/>
  <c r="CB91" i="8"/>
  <c r="CC91" i="8"/>
  <c r="CD91" i="8"/>
  <c r="CE91" i="8"/>
  <c r="CF91" i="8"/>
  <c r="CG91" i="8"/>
  <c r="CH91" i="8"/>
  <c r="CI91" i="8"/>
  <c r="CJ91" i="8"/>
  <c r="CK91" i="8"/>
  <c r="BY40" i="7"/>
  <c r="BZ40" i="7" s="1"/>
  <c r="CA40" i="7" s="1"/>
  <c r="CB40" i="7" s="1"/>
  <c r="CC40" i="7" s="1"/>
  <c r="CD40" i="7" s="1"/>
  <c r="CE40" i="7" s="1"/>
  <c r="CF40" i="7" s="1"/>
  <c r="CG40" i="7" s="1"/>
  <c r="CH40" i="7" s="1"/>
  <c r="CI40" i="7" s="1"/>
  <c r="CJ40" i="7" s="1"/>
  <c r="CK40" i="7" s="1"/>
  <c r="BY58" i="7"/>
  <c r="BZ58" i="7"/>
  <c r="CA58" i="7"/>
  <c r="CB58" i="7"/>
  <c r="CC58" i="7"/>
  <c r="CD58" i="7"/>
  <c r="CE58" i="7"/>
  <c r="CF58" i="7"/>
  <c r="CG58" i="7"/>
  <c r="CH58" i="7"/>
  <c r="CI58" i="7"/>
  <c r="CJ58" i="7"/>
  <c r="CK58" i="7"/>
  <c r="BY90" i="7"/>
  <c r="BZ90" i="7"/>
  <c r="CA90" i="7"/>
  <c r="CB90" i="7"/>
  <c r="CC90" i="7"/>
  <c r="CD90" i="7"/>
  <c r="CE90" i="7"/>
  <c r="CF90" i="7"/>
  <c r="CG90" i="7"/>
  <c r="CH90" i="7"/>
  <c r="CI90" i="7"/>
  <c r="CJ90" i="7"/>
  <c r="CK90" i="7"/>
  <c r="CB3" i="6"/>
  <c r="CB2" i="6" s="1"/>
  <c r="CJ3" i="6"/>
  <c r="CJ2" i="6" s="1"/>
  <c r="BY46" i="6"/>
  <c r="BZ46" i="6"/>
  <c r="CA46" i="6"/>
  <c r="CB46" i="6"/>
  <c r="CC46" i="6"/>
  <c r="CD46" i="6"/>
  <c r="CE46" i="6"/>
  <c r="CF46" i="6"/>
  <c r="CG46" i="6"/>
  <c r="CH46" i="6"/>
  <c r="CI46" i="6"/>
  <c r="CJ46" i="6"/>
  <c r="CK46" i="6"/>
  <c r="BY90" i="6"/>
  <c r="BZ90" i="6"/>
  <c r="CA90" i="6"/>
  <c r="CB90" i="6"/>
  <c r="CC90" i="6"/>
  <c r="CD90" i="6"/>
  <c r="CE90" i="6"/>
  <c r="CF90" i="6"/>
  <c r="CG90" i="6"/>
  <c r="CH90" i="6"/>
  <c r="CI90" i="6"/>
  <c r="CJ90" i="6"/>
  <c r="CK90" i="6"/>
  <c r="BY40" i="6"/>
  <c r="BZ40" i="6" s="1"/>
  <c r="CA40" i="6" s="1"/>
  <c r="CB40" i="6" s="1"/>
  <c r="CC40" i="6" s="1"/>
  <c r="CD40" i="6" s="1"/>
  <c r="CE40" i="6" s="1"/>
  <c r="CF40" i="6" s="1"/>
  <c r="CG40" i="6" s="1"/>
  <c r="CH40" i="6" s="1"/>
  <c r="CI40" i="6" s="1"/>
  <c r="CJ40" i="6" s="1"/>
  <c r="CK40" i="6" s="1"/>
  <c r="BY3" i="5"/>
  <c r="BY2" i="5" s="1"/>
  <c r="BZ3" i="5"/>
  <c r="BZ2" i="5" s="1"/>
  <c r="CA3" i="5"/>
  <c r="CA34" i="5" s="1"/>
  <c r="CA43" i="5" s="1"/>
  <c r="CB3" i="5"/>
  <c r="CB2" i="5" s="1"/>
  <c r="CC3" i="5"/>
  <c r="CC34" i="5" s="1"/>
  <c r="CC43" i="5" s="1"/>
  <c r="CC79" i="5" s="1"/>
  <c r="CC88" i="5" s="1"/>
  <c r="CD3" i="5"/>
  <c r="CD34" i="5" s="1"/>
  <c r="CD43" i="5" s="1"/>
  <c r="CD79" i="5" s="1"/>
  <c r="CD88" i="5" s="1"/>
  <c r="CE3" i="5"/>
  <c r="CE3" i="6" s="1"/>
  <c r="CF3" i="5"/>
  <c r="CF2" i="5" s="1"/>
  <c r="CG3" i="5"/>
  <c r="CG2" i="5" s="1"/>
  <c r="CH3" i="5"/>
  <c r="CH2" i="5" s="1"/>
  <c r="CI3" i="5"/>
  <c r="CI2" i="5" s="1"/>
  <c r="CJ3" i="5"/>
  <c r="CJ34" i="5" s="1"/>
  <c r="CJ43" i="5" s="1"/>
  <c r="CJ79" i="5" s="1"/>
  <c r="CJ88" i="5" s="1"/>
  <c r="CK3" i="5"/>
  <c r="CK2" i="5" s="1"/>
  <c r="BZ34" i="5"/>
  <c r="BZ43" i="5" s="1"/>
  <c r="BZ79" i="5" s="1"/>
  <c r="BZ88" i="5" s="1"/>
  <c r="CB34" i="5"/>
  <c r="CB43" i="5" s="1"/>
  <c r="CH34" i="5"/>
  <c r="CH43" i="5" s="1"/>
  <c r="CH79" i="5" s="1"/>
  <c r="CH88" i="5" s="1"/>
  <c r="CI34" i="5"/>
  <c r="CI43" i="5" s="1"/>
  <c r="CI79" i="5" s="1"/>
  <c r="CI88" i="5" s="1"/>
  <c r="BY46" i="5"/>
  <c r="BZ46" i="5"/>
  <c r="CA46" i="5"/>
  <c r="CB46" i="5"/>
  <c r="CC46" i="5"/>
  <c r="CD46" i="5"/>
  <c r="CE46" i="5"/>
  <c r="CF46" i="5"/>
  <c r="CG46" i="5"/>
  <c r="CH46" i="5"/>
  <c r="CI46" i="5"/>
  <c r="CJ46" i="5"/>
  <c r="CK46" i="5"/>
  <c r="CA79" i="5"/>
  <c r="CA88" i="5" s="1"/>
  <c r="CB79" i="5"/>
  <c r="CB88" i="5" s="1"/>
  <c r="BY91" i="5"/>
  <c r="BY108" i="12" s="1"/>
  <c r="BZ91" i="5"/>
  <c r="BZ108" i="12" s="1"/>
  <c r="CA91" i="5"/>
  <c r="CA108" i="12" s="1"/>
  <c r="CB91" i="5"/>
  <c r="CB108" i="12" s="1"/>
  <c r="CC91" i="5"/>
  <c r="CC108" i="12" s="1"/>
  <c r="CD91" i="5"/>
  <c r="CD108" i="12" s="1"/>
  <c r="CE91" i="5"/>
  <c r="CF91" i="5"/>
  <c r="CF108" i="12" s="1"/>
  <c r="CG91" i="5"/>
  <c r="CG108" i="12" s="1"/>
  <c r="CH91" i="5"/>
  <c r="CH108" i="12" s="1"/>
  <c r="CI91" i="5"/>
  <c r="CI108" i="12" s="1"/>
  <c r="CJ91" i="5"/>
  <c r="CJ108" i="12" s="1"/>
  <c r="CK91" i="5"/>
  <c r="CK108" i="12" s="1"/>
  <c r="BU3" i="11"/>
  <c r="BV3" i="11"/>
  <c r="BW3" i="11"/>
  <c r="BX3" i="11"/>
  <c r="BY3" i="11"/>
  <c r="BZ3" i="11"/>
  <c r="CA3" i="11"/>
  <c r="CA2" i="11" s="1"/>
  <c r="CB3" i="11"/>
  <c r="CC3" i="11"/>
  <c r="CD3" i="11"/>
  <c r="CE3" i="11"/>
  <c r="CF3" i="11"/>
  <c r="CG3" i="11"/>
  <c r="CH3" i="11"/>
  <c r="CI3" i="11"/>
  <c r="CI2" i="11" s="1"/>
  <c r="CJ3" i="11"/>
  <c r="CK3" i="11"/>
  <c r="CK2" i="11" s="1"/>
  <c r="BZ2" i="11"/>
  <c r="CB2" i="11"/>
  <c r="CJ2" i="11"/>
  <c r="BY2" i="1"/>
  <c r="BZ2" i="1"/>
  <c r="CA2" i="1"/>
  <c r="CB2" i="1"/>
  <c r="CC2" i="1"/>
  <c r="CD2" i="1"/>
  <c r="CE2" i="1"/>
  <c r="CF2" i="1"/>
  <c r="CG2" i="1"/>
  <c r="CH2" i="1"/>
  <c r="CI2" i="1"/>
  <c r="CJ2" i="1"/>
  <c r="CK2" i="1"/>
  <c r="BY39" i="1"/>
  <c r="BY68" i="1" s="1"/>
  <c r="BY103" i="1" s="1"/>
  <c r="BY113" i="1" s="1"/>
  <c r="BY125" i="1" s="1"/>
  <c r="BY137" i="1" s="1"/>
  <c r="BZ39" i="1"/>
  <c r="BZ68" i="1" s="1"/>
  <c r="BZ103" i="1" s="1"/>
  <c r="BZ113" i="1" s="1"/>
  <c r="BZ125" i="1" s="1"/>
  <c r="BZ137" i="1" s="1"/>
  <c r="CA39" i="1"/>
  <c r="CB39" i="1"/>
  <c r="CC39" i="1"/>
  <c r="CD39" i="1"/>
  <c r="CE39" i="1"/>
  <c r="CF39" i="1"/>
  <c r="CF68" i="1" s="1"/>
  <c r="CF103" i="1" s="1"/>
  <c r="CG39" i="1"/>
  <c r="CG68" i="1" s="1"/>
  <c r="CG103" i="1" s="1"/>
  <c r="CG113" i="1" s="1"/>
  <c r="CG125" i="1" s="1"/>
  <c r="CG137" i="1" s="1"/>
  <c r="CH39" i="1"/>
  <c r="CH68" i="1" s="1"/>
  <c r="CH103" i="1" s="1"/>
  <c r="CH113" i="1" s="1"/>
  <c r="CH125" i="1" s="1"/>
  <c r="CH137" i="1" s="1"/>
  <c r="CI39" i="1"/>
  <c r="CI68" i="1" s="1"/>
  <c r="CI103" i="1" s="1"/>
  <c r="CI113" i="1" s="1"/>
  <c r="CI125" i="1" s="1"/>
  <c r="CI137" i="1" s="1"/>
  <c r="CJ39" i="1"/>
  <c r="CJ68" i="1" s="1"/>
  <c r="CJ103" i="1" s="1"/>
  <c r="CJ113" i="1" s="1"/>
  <c r="CJ125" i="1" s="1"/>
  <c r="CJ137" i="1" s="1"/>
  <c r="CK39" i="1"/>
  <c r="CK68" i="1" s="1"/>
  <c r="CK103" i="1" s="1"/>
  <c r="CK113" i="1" s="1"/>
  <c r="CK125" i="1" s="1"/>
  <c r="CK137" i="1" s="1"/>
  <c r="CA68" i="1"/>
  <c r="CB68" i="1"/>
  <c r="CB103" i="1" s="1"/>
  <c r="CB113" i="1" s="1"/>
  <c r="CB125" i="1" s="1"/>
  <c r="CB137" i="1" s="1"/>
  <c r="CC68" i="1"/>
  <c r="CC103" i="1" s="1"/>
  <c r="CC113" i="1" s="1"/>
  <c r="CC125" i="1" s="1"/>
  <c r="CC137" i="1" s="1"/>
  <c r="CD68" i="1"/>
  <c r="CD103" i="1" s="1"/>
  <c r="CD113" i="1" s="1"/>
  <c r="CD125" i="1" s="1"/>
  <c r="CD137" i="1" s="1"/>
  <c r="CE68" i="1"/>
  <c r="BY72" i="1"/>
  <c r="BZ72" i="1"/>
  <c r="CA72" i="1"/>
  <c r="CB72" i="1"/>
  <c r="CC72" i="1"/>
  <c r="CD72" i="1"/>
  <c r="CE72" i="1"/>
  <c r="CF72" i="1"/>
  <c r="CG72" i="1"/>
  <c r="CH72" i="1"/>
  <c r="CI72" i="1"/>
  <c r="CJ72" i="1"/>
  <c r="CK72" i="1"/>
  <c r="BY89" i="1"/>
  <c r="BZ89" i="1"/>
  <c r="CA89" i="1"/>
  <c r="CB89" i="1"/>
  <c r="CC89" i="1"/>
  <c r="CD89" i="1"/>
  <c r="CE89" i="1"/>
  <c r="CF89" i="1"/>
  <c r="CG89" i="1"/>
  <c r="CH89" i="1"/>
  <c r="CI89" i="1"/>
  <c r="CJ89" i="1"/>
  <c r="CK89" i="1"/>
  <c r="CA103" i="1"/>
  <c r="CA113" i="1" s="1"/>
  <c r="CA125" i="1" s="1"/>
  <c r="CA137" i="1" s="1"/>
  <c r="CE103" i="1"/>
  <c r="CE113" i="1" s="1"/>
  <c r="CE125" i="1" s="1"/>
  <c r="CE137" i="1" s="1"/>
  <c r="CF113" i="1"/>
  <c r="CF125" i="1" s="1"/>
  <c r="CF137" i="1" s="1"/>
  <c r="BY141" i="1"/>
  <c r="BZ141" i="1"/>
  <c r="CA141" i="1"/>
  <c r="CB141" i="1"/>
  <c r="CC141" i="1"/>
  <c r="CD141" i="1"/>
  <c r="CE141" i="1"/>
  <c r="CF141" i="1"/>
  <c r="CG141" i="1"/>
  <c r="CH141" i="1"/>
  <c r="CI141" i="1"/>
  <c r="CJ141" i="1"/>
  <c r="CK141" i="1"/>
  <c r="BY2" i="11"/>
  <c r="BY46" i="11"/>
  <c r="BZ46" i="11"/>
  <c r="CA46" i="11"/>
  <c r="CB46" i="11"/>
  <c r="CC46" i="11"/>
  <c r="CD46" i="11"/>
  <c r="CE46" i="11"/>
  <c r="CF46" i="11"/>
  <c r="CG46" i="11"/>
  <c r="CH46" i="11"/>
  <c r="CI46" i="11"/>
  <c r="CJ46" i="11"/>
  <c r="CK46" i="11"/>
  <c r="BY58" i="11"/>
  <c r="BZ58" i="11"/>
  <c r="CA58" i="11"/>
  <c r="CB58" i="11"/>
  <c r="CC58" i="11"/>
  <c r="CD58" i="11"/>
  <c r="CE58" i="11"/>
  <c r="CF58" i="11"/>
  <c r="CG58" i="11"/>
  <c r="CH58" i="11"/>
  <c r="CI58" i="11"/>
  <c r="CJ58" i="11"/>
  <c r="CK58" i="11"/>
  <c r="BY91" i="11"/>
  <c r="BZ91" i="11"/>
  <c r="CA91" i="11"/>
  <c r="CB91" i="11"/>
  <c r="CC91" i="11"/>
  <c r="CD91" i="11"/>
  <c r="CE91" i="11"/>
  <c r="CF91" i="11"/>
  <c r="CG91" i="11"/>
  <c r="CH91" i="11"/>
  <c r="CI91" i="11"/>
  <c r="CJ91" i="11"/>
  <c r="CK91" i="11"/>
  <c r="CE2" i="6" l="1"/>
  <c r="CE3" i="7"/>
  <c r="CE34" i="6"/>
  <c r="CE43" i="6" s="1"/>
  <c r="CE78" i="6" s="1"/>
  <c r="CE87" i="6" s="1"/>
  <c r="BY34" i="5"/>
  <c r="BY43" i="5" s="1"/>
  <c r="BY79" i="5" s="1"/>
  <c r="BY88" i="5" s="1"/>
  <c r="CG3" i="6"/>
  <c r="BY3" i="6"/>
  <c r="BT20" i="14"/>
  <c r="CL3" i="13"/>
  <c r="CL2" i="13" s="1"/>
  <c r="CJ34" i="6"/>
  <c r="CJ43" i="6" s="1"/>
  <c r="CJ78" i="6" s="1"/>
  <c r="CJ87" i="6" s="1"/>
  <c r="CF3" i="6"/>
  <c r="CJ3" i="7"/>
  <c r="CB3" i="7"/>
  <c r="CA20" i="14"/>
  <c r="BS20" i="14"/>
  <c r="CK86" i="12"/>
  <c r="CK104" i="12" s="1"/>
  <c r="CS3" i="13"/>
  <c r="CS2" i="13" s="1"/>
  <c r="CK3" i="13"/>
  <c r="CK2" i="13" s="1"/>
  <c r="CK34" i="5"/>
  <c r="CK43" i="5" s="1"/>
  <c r="CK79" i="5" s="1"/>
  <c r="CK88" i="5" s="1"/>
  <c r="BZ20" i="14"/>
  <c r="CR3" i="13"/>
  <c r="CR2" i="13" s="1"/>
  <c r="CJ3" i="13"/>
  <c r="CJ2" i="13" s="1"/>
  <c r="CD3" i="6"/>
  <c r="BY20" i="14"/>
  <c r="CI3" i="13"/>
  <c r="CI2" i="13" s="1"/>
  <c r="CG34" i="5"/>
  <c r="CG43" i="5" s="1"/>
  <c r="CG79" i="5" s="1"/>
  <c r="CG88" i="5" s="1"/>
  <c r="CK3" i="6"/>
  <c r="CC3" i="6"/>
  <c r="BX20" i="14"/>
  <c r="CP3" i="13"/>
  <c r="CP2" i="13" s="1"/>
  <c r="CH3" i="13"/>
  <c r="CH2" i="13" s="1"/>
  <c r="CO3" i="13"/>
  <c r="CO2" i="13" s="1"/>
  <c r="CG3" i="13"/>
  <c r="CG2" i="13" s="1"/>
  <c r="CI3" i="6"/>
  <c r="CA3" i="6"/>
  <c r="BV20" i="14"/>
  <c r="CN3" i="13"/>
  <c r="CN2" i="13" s="1"/>
  <c r="CH3" i="6"/>
  <c r="BZ3" i="6"/>
  <c r="BU20" i="14"/>
  <c r="CM3" i="13"/>
  <c r="CM2" i="13" s="1"/>
  <c r="BY135" i="12"/>
  <c r="BY163" i="12" s="1"/>
  <c r="BY171" i="12" s="1"/>
  <c r="BY114" i="12"/>
  <c r="CJ125" i="12"/>
  <c r="CJ114" i="12"/>
  <c r="CK40" i="12"/>
  <c r="CK52" i="12" s="1"/>
  <c r="CA86" i="12"/>
  <c r="CA104" i="12" s="1"/>
  <c r="CA114" i="12" s="1"/>
  <c r="CB114" i="12"/>
  <c r="CB135" i="12"/>
  <c r="CK135" i="12"/>
  <c r="CK158" i="12" s="1"/>
  <c r="CK114" i="12"/>
  <c r="CD40" i="12"/>
  <c r="CD52" i="12" s="1"/>
  <c r="CH86" i="12"/>
  <c r="CH104" i="12" s="1"/>
  <c r="CH125" i="12" s="1"/>
  <c r="CC40" i="12"/>
  <c r="CC52" i="12" s="1"/>
  <c r="CG86" i="12"/>
  <c r="CG104" i="12" s="1"/>
  <c r="CG135" i="12" s="1"/>
  <c r="CF86" i="12"/>
  <c r="CF104" i="12" s="1"/>
  <c r="CF125" i="12" s="1"/>
  <c r="CD86" i="12"/>
  <c r="CD104" i="12" s="1"/>
  <c r="CD125" i="12" s="1"/>
  <c r="CJ135" i="12"/>
  <c r="CC86" i="12"/>
  <c r="CC104" i="12" s="1"/>
  <c r="CJ2" i="12"/>
  <c r="CG2" i="12"/>
  <c r="CF2" i="12"/>
  <c r="CH135" i="12"/>
  <c r="CI86" i="12"/>
  <c r="CI104" i="12" s="1"/>
  <c r="CI40" i="12"/>
  <c r="CI52" i="12" s="1"/>
  <c r="CI2" i="12"/>
  <c r="CA125" i="12"/>
  <c r="BZ114" i="12"/>
  <c r="BZ135" i="12"/>
  <c r="BZ125" i="12"/>
  <c r="CB125" i="12"/>
  <c r="CH2" i="12"/>
  <c r="CE135" i="12"/>
  <c r="CK125" i="12"/>
  <c r="BY125" i="12"/>
  <c r="CE114" i="12"/>
  <c r="CB2" i="12"/>
  <c r="CE43" i="7"/>
  <c r="CE79" i="7" s="1"/>
  <c r="CE87" i="7" s="1"/>
  <c r="CJ43" i="7"/>
  <c r="CJ79" i="7" s="1"/>
  <c r="CJ87" i="7" s="1"/>
  <c r="CB43" i="7"/>
  <c r="CB79" i="7" s="1"/>
  <c r="CB87" i="7" s="1"/>
  <c r="CJ2" i="7"/>
  <c r="CA34" i="6"/>
  <c r="CA43" i="6" s="1"/>
  <c r="CA78" i="6" s="1"/>
  <c r="CA87" i="6" s="1"/>
  <c r="CG34" i="6"/>
  <c r="CG43" i="6" s="1"/>
  <c r="CG78" i="6" s="1"/>
  <c r="CG87" i="6" s="1"/>
  <c r="CI2" i="6"/>
  <c r="CB34" i="6"/>
  <c r="CB43" i="6" s="1"/>
  <c r="CB78" i="6" s="1"/>
  <c r="CB87" i="6" s="1"/>
  <c r="CJ2" i="5"/>
  <c r="CF34" i="5"/>
  <c r="CF43" i="5" s="1"/>
  <c r="CF79" i="5" s="1"/>
  <c r="CF88" i="5" s="1"/>
  <c r="CD2" i="5"/>
  <c r="CC2" i="5"/>
  <c r="CE2" i="5"/>
  <c r="CE34" i="5"/>
  <c r="CE43" i="5" s="1"/>
  <c r="CE79" i="5" s="1"/>
  <c r="CE88" i="5" s="1"/>
  <c r="CA2" i="5"/>
  <c r="CK34" i="11"/>
  <c r="CK43" i="11" s="1"/>
  <c r="CK79" i="11" s="1"/>
  <c r="CK87" i="11" s="1"/>
  <c r="BY34" i="11"/>
  <c r="BY43" i="11" s="1"/>
  <c r="BY79" i="11" s="1"/>
  <c r="BY87" i="11" s="1"/>
  <c r="CB34" i="11"/>
  <c r="CB43" i="11" s="1"/>
  <c r="CB79" i="11" s="1"/>
  <c r="CB87" i="11" s="1"/>
  <c r="CJ34" i="11"/>
  <c r="CJ43" i="11" s="1"/>
  <c r="CJ79" i="11" s="1"/>
  <c r="CJ87" i="11" s="1"/>
  <c r="CI34" i="11"/>
  <c r="CI43" i="11" s="1"/>
  <c r="CI79" i="11" s="1"/>
  <c r="CI87" i="11" s="1"/>
  <c r="CA34" i="11"/>
  <c r="CA43" i="11" s="1"/>
  <c r="CA79" i="11" s="1"/>
  <c r="CA87" i="11" s="1"/>
  <c r="BZ34" i="11"/>
  <c r="BZ43" i="11" s="1"/>
  <c r="BZ79" i="11" s="1"/>
  <c r="BZ87" i="11" s="1"/>
  <c r="CA135" i="12" l="1"/>
  <c r="CH2" i="6"/>
  <c r="CH3" i="7"/>
  <c r="CH34" i="6"/>
  <c r="CH43" i="6" s="1"/>
  <c r="CH78" i="6" s="1"/>
  <c r="CH87" i="6" s="1"/>
  <c r="CG2" i="6"/>
  <c r="CG3" i="7"/>
  <c r="CB2" i="7"/>
  <c r="CB34" i="7"/>
  <c r="CB3" i="8"/>
  <c r="BZ2" i="6"/>
  <c r="BZ3" i="7"/>
  <c r="CG114" i="12"/>
  <c r="CC2" i="6"/>
  <c r="CC34" i="6"/>
  <c r="CC43" i="6" s="1"/>
  <c r="CC78" i="6" s="1"/>
  <c r="CC87" i="6" s="1"/>
  <c r="CC3" i="7"/>
  <c r="CJ34" i="7"/>
  <c r="CJ3" i="8"/>
  <c r="BY2" i="6"/>
  <c r="BY34" i="6"/>
  <c r="BY43" i="6" s="1"/>
  <c r="BY78" i="6" s="1"/>
  <c r="BY87" i="6" s="1"/>
  <c r="BY3" i="7"/>
  <c r="CG125" i="12"/>
  <c r="CA2" i="6"/>
  <c r="CA3" i="7"/>
  <c r="CK2" i="6"/>
  <c r="CK3" i="7"/>
  <c r="CK34" i="6"/>
  <c r="CK43" i="6" s="1"/>
  <c r="CK78" i="6" s="1"/>
  <c r="CK87" i="6" s="1"/>
  <c r="CF2" i="6"/>
  <c r="CF3" i="7"/>
  <c r="CF34" i="6"/>
  <c r="CF43" i="6" s="1"/>
  <c r="CF78" i="6" s="1"/>
  <c r="CF87" i="6" s="1"/>
  <c r="CE2" i="7"/>
  <c r="CE34" i="7"/>
  <c r="CE3" i="8"/>
  <c r="CD3" i="7"/>
  <c r="CD34" i="6"/>
  <c r="CD43" i="6" s="1"/>
  <c r="CD78" i="6" s="1"/>
  <c r="CD87" i="6" s="1"/>
  <c r="CD2" i="6"/>
  <c r="BZ34" i="6"/>
  <c r="BZ43" i="6" s="1"/>
  <c r="BZ78" i="6" s="1"/>
  <c r="BZ87" i="6" s="1"/>
  <c r="CH114" i="12"/>
  <c r="CI34" i="6"/>
  <c r="CI43" i="6" s="1"/>
  <c r="CI78" i="6" s="1"/>
  <c r="CI87" i="6" s="1"/>
  <c r="CI3" i="7"/>
  <c r="BY158" i="12"/>
  <c r="CF114" i="12"/>
  <c r="CF135" i="12"/>
  <c r="CF163" i="12" s="1"/>
  <c r="CF171" i="12" s="1"/>
  <c r="CD135" i="12"/>
  <c r="CK163" i="12"/>
  <c r="CK171" i="12" s="1"/>
  <c r="CJ163" i="12"/>
  <c r="CJ171" i="12" s="1"/>
  <c r="CJ158" i="12"/>
  <c r="CC114" i="12"/>
  <c r="CC135" i="12"/>
  <c r="CC125" i="12"/>
  <c r="CD114" i="12"/>
  <c r="CB158" i="12"/>
  <c r="CB163" i="12"/>
  <c r="CB171" i="12" s="1"/>
  <c r="CE158" i="12"/>
  <c r="CE163" i="12"/>
  <c r="CE171" i="12" s="1"/>
  <c r="CH163" i="12"/>
  <c r="CH171" i="12" s="1"/>
  <c r="CH158" i="12"/>
  <c r="CD158" i="12"/>
  <c r="CD163" i="12"/>
  <c r="CD171" i="12" s="1"/>
  <c r="CI125" i="12"/>
  <c r="CI114" i="12"/>
  <c r="CI135" i="12"/>
  <c r="CG163" i="12"/>
  <c r="CG171" i="12" s="1"/>
  <c r="CG158" i="12"/>
  <c r="BZ158" i="12"/>
  <c r="BZ163" i="12"/>
  <c r="BZ171" i="12" s="1"/>
  <c r="CA158" i="12"/>
  <c r="CA163" i="12"/>
  <c r="CA171" i="12" s="1"/>
  <c r="CF158" i="12" l="1"/>
  <c r="CG34" i="7"/>
  <c r="CG3" i="8"/>
  <c r="CG43" i="7"/>
  <c r="CG79" i="7" s="1"/>
  <c r="CG87" i="7" s="1"/>
  <c r="CG2" i="7"/>
  <c r="CC2" i="7"/>
  <c r="CC3" i="8"/>
  <c r="CC34" i="7"/>
  <c r="CC43" i="7"/>
  <c r="CC79" i="7" s="1"/>
  <c r="CC87" i="7" s="1"/>
  <c r="CF2" i="7"/>
  <c r="CF3" i="8"/>
  <c r="CF43" i="7"/>
  <c r="CF79" i="7" s="1"/>
  <c r="CF87" i="7" s="1"/>
  <c r="CF34" i="7"/>
  <c r="BY2" i="7"/>
  <c r="BY3" i="8"/>
  <c r="BY43" i="7"/>
  <c r="BY79" i="7" s="1"/>
  <c r="BY87" i="7" s="1"/>
  <c r="BY34" i="7"/>
  <c r="CE2" i="8"/>
  <c r="CE34" i="8"/>
  <c r="CE43" i="8" s="1"/>
  <c r="CE79" i="8" s="1"/>
  <c r="CE88" i="8" s="1"/>
  <c r="CA34" i="7"/>
  <c r="CA3" i="8"/>
  <c r="CA43" i="7"/>
  <c r="CA79" i="7" s="1"/>
  <c r="CA87" i="7" s="1"/>
  <c r="CA2" i="7"/>
  <c r="BZ2" i="7"/>
  <c r="BZ3" i="8"/>
  <c r="BZ43" i="7"/>
  <c r="BZ79" i="7" s="1"/>
  <c r="BZ87" i="7" s="1"/>
  <c r="BZ34" i="7"/>
  <c r="CH34" i="7"/>
  <c r="CH3" i="8"/>
  <c r="CH2" i="7"/>
  <c r="CH43" i="7"/>
  <c r="CH79" i="7" s="1"/>
  <c r="CH87" i="7" s="1"/>
  <c r="CI34" i="7"/>
  <c r="CI3" i="8"/>
  <c r="CI2" i="7"/>
  <c r="CI43" i="7"/>
  <c r="CI79" i="7" s="1"/>
  <c r="CI87" i="7" s="1"/>
  <c r="CD2" i="7"/>
  <c r="CD34" i="7"/>
  <c r="CD3" i="8"/>
  <c r="CD43" i="7"/>
  <c r="CD79" i="7" s="1"/>
  <c r="CD87" i="7" s="1"/>
  <c r="CK2" i="7"/>
  <c r="CK3" i="8"/>
  <c r="CK43" i="7"/>
  <c r="CK79" i="7" s="1"/>
  <c r="CK87" i="7" s="1"/>
  <c r="CK34" i="7"/>
  <c r="CJ2" i="8"/>
  <c r="CJ34" i="8"/>
  <c r="CJ43" i="8" s="1"/>
  <c r="CJ79" i="8" s="1"/>
  <c r="CJ88" i="8" s="1"/>
  <c r="CB2" i="8"/>
  <c r="CB34" i="8"/>
  <c r="CB43" i="8" s="1"/>
  <c r="CB79" i="8" s="1"/>
  <c r="CB88" i="8" s="1"/>
  <c r="CC163" i="12"/>
  <c r="CC171" i="12" s="1"/>
  <c r="CC158" i="12"/>
  <c r="CI163" i="12"/>
  <c r="CI171" i="12" s="1"/>
  <c r="CI158" i="12"/>
  <c r="CD2" i="8" l="1"/>
  <c r="CD34" i="8"/>
  <c r="CD43" i="8" s="1"/>
  <c r="CD79" i="8" s="1"/>
  <c r="CD88" i="8" s="1"/>
  <c r="CH34" i="8"/>
  <c r="CH43" i="8" s="1"/>
  <c r="CH79" i="8" s="1"/>
  <c r="CH88" i="8" s="1"/>
  <c r="CH2" i="8"/>
  <c r="CA2" i="8"/>
  <c r="CA34" i="8"/>
  <c r="CA43" i="8" s="1"/>
  <c r="CA79" i="8" s="1"/>
  <c r="CA88" i="8" s="1"/>
  <c r="BY2" i="8"/>
  <c r="BY34" i="8"/>
  <c r="BY43" i="8" s="1"/>
  <c r="BY79" i="8" s="1"/>
  <c r="BY88" i="8" s="1"/>
  <c r="CC2" i="8"/>
  <c r="CC34" i="8"/>
  <c r="CC43" i="8" s="1"/>
  <c r="CC79" i="8" s="1"/>
  <c r="CC88" i="8" s="1"/>
  <c r="CF2" i="8"/>
  <c r="CF34" i="8"/>
  <c r="CF43" i="8" s="1"/>
  <c r="CF79" i="8" s="1"/>
  <c r="CF88" i="8" s="1"/>
  <c r="CG34" i="8"/>
  <c r="CG43" i="8" s="1"/>
  <c r="CG79" i="8" s="1"/>
  <c r="CG88" i="8" s="1"/>
  <c r="CG2" i="8"/>
  <c r="CK2" i="8"/>
  <c r="CK34" i="8"/>
  <c r="CK43" i="8" s="1"/>
  <c r="CK79" i="8" s="1"/>
  <c r="CK88" i="8" s="1"/>
  <c r="CI34" i="8"/>
  <c r="CI43" i="8" s="1"/>
  <c r="CI79" i="8" s="1"/>
  <c r="CI88" i="8" s="1"/>
  <c r="CI2" i="8"/>
  <c r="BZ2" i="8"/>
  <c r="BZ34" i="8"/>
  <c r="BZ43" i="8" s="1"/>
  <c r="BZ79" i="8" s="1"/>
  <c r="BZ88" i="8" s="1"/>
  <c r="AH37" i="8" l="1"/>
  <c r="AH35" i="8"/>
  <c r="BC60" i="1" l="1"/>
  <c r="BD60" i="1" s="1"/>
  <c r="BE60" i="1" s="1"/>
  <c r="BF60" i="1" s="1"/>
  <c r="BG60" i="1" s="1"/>
  <c r="BH60" i="1" s="1"/>
  <c r="BI60" i="1" s="1"/>
  <c r="BJ60" i="1" s="1"/>
  <c r="BK60" i="1" s="1"/>
  <c r="BL60" i="1" s="1"/>
  <c r="BM60" i="1" s="1"/>
  <c r="BN60" i="1" s="1"/>
  <c r="BO60" i="1" s="1"/>
  <c r="BP60" i="1" s="1"/>
  <c r="BQ60" i="1" s="1"/>
  <c r="BR60" i="1" s="1"/>
  <c r="BS60" i="1" s="1"/>
  <c r="BT60" i="1" s="1"/>
  <c r="BU60" i="1" s="1"/>
  <c r="BV60" i="1" s="1"/>
  <c r="BW60" i="1" s="1"/>
  <c r="BX60" i="1" s="1"/>
  <c r="BY60" i="1" s="1"/>
  <c r="BZ60" i="1" s="1"/>
  <c r="CA60" i="1" s="1"/>
  <c r="CB60" i="1" s="1"/>
  <c r="CC60" i="1" s="1"/>
  <c r="CD60" i="1" s="1"/>
  <c r="CE60" i="1" s="1"/>
  <c r="CF60" i="1" s="1"/>
  <c r="CG60" i="1" s="1"/>
  <c r="CH60" i="1" s="1"/>
  <c r="CI60" i="1" s="1"/>
  <c r="CJ60" i="1" s="1"/>
  <c r="CK60" i="1" s="1"/>
  <c r="BC57" i="1"/>
  <c r="BD57" i="1" s="1"/>
  <c r="BE57" i="1" s="1"/>
  <c r="BF57" i="1" s="1"/>
  <c r="BG57" i="1" s="1"/>
  <c r="BH57" i="1" s="1"/>
  <c r="BI57" i="1" s="1"/>
  <c r="BJ57" i="1" s="1"/>
  <c r="BK57" i="1" s="1"/>
  <c r="BL57" i="1" s="1"/>
  <c r="BM57" i="1" s="1"/>
  <c r="BN57" i="1" s="1"/>
  <c r="BO57" i="1" s="1"/>
  <c r="BP57" i="1" s="1"/>
  <c r="BQ57" i="1" s="1"/>
  <c r="BR57" i="1" s="1"/>
  <c r="BS57" i="1" s="1"/>
  <c r="BT57" i="1" s="1"/>
  <c r="BU57" i="1" s="1"/>
  <c r="BV57" i="1" s="1"/>
  <c r="BW57" i="1" s="1"/>
  <c r="BX57" i="1" s="1"/>
  <c r="BY57" i="1" s="1"/>
  <c r="BZ57" i="1" s="1"/>
  <c r="CA57" i="1" s="1"/>
  <c r="CB57" i="1" s="1"/>
  <c r="CC57" i="1" s="1"/>
  <c r="CD57" i="1" s="1"/>
  <c r="CE57" i="1" s="1"/>
  <c r="CF57" i="1" s="1"/>
  <c r="CG57" i="1" s="1"/>
  <c r="CH57" i="1" s="1"/>
  <c r="CI57" i="1" s="1"/>
  <c r="CJ57" i="1" s="1"/>
  <c r="CK57" i="1" s="1"/>
  <c r="BC52" i="1"/>
  <c r="BD52" i="1" s="1"/>
  <c r="BE52" i="1" s="1"/>
  <c r="BF52" i="1" s="1"/>
  <c r="BG52" i="1" s="1"/>
  <c r="BH52" i="1" s="1"/>
  <c r="BI52" i="1" s="1"/>
  <c r="BJ52" i="1" s="1"/>
  <c r="BK52" i="1" s="1"/>
  <c r="BL52" i="1" s="1"/>
  <c r="BM52" i="1" s="1"/>
  <c r="BN52" i="1" s="1"/>
  <c r="BO52" i="1" s="1"/>
  <c r="BP52" i="1" s="1"/>
  <c r="BQ52" i="1" s="1"/>
  <c r="BR52" i="1" s="1"/>
  <c r="BS52" i="1" s="1"/>
  <c r="BT52" i="1" s="1"/>
  <c r="BU52" i="1" s="1"/>
  <c r="BV52" i="1" s="1"/>
  <c r="BW52" i="1" s="1"/>
  <c r="BX52" i="1" s="1"/>
  <c r="BY52" i="1" s="1"/>
  <c r="S122" i="12"/>
  <c r="T122" i="12" s="1"/>
  <c r="U122" i="12" s="1"/>
  <c r="V122" i="12" s="1"/>
  <c r="W122" i="12" s="1"/>
  <c r="X122" i="12" s="1"/>
  <c r="Y122" i="12" s="1"/>
  <c r="Z122" i="12" s="1"/>
  <c r="AA122" i="12" s="1"/>
  <c r="AB122" i="12" s="1"/>
  <c r="AC122" i="12" s="1"/>
  <c r="BZ52" i="1" l="1"/>
  <c r="CA52" i="1" s="1"/>
  <c r="CB52" i="1" s="1"/>
  <c r="CC52" i="1" s="1"/>
  <c r="CD52" i="1" s="1"/>
  <c r="CE52" i="1" s="1"/>
  <c r="CF52" i="1" s="1"/>
  <c r="CG52" i="1" s="1"/>
  <c r="CH52" i="1" s="1"/>
  <c r="CI52" i="1" s="1"/>
  <c r="CJ52" i="1" s="1"/>
  <c r="CK52" i="1" s="1"/>
  <c r="K9" i="24"/>
  <c r="AQ62" i="1" l="1"/>
  <c r="AR62" i="1" s="1"/>
  <c r="AS62" i="1" s="1"/>
  <c r="AT62" i="1" s="1"/>
  <c r="AU62" i="1" s="1"/>
  <c r="AV62" i="1" s="1"/>
  <c r="AW62" i="1" s="1"/>
  <c r="AX62" i="1" s="1"/>
  <c r="AY62" i="1" s="1"/>
  <c r="AZ62" i="1" s="1"/>
  <c r="BA62" i="1" s="1"/>
  <c r="BN62" i="1" s="1"/>
  <c r="BO62" i="1" s="1"/>
  <c r="BP62" i="1" s="1"/>
  <c r="BQ62" i="1" s="1"/>
  <c r="BR62" i="1" s="1"/>
  <c r="BS62" i="1" s="1"/>
  <c r="BT62" i="1" s="1"/>
  <c r="BU62" i="1" s="1"/>
  <c r="BV62" i="1" s="1"/>
  <c r="BW62" i="1" s="1"/>
  <c r="BX62" i="1" s="1"/>
  <c r="BY62" i="1" s="1"/>
  <c r="BZ62" i="1" l="1"/>
  <c r="CA62" i="1" s="1"/>
  <c r="CB62" i="1" s="1"/>
  <c r="CC62" i="1" s="1"/>
  <c r="CD62" i="1" s="1"/>
  <c r="CE62" i="1" s="1"/>
  <c r="CF62" i="1" s="1"/>
  <c r="CG62" i="1" s="1"/>
  <c r="CH62" i="1" s="1"/>
  <c r="CI62" i="1" s="1"/>
  <c r="CJ62" i="1" s="1"/>
  <c r="CK62" i="1" s="1"/>
  <c r="BC62" i="1"/>
  <c r="BD62" i="1" s="1"/>
  <c r="BE62" i="1" s="1"/>
  <c r="BF62" i="1" s="1"/>
  <c r="BG62" i="1" s="1"/>
  <c r="BH62" i="1" s="1"/>
  <c r="BI62" i="1" s="1"/>
  <c r="BJ62" i="1" s="1"/>
  <c r="BK62" i="1" s="1"/>
  <c r="BL62" i="1" s="1"/>
  <c r="BM62" i="1" s="1"/>
  <c r="AN36" i="1" l="1"/>
  <c r="AM36" i="1"/>
  <c r="AL36" i="1"/>
  <c r="AK36" i="1"/>
  <c r="AJ36" i="1"/>
  <c r="AI36" i="1"/>
  <c r="AH36" i="1"/>
  <c r="AB104" i="1" l="1"/>
  <c r="AC104" i="1"/>
  <c r="AA104" i="1"/>
  <c r="AB70" i="1"/>
  <c r="AC70" i="1"/>
  <c r="AA70" i="1"/>
  <c r="AB88" i="1" l="1"/>
  <c r="AC88" i="1" s="1"/>
  <c r="D9" i="19" l="1"/>
  <c r="J9" i="24" l="1"/>
  <c r="H9" i="24"/>
  <c r="I9" i="24"/>
  <c r="AD49" i="1"/>
  <c r="AD51" i="1" s="1"/>
  <c r="AD52" i="1" s="1"/>
  <c r="Y70" i="1"/>
  <c r="Z70" i="1"/>
  <c r="X70" i="1"/>
  <c r="L11" i="21"/>
  <c r="Y139" i="1" l="1"/>
  <c r="Z139" i="1" s="1"/>
  <c r="AA139" i="1" s="1"/>
  <c r="AB139" i="1" s="1"/>
  <c r="AC139" i="1" s="1"/>
  <c r="AD139" i="1" s="1"/>
  <c r="AE139" i="1" s="1"/>
  <c r="O12" i="22"/>
  <c r="P12" i="22" s="1"/>
  <c r="Y22" i="1"/>
  <c r="Z22" i="1"/>
  <c r="AA22" i="1"/>
  <c r="AB22" i="1"/>
  <c r="AC22" i="1"/>
  <c r="X22" i="1"/>
  <c r="AC23" i="1"/>
  <c r="Y23" i="1"/>
  <c r="Z23" i="1"/>
  <c r="AA23" i="1"/>
  <c r="AB23" i="1"/>
  <c r="X23" i="1"/>
  <c r="Z47" i="1"/>
  <c r="AF139" i="1" l="1"/>
  <c r="Q38" i="21" l="1"/>
  <c r="W22" i="14"/>
  <c r="AC139" i="12"/>
  <c r="AC152" i="12"/>
  <c r="AB154" i="12"/>
  <c r="Y154" i="12"/>
  <c r="X154" i="12"/>
  <c r="Z137" i="12"/>
  <c r="AJ109" i="12"/>
  <c r="AI109" i="12"/>
  <c r="AH109" i="12"/>
  <c r="AG109" i="12"/>
  <c r="AF109" i="12"/>
  <c r="AE109" i="12"/>
  <c r="AD109" i="12"/>
  <c r="AL107" i="12"/>
  <c r="AK107" i="12"/>
  <c r="L8" i="24" s="1"/>
  <c r="AJ107" i="12"/>
  <c r="AI107" i="12"/>
  <c r="J8" i="24" s="1"/>
  <c r="AH107" i="12"/>
  <c r="I8" i="24" s="1"/>
  <c r="AG107" i="12"/>
  <c r="H8" i="24" s="1"/>
  <c r="AF107" i="12"/>
  <c r="AE107" i="12"/>
  <c r="AD107" i="12"/>
  <c r="E8" i="24" s="1"/>
  <c r="E12" i="24" s="1"/>
  <c r="AL106" i="12"/>
  <c r="M7" i="24" s="1"/>
  <c r="AK106" i="12"/>
  <c r="L7" i="24" s="1"/>
  <c r="AE106" i="12"/>
  <c r="AD106" i="12"/>
  <c r="AL105" i="12"/>
  <c r="M6" i="24" s="1"/>
  <c r="AK105" i="12"/>
  <c r="L6" i="24" s="1"/>
  <c r="AJ105" i="12"/>
  <c r="AI105" i="12"/>
  <c r="J6" i="24" s="1"/>
  <c r="AH105" i="12"/>
  <c r="I6" i="24" s="1"/>
  <c r="AG105" i="12"/>
  <c r="H6" i="24" s="1"/>
  <c r="AF105" i="12"/>
  <c r="AE105" i="12"/>
  <c r="AD105" i="12"/>
  <c r="X139" i="12"/>
  <c r="AA172" i="12"/>
  <c r="AB172" i="12" s="1"/>
  <c r="AC172" i="12" s="1"/>
  <c r="AD172" i="12" s="1"/>
  <c r="AE172" i="12" s="1"/>
  <c r="AF172" i="12" s="1"/>
  <c r="AG172" i="12" s="1"/>
  <c r="AH172" i="12" s="1"/>
  <c r="AI172" i="12" s="1"/>
  <c r="AJ172" i="12" s="1"/>
  <c r="AK172" i="12" s="1"/>
  <c r="AL172" i="12" s="1"/>
  <c r="AM172" i="12" s="1"/>
  <c r="AN172" i="12" s="1"/>
  <c r="AO172" i="12" s="1"/>
  <c r="AP172" i="12" s="1"/>
  <c r="AQ172" i="12" s="1"/>
  <c r="AR172" i="12" s="1"/>
  <c r="AS172" i="12" s="1"/>
  <c r="AT172" i="12" s="1"/>
  <c r="AU172" i="12" s="1"/>
  <c r="AV172" i="12" s="1"/>
  <c r="AW172" i="12" s="1"/>
  <c r="AX172" i="12" s="1"/>
  <c r="AY172" i="12" s="1"/>
  <c r="AZ172" i="12" s="1"/>
  <c r="BA172" i="12" s="1"/>
  <c r="BB172" i="12" s="1"/>
  <c r="BC172" i="12" s="1"/>
  <c r="BD172" i="12" s="1"/>
  <c r="BE172" i="12" s="1"/>
  <c r="BF172" i="12" s="1"/>
  <c r="BG172" i="12" s="1"/>
  <c r="BH172" i="12" s="1"/>
  <c r="BI172" i="12" s="1"/>
  <c r="BJ172" i="12" s="1"/>
  <c r="BK172" i="12" s="1"/>
  <c r="BL172" i="12" s="1"/>
  <c r="BM172" i="12" s="1"/>
  <c r="V148" i="12"/>
  <c r="W148" i="12"/>
  <c r="X148" i="12"/>
  <c r="Y148" i="12"/>
  <c r="Z148" i="12"/>
  <c r="AA143" i="12"/>
  <c r="AB143" i="12" s="1"/>
  <c r="AC143" i="12" s="1"/>
  <c r="Z160" i="12"/>
  <c r="BN172" i="12" l="1"/>
  <c r="BO172" i="12" s="1"/>
  <c r="BP172" i="12" s="1"/>
  <c r="BQ172" i="12" s="1"/>
  <c r="BR172" i="12" s="1"/>
  <c r="BS172" i="12" s="1"/>
  <c r="BT172" i="12" s="1"/>
  <c r="BU172" i="12" s="1"/>
  <c r="BV172" i="12" s="1"/>
  <c r="BW172" i="12" s="1"/>
  <c r="BX172" i="12" s="1"/>
  <c r="BY172" i="12" s="1"/>
  <c r="CT172" i="12"/>
  <c r="CU172" i="12"/>
  <c r="K6" i="24"/>
  <c r="M8" i="24"/>
  <c r="K8" i="24"/>
  <c r="AB148" i="12"/>
  <c r="AA148" i="12"/>
  <c r="AG106" i="12"/>
  <c r="H7" i="24" s="1"/>
  <c r="AF106" i="12"/>
  <c r="AD143" i="12"/>
  <c r="AC148" i="12"/>
  <c r="BZ172" i="12" l="1"/>
  <c r="BM15" i="22"/>
  <c r="AH106" i="12"/>
  <c r="I7" i="24" s="1"/>
  <c r="AE143" i="12"/>
  <c r="AD148" i="12"/>
  <c r="AG35" i="7"/>
  <c r="AH35" i="7" s="1"/>
  <c r="AI35" i="7" s="1"/>
  <c r="AJ35" i="7" s="1"/>
  <c r="AK35" i="7" s="1"/>
  <c r="AL35" i="7" s="1"/>
  <c r="AM35" i="7" s="1"/>
  <c r="AN35" i="7" s="1"/>
  <c r="AO35" i="7" s="1"/>
  <c r="AP35" i="7" s="1"/>
  <c r="AQ35" i="7" s="1"/>
  <c r="AR35" i="7" s="1"/>
  <c r="AS35" i="7" s="1"/>
  <c r="AT35" i="7" s="1"/>
  <c r="AU35" i="7" s="1"/>
  <c r="AV35" i="7" s="1"/>
  <c r="AW35" i="7" s="1"/>
  <c r="AX35" i="7" s="1"/>
  <c r="AY35" i="7" s="1"/>
  <c r="AZ35" i="7" s="1"/>
  <c r="BA35" i="7" s="1"/>
  <c r="BB35" i="7" s="1"/>
  <c r="BC35" i="7" s="1"/>
  <c r="BD35" i="7" s="1"/>
  <c r="BE35" i="7" s="1"/>
  <c r="BF35" i="7" s="1"/>
  <c r="BG35" i="7" s="1"/>
  <c r="BH35" i="7" s="1"/>
  <c r="BI35" i="7" s="1"/>
  <c r="BJ35" i="7" s="1"/>
  <c r="BK35" i="7" s="1"/>
  <c r="BL35" i="7" s="1"/>
  <c r="BM35" i="7" s="1"/>
  <c r="BN35" i="7" s="1"/>
  <c r="BO35" i="7" s="1"/>
  <c r="BP35" i="7" s="1"/>
  <c r="BQ35" i="7" s="1"/>
  <c r="BR35" i="7" s="1"/>
  <c r="BS35" i="7" s="1"/>
  <c r="BT35" i="7" s="1"/>
  <c r="BU35" i="7" s="1"/>
  <c r="BV35" i="7" s="1"/>
  <c r="BW35" i="7" s="1"/>
  <c r="BX35" i="7" s="1"/>
  <c r="BY35" i="7" s="1"/>
  <c r="AI35" i="8"/>
  <c r="AJ35" i="8" s="1"/>
  <c r="AK35" i="8" s="1"/>
  <c r="AL35" i="8" s="1"/>
  <c r="AM35" i="8" s="1"/>
  <c r="AN35" i="8" s="1"/>
  <c r="AO35" i="8" s="1"/>
  <c r="AP35" i="8" s="1"/>
  <c r="AQ35" i="8" s="1"/>
  <c r="AR35" i="8" s="1"/>
  <c r="AS35" i="8" s="1"/>
  <c r="AT35" i="8" s="1"/>
  <c r="AU35" i="8" s="1"/>
  <c r="AV35" i="8" s="1"/>
  <c r="AW35" i="8" s="1"/>
  <c r="AX35" i="8" s="1"/>
  <c r="AY35" i="8" s="1"/>
  <c r="AZ35" i="8" s="1"/>
  <c r="BA35" i="8" s="1"/>
  <c r="BB35" i="8" s="1"/>
  <c r="BC35" i="8" s="1"/>
  <c r="BD35" i="8" s="1"/>
  <c r="BE35" i="8" s="1"/>
  <c r="BF35" i="8" s="1"/>
  <c r="BG35" i="8" s="1"/>
  <c r="BH35" i="8" s="1"/>
  <c r="BI35" i="8" s="1"/>
  <c r="BJ35" i="8" s="1"/>
  <c r="BK35" i="8" s="1"/>
  <c r="BL35" i="8" s="1"/>
  <c r="BM35" i="8" s="1"/>
  <c r="BN35" i="8" s="1"/>
  <c r="BO35" i="8" s="1"/>
  <c r="BP35" i="8" s="1"/>
  <c r="BQ35" i="8" s="1"/>
  <c r="BR35" i="8" s="1"/>
  <c r="BS35" i="8" s="1"/>
  <c r="BT35" i="8" s="1"/>
  <c r="BU35" i="8" s="1"/>
  <c r="BV35" i="8" s="1"/>
  <c r="BW35" i="8" s="1"/>
  <c r="BX35" i="8" s="1"/>
  <c r="BY35" i="8" s="1"/>
  <c r="AI37" i="8"/>
  <c r="AJ37" i="8" s="1"/>
  <c r="AK37" i="8" s="1"/>
  <c r="AL37" i="8" s="1"/>
  <c r="AM37" i="8" s="1"/>
  <c r="AN37" i="8" s="1"/>
  <c r="AO37" i="8" s="1"/>
  <c r="AP37" i="8" s="1"/>
  <c r="AQ37" i="8" s="1"/>
  <c r="AR37" i="8" s="1"/>
  <c r="AS37" i="8" s="1"/>
  <c r="AT37" i="8" s="1"/>
  <c r="AU37" i="8" s="1"/>
  <c r="AV37" i="8" s="1"/>
  <c r="AW37" i="8" s="1"/>
  <c r="AX37" i="8" s="1"/>
  <c r="AY37" i="8" s="1"/>
  <c r="AZ37" i="8" s="1"/>
  <c r="BA37" i="8" s="1"/>
  <c r="BB37" i="8" s="1"/>
  <c r="BC37" i="8" s="1"/>
  <c r="BD37" i="8" s="1"/>
  <c r="BE37" i="8" s="1"/>
  <c r="BF37" i="8" s="1"/>
  <c r="BG37" i="8" s="1"/>
  <c r="BH37" i="8" s="1"/>
  <c r="BI37" i="8" s="1"/>
  <c r="BJ37" i="8" s="1"/>
  <c r="BK37" i="8" s="1"/>
  <c r="BL37" i="8" s="1"/>
  <c r="BM37" i="8" s="1"/>
  <c r="BN37" i="8" s="1"/>
  <c r="BO37" i="8" s="1"/>
  <c r="BP37" i="8" s="1"/>
  <c r="BQ37" i="8" s="1"/>
  <c r="BR37" i="8" s="1"/>
  <c r="BS37" i="8" s="1"/>
  <c r="BT37" i="8" s="1"/>
  <c r="BU37" i="8" s="1"/>
  <c r="BV37" i="8" s="1"/>
  <c r="BW37" i="8" s="1"/>
  <c r="BX37" i="8" s="1"/>
  <c r="BY37" i="8" s="1"/>
  <c r="BZ37" i="8" s="1"/>
  <c r="CA37" i="8" s="1"/>
  <c r="CB37" i="8" s="1"/>
  <c r="CC37" i="8" s="1"/>
  <c r="CD37" i="8" s="1"/>
  <c r="CE37" i="8" s="1"/>
  <c r="CF37" i="8" s="1"/>
  <c r="CG37" i="8" s="1"/>
  <c r="CH37" i="8" s="1"/>
  <c r="CI37" i="8" s="1"/>
  <c r="CJ37" i="8" s="1"/>
  <c r="CK37" i="8" s="1"/>
  <c r="CA172" i="12" l="1"/>
  <c r="BN15" i="22"/>
  <c r="BZ35" i="8"/>
  <c r="BY39" i="8"/>
  <c r="BZ35" i="7"/>
  <c r="AI106" i="12"/>
  <c r="J7" i="24" s="1"/>
  <c r="AJ106" i="12"/>
  <c r="AE148" i="12"/>
  <c r="AF143" i="12"/>
  <c r="G5" i="21"/>
  <c r="H5" i="21"/>
  <c r="I5" i="21"/>
  <c r="J5" i="21"/>
  <c r="K5" i="21"/>
  <c r="F5" i="21"/>
  <c r="CB172" i="12" l="1"/>
  <c r="BO15" i="22"/>
  <c r="BY45" i="8"/>
  <c r="BY44" i="8" s="1"/>
  <c r="BY60" i="8"/>
  <c r="BY55" i="8"/>
  <c r="BY54" i="8" s="1"/>
  <c r="BY56" i="8"/>
  <c r="BY59" i="8"/>
  <c r="BY4" i="8"/>
  <c r="BY82" i="8"/>
  <c r="BY57" i="8"/>
  <c r="BY80" i="8"/>
  <c r="BY52" i="8"/>
  <c r="BY53" i="8"/>
  <c r="BY83" i="8"/>
  <c r="CA35" i="8"/>
  <c r="BZ39" i="8"/>
  <c r="CA35" i="7"/>
  <c r="K7" i="24"/>
  <c r="AF148" i="12"/>
  <c r="AG143" i="12"/>
  <c r="CC172" i="12" l="1"/>
  <c r="BP15" i="22"/>
  <c r="BY10" i="8"/>
  <c r="BZ45" i="8"/>
  <c r="BZ44" i="8" s="1"/>
  <c r="BZ59" i="8"/>
  <c r="BZ60" i="8"/>
  <c r="BZ4" i="8"/>
  <c r="BZ80" i="8"/>
  <c r="BZ82" i="8"/>
  <c r="BZ83" i="8"/>
  <c r="BZ52" i="8"/>
  <c r="BZ57" i="8"/>
  <c r="BZ55" i="8"/>
  <c r="BZ53" i="8"/>
  <c r="BZ56" i="8"/>
  <c r="BY51" i="8"/>
  <c r="CB35" i="8"/>
  <c r="CA39" i="8"/>
  <c r="BY5" i="8"/>
  <c r="BY7" i="8" s="1"/>
  <c r="BY8" i="8" s="1"/>
  <c r="CB35" i="7"/>
  <c r="AG148" i="12"/>
  <c r="AH143" i="12"/>
  <c r="BZ51" i="8" l="1"/>
  <c r="BZ54" i="8"/>
  <c r="BZ10" i="8" s="1"/>
  <c r="CD172" i="12"/>
  <c r="BQ15" i="22"/>
  <c r="CA82" i="8"/>
  <c r="CA83" i="8"/>
  <c r="CA57" i="8"/>
  <c r="CA45" i="8"/>
  <c r="CA44" i="8" s="1"/>
  <c r="CA59" i="8"/>
  <c r="CA4" i="8"/>
  <c r="CA80" i="8"/>
  <c r="CA52" i="8"/>
  <c r="CA55" i="8"/>
  <c r="CA60" i="8"/>
  <c r="CA56" i="8"/>
  <c r="CA53" i="8"/>
  <c r="CC35" i="8"/>
  <c r="CB39" i="8"/>
  <c r="BZ5" i="8"/>
  <c r="BZ7" i="8" s="1"/>
  <c r="CC35" i="7"/>
  <c r="AH148" i="12"/>
  <c r="AI143" i="12"/>
  <c r="CA51" i="8" l="1"/>
  <c r="CE172" i="12"/>
  <c r="BR15" i="22"/>
  <c r="CA54" i="8"/>
  <c r="CA10" i="8" s="1"/>
  <c r="BZ8" i="8"/>
  <c r="CC39" i="8"/>
  <c r="CD35" i="8"/>
  <c r="CA5" i="8"/>
  <c r="CA7" i="8" s="1"/>
  <c r="CB55" i="8"/>
  <c r="CB53" i="8"/>
  <c r="CB4" i="8"/>
  <c r="CB56" i="8"/>
  <c r="CB59" i="8"/>
  <c r="CB57" i="8"/>
  <c r="CB45" i="8"/>
  <c r="CB44" i="8" s="1"/>
  <c r="CB80" i="8"/>
  <c r="CB82" i="8"/>
  <c r="CB60" i="8"/>
  <c r="CB52" i="8"/>
  <c r="CB83" i="8"/>
  <c r="CD35" i="7"/>
  <c r="AJ143" i="12"/>
  <c r="AI148" i="12"/>
  <c r="CF172" i="12" l="1"/>
  <c r="BS15" i="22"/>
  <c r="CB54" i="8"/>
  <c r="CB10" i="8" s="1"/>
  <c r="CB51" i="8"/>
  <c r="CA8" i="8"/>
  <c r="CD39" i="8"/>
  <c r="CE35" i="8"/>
  <c r="CC60" i="8"/>
  <c r="CC82" i="8"/>
  <c r="CC53" i="8"/>
  <c r="CC52" i="8"/>
  <c r="CC51" i="8" s="1"/>
  <c r="CC4" i="8"/>
  <c r="CC83" i="8"/>
  <c r="CC80" i="8"/>
  <c r="CC57" i="8"/>
  <c r="CC45" i="8"/>
  <c r="CC44" i="8" s="1"/>
  <c r="CC5" i="8" s="1"/>
  <c r="CC7" i="8" s="1"/>
  <c r="CC55" i="8"/>
  <c r="CC56" i="8"/>
  <c r="CC59" i="8"/>
  <c r="CB5" i="8"/>
  <c r="CB7" i="8" s="1"/>
  <c r="CB8" i="8" s="1"/>
  <c r="CE35" i="7"/>
  <c r="AK143" i="12"/>
  <c r="AJ148" i="12"/>
  <c r="CG172" i="12" l="1"/>
  <c r="BT15" i="22"/>
  <c r="CC54" i="8"/>
  <c r="CC10" i="8" s="1"/>
  <c r="CF35" i="8"/>
  <c r="CE39" i="8"/>
  <c r="CD60" i="8"/>
  <c r="CD4" i="8"/>
  <c r="CD53" i="8"/>
  <c r="CD82" i="8"/>
  <c r="CD80" i="8"/>
  <c r="CD52" i="8"/>
  <c r="CD83" i="8"/>
  <c r="CD55" i="8"/>
  <c r="CD57" i="8"/>
  <c r="CD56" i="8"/>
  <c r="CD59" i="8"/>
  <c r="CD45" i="8"/>
  <c r="CD44" i="8" s="1"/>
  <c r="CC8" i="8"/>
  <c r="CF35" i="7"/>
  <c r="AL143" i="12"/>
  <c r="AK148" i="12"/>
  <c r="CD54" i="8" l="1"/>
  <c r="CD10" i="8" s="1"/>
  <c r="CD51" i="8"/>
  <c r="CH172" i="12"/>
  <c r="BU15" i="22"/>
  <c r="CD5" i="8"/>
  <c r="CD7" i="8" s="1"/>
  <c r="CE56" i="8"/>
  <c r="CE57" i="8"/>
  <c r="CE45" i="8"/>
  <c r="CE44" i="8" s="1"/>
  <c r="CE5" i="8" s="1"/>
  <c r="CE80" i="8"/>
  <c r="CE52" i="8"/>
  <c r="CE53" i="8"/>
  <c r="CE82" i="8"/>
  <c r="CE4" i="8"/>
  <c r="CE59" i="8"/>
  <c r="CE60" i="8"/>
  <c r="CE83" i="8"/>
  <c r="CE55" i="8"/>
  <c r="CF39" i="8"/>
  <c r="CG35" i="8"/>
  <c r="CG35" i="7"/>
  <c r="AM143" i="12"/>
  <c r="AL148" i="12"/>
  <c r="CE7" i="8" l="1"/>
  <c r="CE51" i="8"/>
  <c r="CI172" i="12"/>
  <c r="BV15" i="22"/>
  <c r="CD8" i="8"/>
  <c r="CE8" i="8"/>
  <c r="CH35" i="8"/>
  <c r="CG39" i="8"/>
  <c r="CF83" i="8"/>
  <c r="CF55" i="8"/>
  <c r="CF57" i="8"/>
  <c r="CF60" i="8"/>
  <c r="CF4" i="8"/>
  <c r="CF52" i="8"/>
  <c r="CF53" i="8"/>
  <c r="CF56" i="8"/>
  <c r="CF80" i="8"/>
  <c r="CF45" i="8"/>
  <c r="CF44" i="8" s="1"/>
  <c r="CF5" i="8" s="1"/>
  <c r="CF59" i="8"/>
  <c r="CF82" i="8"/>
  <c r="CE54" i="8"/>
  <c r="CE10" i="8" s="1"/>
  <c r="CH35" i="7"/>
  <c r="AN143" i="12"/>
  <c r="AM148" i="12"/>
  <c r="CJ172" i="12" l="1"/>
  <c r="BW15" i="22"/>
  <c r="CF54" i="8"/>
  <c r="CF10" i="8" s="1"/>
  <c r="CI35" i="8"/>
  <c r="CH39" i="8"/>
  <c r="CF51" i="8"/>
  <c r="CG52" i="8"/>
  <c r="CG83" i="8"/>
  <c r="CG57" i="8"/>
  <c r="CG53" i="8"/>
  <c r="CG55" i="8"/>
  <c r="CG56" i="8"/>
  <c r="CG45" i="8"/>
  <c r="CG44" i="8" s="1"/>
  <c r="CG59" i="8"/>
  <c r="CG4" i="8"/>
  <c r="CG60" i="8"/>
  <c r="CG82" i="8"/>
  <c r="CG80" i="8"/>
  <c r="CF7" i="8"/>
  <c r="CI35" i="7"/>
  <c r="AO143" i="12"/>
  <c r="AN148" i="12"/>
  <c r="CG54" i="8" l="1"/>
  <c r="CG10" i="8" s="1"/>
  <c r="CK172" i="12"/>
  <c r="BY15" i="22" s="1"/>
  <c r="BX15" i="22"/>
  <c r="CG51" i="8"/>
  <c r="CF8" i="8"/>
  <c r="CH52" i="8"/>
  <c r="CH80" i="8"/>
  <c r="CH53" i="8"/>
  <c r="CH82" i="8"/>
  <c r="CH83" i="8"/>
  <c r="CH60" i="8"/>
  <c r="CH56" i="8"/>
  <c r="CH57" i="8"/>
  <c r="CH45" i="8"/>
  <c r="CH44" i="8" s="1"/>
  <c r="CH55" i="8"/>
  <c r="CH4" i="8"/>
  <c r="CH59" i="8"/>
  <c r="CJ35" i="8"/>
  <c r="CI39" i="8"/>
  <c r="CG5" i="8"/>
  <c r="CG7" i="8" s="1"/>
  <c r="CJ35" i="7"/>
  <c r="AP143" i="12"/>
  <c r="AO148" i="12"/>
  <c r="CH51" i="8" l="1"/>
  <c r="CH54" i="8"/>
  <c r="CH10" i="8" s="1"/>
  <c r="CG8" i="8"/>
  <c r="CI55" i="8"/>
  <c r="CI59" i="8"/>
  <c r="CI56" i="8"/>
  <c r="CI60" i="8"/>
  <c r="CI57" i="8"/>
  <c r="CI80" i="8"/>
  <c r="CI4" i="8"/>
  <c r="CI45" i="8"/>
  <c r="CI44" i="8" s="1"/>
  <c r="CI52" i="8"/>
  <c r="CI83" i="8"/>
  <c r="CI53" i="8"/>
  <c r="CI82" i="8"/>
  <c r="CK35" i="8"/>
  <c r="CK39" i="8" s="1"/>
  <c r="CJ39" i="8"/>
  <c r="CH5" i="8"/>
  <c r="CH7" i="8" s="1"/>
  <c r="CK35" i="7"/>
  <c r="AQ143" i="12"/>
  <c r="AP148" i="12"/>
  <c r="CH8" i="8" l="1"/>
  <c r="CJ57" i="8"/>
  <c r="CJ60" i="8"/>
  <c r="CJ80" i="8"/>
  <c r="CJ52" i="8"/>
  <c r="CJ53" i="8"/>
  <c r="CJ82" i="8"/>
  <c r="CJ83" i="8"/>
  <c r="CJ55" i="8"/>
  <c r="CJ59" i="8"/>
  <c r="CJ45" i="8"/>
  <c r="CJ44" i="8" s="1"/>
  <c r="CJ4" i="8"/>
  <c r="CJ56" i="8"/>
  <c r="CK45" i="8"/>
  <c r="CK44" i="8" s="1"/>
  <c r="CK59" i="8"/>
  <c r="CK60" i="8"/>
  <c r="CK4" i="8"/>
  <c r="CK53" i="8"/>
  <c r="CK82" i="8"/>
  <c r="CK52" i="8"/>
  <c r="CK51" i="8" s="1"/>
  <c r="CK83" i="8"/>
  <c r="CK55" i="8"/>
  <c r="CK56" i="8"/>
  <c r="CK80" i="8"/>
  <c r="CK57" i="8"/>
  <c r="CI54" i="8"/>
  <c r="CI10" i="8" s="1"/>
  <c r="CI51" i="8"/>
  <c r="CI5" i="8"/>
  <c r="CI7" i="8" s="1"/>
  <c r="AR143" i="12"/>
  <c r="AS153" i="12" s="1"/>
  <c r="AQ148" i="12"/>
  <c r="CK5" i="8" l="1"/>
  <c r="CK54" i="8"/>
  <c r="CK10" i="8" s="1"/>
  <c r="CK7" i="8"/>
  <c r="CK8" i="8" s="1"/>
  <c r="CJ54" i="8"/>
  <c r="CJ10" i="8" s="1"/>
  <c r="CJ51" i="8"/>
  <c r="CI8" i="8"/>
  <c r="CJ5" i="8"/>
  <c r="CJ7" i="8" s="1"/>
  <c r="AS143" i="12"/>
  <c r="AT153" i="12" s="1"/>
  <c r="AR148" i="12"/>
  <c r="CJ8" i="8" l="1"/>
  <c r="AT143" i="12"/>
  <c r="AS148" i="12"/>
  <c r="AU153" i="12" l="1"/>
  <c r="AU143" i="12" s="1"/>
  <c r="AV153" i="12" s="1"/>
  <c r="AT148" i="12"/>
  <c r="AV143" i="12" l="1"/>
  <c r="AU148" i="12"/>
  <c r="AW153" i="12" l="1"/>
  <c r="AW143" i="12" s="1"/>
  <c r="AX153" i="12" s="1"/>
  <c r="AV148" i="12"/>
  <c r="AX143" i="12" l="1"/>
  <c r="AW148" i="12"/>
  <c r="AY143" i="12" l="1"/>
  <c r="AX148" i="12"/>
  <c r="AZ143" i="12" l="1"/>
  <c r="AY148" i="12"/>
  <c r="AD54" i="1"/>
  <c r="AD56" i="1" s="1"/>
  <c r="AD57" i="1" s="1"/>
  <c r="G42" i="1"/>
  <c r="H42" i="1"/>
  <c r="I42" i="1"/>
  <c r="J42" i="1"/>
  <c r="K42" i="1"/>
  <c r="L42" i="1"/>
  <c r="M42" i="1"/>
  <c r="N42" i="1"/>
  <c r="O42" i="1"/>
  <c r="P42" i="1"/>
  <c r="Q42" i="1"/>
  <c r="R42" i="1"/>
  <c r="S42" i="1"/>
  <c r="T42" i="1"/>
  <c r="U42" i="1"/>
  <c r="V42" i="1"/>
  <c r="W42" i="1"/>
  <c r="F42" i="1"/>
  <c r="AQ50" i="1"/>
  <c r="AR50" i="1" s="1"/>
  <c r="AS50" i="1" s="1"/>
  <c r="AT50" i="1" s="1"/>
  <c r="AU50" i="1" s="1"/>
  <c r="AV50" i="1" s="1"/>
  <c r="AW50" i="1" s="1"/>
  <c r="AX50" i="1" s="1"/>
  <c r="AY50" i="1" s="1"/>
  <c r="AZ50" i="1" s="1"/>
  <c r="BA50" i="1" s="1"/>
  <c r="BB50" i="1" s="1"/>
  <c r="BC50" i="1" s="1"/>
  <c r="BD50" i="1" s="1"/>
  <c r="BE50" i="1" s="1"/>
  <c r="BF50" i="1" s="1"/>
  <c r="BG50" i="1" s="1"/>
  <c r="BH50" i="1" s="1"/>
  <c r="BI50" i="1" s="1"/>
  <c r="BJ50" i="1" s="1"/>
  <c r="BK50" i="1" s="1"/>
  <c r="BL50" i="1" s="1"/>
  <c r="BM50" i="1" s="1"/>
  <c r="BN50" i="1" s="1"/>
  <c r="BO50" i="1" s="1"/>
  <c r="BP50" i="1" s="1"/>
  <c r="BQ50" i="1" s="1"/>
  <c r="BR50" i="1" s="1"/>
  <c r="BS50" i="1" s="1"/>
  <c r="BT50" i="1" s="1"/>
  <c r="BU50" i="1" s="1"/>
  <c r="BV50" i="1" s="1"/>
  <c r="BW50" i="1" s="1"/>
  <c r="BX50" i="1" s="1"/>
  <c r="BY50" i="1" s="1"/>
  <c r="BZ50" i="1" s="1"/>
  <c r="CA50" i="1" s="1"/>
  <c r="CB50" i="1" s="1"/>
  <c r="CC50" i="1" s="1"/>
  <c r="CD50" i="1" s="1"/>
  <c r="CE50" i="1" s="1"/>
  <c r="CF50" i="1" s="1"/>
  <c r="CG50" i="1" s="1"/>
  <c r="CH50" i="1" s="1"/>
  <c r="CI50" i="1" s="1"/>
  <c r="CJ50" i="1" s="1"/>
  <c r="CK50" i="1" s="1"/>
  <c r="AQ55" i="1"/>
  <c r="AR55" i="1" s="1"/>
  <c r="AS55" i="1" s="1"/>
  <c r="AT55" i="1" s="1"/>
  <c r="AU55" i="1" s="1"/>
  <c r="AV55" i="1" s="1"/>
  <c r="AW55" i="1" s="1"/>
  <c r="AX55" i="1" s="1"/>
  <c r="AY55" i="1" s="1"/>
  <c r="AZ55" i="1" s="1"/>
  <c r="BA55" i="1" s="1"/>
  <c r="BB55" i="1" s="1"/>
  <c r="BC55" i="1" s="1"/>
  <c r="BD55" i="1" s="1"/>
  <c r="BE55" i="1" s="1"/>
  <c r="BF55" i="1" s="1"/>
  <c r="BG55" i="1" s="1"/>
  <c r="BH55" i="1" s="1"/>
  <c r="BI55" i="1" s="1"/>
  <c r="BJ55" i="1" s="1"/>
  <c r="BK55" i="1" s="1"/>
  <c r="BL55" i="1" s="1"/>
  <c r="BM55" i="1" s="1"/>
  <c r="BN55" i="1" s="1"/>
  <c r="BO55" i="1" s="1"/>
  <c r="BP55" i="1" s="1"/>
  <c r="BQ55" i="1" s="1"/>
  <c r="BR55" i="1" s="1"/>
  <c r="BS55" i="1" s="1"/>
  <c r="BT55" i="1" s="1"/>
  <c r="BU55" i="1" s="1"/>
  <c r="BV55" i="1" s="1"/>
  <c r="BW55" i="1" s="1"/>
  <c r="BX55" i="1" s="1"/>
  <c r="BY55" i="1" s="1"/>
  <c r="S55" i="1"/>
  <c r="T55" i="1"/>
  <c r="U55" i="1"/>
  <c r="V55" i="1"/>
  <c r="W55" i="1"/>
  <c r="X55" i="1"/>
  <c r="Y55" i="1"/>
  <c r="Z55" i="1"/>
  <c r="S57" i="1"/>
  <c r="T57" i="1"/>
  <c r="U57" i="1"/>
  <c r="V57" i="1"/>
  <c r="W57" i="1"/>
  <c r="X57" i="1"/>
  <c r="Y57" i="1"/>
  <c r="Z57" i="1"/>
  <c r="R57" i="1"/>
  <c r="R55" i="1"/>
  <c r="V52" i="1"/>
  <c r="R50" i="1"/>
  <c r="S50" i="1"/>
  <c r="T50" i="1"/>
  <c r="U50" i="1"/>
  <c r="V50" i="1"/>
  <c r="W50" i="1"/>
  <c r="X50" i="1"/>
  <c r="Y50" i="1"/>
  <c r="S52" i="1"/>
  <c r="T52" i="1"/>
  <c r="U52" i="1"/>
  <c r="W52" i="1"/>
  <c r="R52" i="1"/>
  <c r="BZ55" i="1" l="1"/>
  <c r="CA55" i="1" s="1"/>
  <c r="CB55" i="1" s="1"/>
  <c r="CC55" i="1" s="1"/>
  <c r="CD55" i="1" s="1"/>
  <c r="CE55" i="1" s="1"/>
  <c r="CF55" i="1" s="1"/>
  <c r="CG55" i="1" s="1"/>
  <c r="CH55" i="1" s="1"/>
  <c r="CI55" i="1" s="1"/>
  <c r="CJ55" i="1" s="1"/>
  <c r="CK55" i="1" s="1"/>
  <c r="AP56" i="1"/>
  <c r="BB56" i="1" s="1"/>
  <c r="AA57" i="1"/>
  <c r="AB57" i="1" s="1"/>
  <c r="AC57" i="1" s="1"/>
  <c r="BA143" i="12"/>
  <c r="AZ148" i="12"/>
  <c r="AI56" i="1"/>
  <c r="AD42" i="1"/>
  <c r="AE54" i="1"/>
  <c r="AE56" i="1" s="1"/>
  <c r="AE57" i="1" s="1"/>
  <c r="AE49" i="1"/>
  <c r="AE51" i="1" s="1"/>
  <c r="AE52" i="1" s="1"/>
  <c r="AA55" i="1"/>
  <c r="AB55" i="1" s="1"/>
  <c r="AC55" i="1" s="1"/>
  <c r="Y52" i="1"/>
  <c r="Z52" i="1"/>
  <c r="X52" i="1"/>
  <c r="AC50" i="1"/>
  <c r="AB50" i="1"/>
  <c r="AA50" i="1"/>
  <c r="Z50" i="1"/>
  <c r="I40" i="1"/>
  <c r="H40" i="1"/>
  <c r="Q40" i="1"/>
  <c r="P40" i="1"/>
  <c r="M40" i="1"/>
  <c r="J40" i="1"/>
  <c r="O40" i="1"/>
  <c r="N40" i="1"/>
  <c r="L40" i="1"/>
  <c r="K40" i="1"/>
  <c r="F40" i="1"/>
  <c r="G40" i="1"/>
  <c r="BN56" i="1" l="1"/>
  <c r="AU56" i="1"/>
  <c r="AA52" i="1"/>
  <c r="AB52" i="1" s="1"/>
  <c r="AC52" i="1" s="1"/>
  <c r="BB143" i="12"/>
  <c r="BA148" i="12"/>
  <c r="AI51" i="1"/>
  <c r="AJ56" i="1"/>
  <c r="AF54" i="1"/>
  <c r="AF56" i="1" s="1"/>
  <c r="AF57" i="1" s="1"/>
  <c r="AE42" i="1"/>
  <c r="AP54" i="1"/>
  <c r="AF49" i="1"/>
  <c r="AF51" i="1" s="1"/>
  <c r="AF52" i="1" s="1"/>
  <c r="AF45" i="1"/>
  <c r="BZ56" i="1" l="1"/>
  <c r="BG56" i="1"/>
  <c r="AV56" i="1"/>
  <c r="AH56" i="1"/>
  <c r="BC143" i="12"/>
  <c r="BB148" i="12"/>
  <c r="AK56" i="1"/>
  <c r="AU51" i="1"/>
  <c r="AI64" i="1"/>
  <c r="AI65" i="1" s="1"/>
  <c r="AJ51" i="1"/>
  <c r="AG54" i="1"/>
  <c r="AF42" i="1"/>
  <c r="AQ54" i="1"/>
  <c r="BA54" i="1"/>
  <c r="AG49" i="1"/>
  <c r="AG61" i="1"/>
  <c r="BH56" i="1" l="1"/>
  <c r="AW56" i="1"/>
  <c r="AT56" i="1"/>
  <c r="BS56" i="1"/>
  <c r="CE56" i="1" s="1"/>
  <c r="BD143" i="12"/>
  <c r="BC148" i="12"/>
  <c r="AK51" i="1"/>
  <c r="BG51" i="1"/>
  <c r="AU40" i="1"/>
  <c r="AU64" i="1"/>
  <c r="AU65" i="1" s="1"/>
  <c r="AV51" i="1"/>
  <c r="AJ64" i="1"/>
  <c r="AJ65" i="1" s="1"/>
  <c r="AL56" i="1"/>
  <c r="AH54" i="1"/>
  <c r="AR54" i="1"/>
  <c r="BL54" i="1"/>
  <c r="BB54" i="1"/>
  <c r="AH49" i="1"/>
  <c r="AH61" i="1"/>
  <c r="AG45" i="1"/>
  <c r="AE152" i="12"/>
  <c r="AE95" i="1"/>
  <c r="E32" i="15"/>
  <c r="F32" i="15" s="1"/>
  <c r="G32" i="15" s="1"/>
  <c r="C9" i="24"/>
  <c r="Q9" i="24" s="1"/>
  <c r="F9" i="24"/>
  <c r="G9" i="24"/>
  <c r="BT56" i="1" l="1"/>
  <c r="CF56" i="1" s="1"/>
  <c r="BF56" i="1"/>
  <c r="BI56" i="1"/>
  <c r="AX56" i="1"/>
  <c r="AK109" i="12"/>
  <c r="BE143" i="12"/>
  <c r="BD148" i="12"/>
  <c r="BH51" i="1"/>
  <c r="AV40" i="1"/>
  <c r="AV64" i="1"/>
  <c r="AV65" i="1" s="1"/>
  <c r="AM56" i="1"/>
  <c r="BG40" i="1"/>
  <c r="BS51" i="1"/>
  <c r="CE51" i="1" s="1"/>
  <c r="AW51" i="1"/>
  <c r="AK64" i="1"/>
  <c r="AK65" i="1" s="1"/>
  <c r="AL51" i="1"/>
  <c r="BM54" i="1"/>
  <c r="BW54" i="1"/>
  <c r="CH54" i="1" s="1"/>
  <c r="BC54" i="1"/>
  <c r="AS54" i="1"/>
  <c r="AH42" i="1"/>
  <c r="AI54" i="1"/>
  <c r="AI49" i="1"/>
  <c r="AI61" i="1"/>
  <c r="AH45" i="1"/>
  <c r="Z152" i="12"/>
  <c r="AA152" i="12" s="1"/>
  <c r="CE40" i="1" l="1"/>
  <c r="CE42" i="12" s="1"/>
  <c r="BJ56" i="1"/>
  <c r="BU56" i="1"/>
  <c r="CG56" i="1" s="1"/>
  <c r="BR56" i="1"/>
  <c r="CD56" i="1" s="1"/>
  <c r="AY56" i="1"/>
  <c r="AL109" i="12"/>
  <c r="BF143" i="12"/>
  <c r="BE148" i="12"/>
  <c r="BH40" i="1"/>
  <c r="BT51" i="1"/>
  <c r="CF51" i="1" s="1"/>
  <c r="AX51" i="1"/>
  <c r="AL64" i="1"/>
  <c r="AL65" i="1" s="1"/>
  <c r="AM51" i="1"/>
  <c r="BI51" i="1"/>
  <c r="AW40" i="1"/>
  <c r="BS40" i="1"/>
  <c r="AO56" i="1"/>
  <c r="AN56" i="1"/>
  <c r="AI42" i="1"/>
  <c r="AJ54" i="1"/>
  <c r="AJ42" i="1" s="1"/>
  <c r="AT54" i="1"/>
  <c r="BD54" i="1"/>
  <c r="BN54" i="1"/>
  <c r="BY54" i="1" s="1"/>
  <c r="CJ54" i="1" s="1"/>
  <c r="BX54" i="1"/>
  <c r="CI54" i="1" s="1"/>
  <c r="AI40" i="1"/>
  <c r="AJ49" i="1"/>
  <c r="AJ61" i="1"/>
  <c r="AI45" i="1"/>
  <c r="CP171" i="12"/>
  <c r="CQ171" i="12" s="1"/>
  <c r="CR171" i="12" s="1"/>
  <c r="CS171" i="12" s="1"/>
  <c r="CT171" i="12" s="1"/>
  <c r="CU171" i="12" s="1"/>
  <c r="CO145" i="12"/>
  <c r="CO144" i="12"/>
  <c r="CO142" i="12"/>
  <c r="CO125" i="12"/>
  <c r="G95" i="12"/>
  <c r="H95" i="12"/>
  <c r="I95" i="12"/>
  <c r="J95" i="12"/>
  <c r="K95" i="12"/>
  <c r="F95" i="12"/>
  <c r="G92" i="12"/>
  <c r="H92" i="12"/>
  <c r="I92" i="12"/>
  <c r="J92" i="12"/>
  <c r="K92" i="12"/>
  <c r="L92" i="12"/>
  <c r="R92" i="12"/>
  <c r="S92" i="12"/>
  <c r="T92" i="12"/>
  <c r="U92" i="12"/>
  <c r="V92" i="12"/>
  <c r="W92" i="12"/>
  <c r="X92" i="12"/>
  <c r="AE92" i="12"/>
  <c r="AJ92" i="12"/>
  <c r="AX92" i="12"/>
  <c r="F92" i="12"/>
  <c r="G46" i="12"/>
  <c r="H46" i="12"/>
  <c r="I46" i="12"/>
  <c r="J46" i="12"/>
  <c r="K46" i="12"/>
  <c r="L46" i="12"/>
  <c r="M46" i="12"/>
  <c r="N46" i="12"/>
  <c r="O46" i="12"/>
  <c r="P46" i="12"/>
  <c r="Q46" i="12"/>
  <c r="R46" i="12"/>
  <c r="S46" i="12"/>
  <c r="T46" i="12"/>
  <c r="U46" i="12"/>
  <c r="V46" i="12"/>
  <c r="W46" i="12"/>
  <c r="X46" i="12"/>
  <c r="Y46" i="12"/>
  <c r="Z46" i="12"/>
  <c r="AA46" i="12"/>
  <c r="AB46" i="12"/>
  <c r="AC46" i="12"/>
  <c r="F46" i="12"/>
  <c r="G43" i="12"/>
  <c r="H43" i="12"/>
  <c r="I43" i="12"/>
  <c r="J43" i="12"/>
  <c r="K43" i="12"/>
  <c r="L43" i="12"/>
  <c r="M43" i="12"/>
  <c r="N43" i="12"/>
  <c r="O43" i="12"/>
  <c r="P43" i="12"/>
  <c r="Q43" i="12"/>
  <c r="R43" i="12"/>
  <c r="S43" i="12"/>
  <c r="T43" i="12"/>
  <c r="U43" i="12"/>
  <c r="V43" i="12"/>
  <c r="W43" i="12"/>
  <c r="X43" i="12"/>
  <c r="Y43" i="12"/>
  <c r="Z43" i="12"/>
  <c r="AA43" i="12"/>
  <c r="AB43" i="12"/>
  <c r="AC43" i="12"/>
  <c r="F43" i="12"/>
  <c r="CF40" i="1" l="1"/>
  <c r="CF42" i="12" s="1"/>
  <c r="AI70" i="1"/>
  <c r="BK56" i="1"/>
  <c r="BV56" i="1"/>
  <c r="CH56" i="1" s="1"/>
  <c r="CH42" i="1" s="1"/>
  <c r="CH45" i="12" s="1"/>
  <c r="AZ56" i="1"/>
  <c r="BA56" i="1"/>
  <c r="BG143" i="12"/>
  <c r="BF148" i="12"/>
  <c r="BI40" i="1"/>
  <c r="BU51" i="1"/>
  <c r="CG51" i="1" s="1"/>
  <c r="AY51" i="1"/>
  <c r="AM64" i="1"/>
  <c r="AM65" i="1" s="1"/>
  <c r="AO51" i="1"/>
  <c r="AN51" i="1"/>
  <c r="BJ51" i="1"/>
  <c r="AX40" i="1"/>
  <c r="BT40" i="1"/>
  <c r="BO54" i="1"/>
  <c r="BZ54" i="1" s="1"/>
  <c r="BE54" i="1"/>
  <c r="AT42" i="1"/>
  <c r="AK54" i="1"/>
  <c r="AU54" i="1"/>
  <c r="AK49" i="1"/>
  <c r="AJ40" i="1"/>
  <c r="AJ70" i="1" s="1"/>
  <c r="AK61" i="1"/>
  <c r="AJ45" i="1"/>
  <c r="CO141" i="12"/>
  <c r="AF35" i="5"/>
  <c r="BZ42" i="1" l="1"/>
  <c r="CK54" i="1"/>
  <c r="CG40" i="1"/>
  <c r="CG42" i="12" s="1"/>
  <c r="BW56" i="1"/>
  <c r="BM56" i="1"/>
  <c r="BY56" i="1" s="1"/>
  <c r="BA42" i="1"/>
  <c r="BL56" i="1"/>
  <c r="BH143" i="12"/>
  <c r="BG148" i="12"/>
  <c r="BJ40" i="1"/>
  <c r="BV51" i="1"/>
  <c r="CH51" i="1" s="1"/>
  <c r="AZ51" i="1"/>
  <c r="AN64" i="1"/>
  <c r="AN65" i="1" s="1"/>
  <c r="BK51" i="1"/>
  <c r="AY40" i="1"/>
  <c r="BU40" i="1"/>
  <c r="BA51" i="1"/>
  <c r="AO64" i="1"/>
  <c r="AO65" i="1" s="1"/>
  <c r="AU42" i="1"/>
  <c r="BF54" i="1"/>
  <c r="AL54" i="1"/>
  <c r="AK42" i="1"/>
  <c r="AV54" i="1"/>
  <c r="BP54" i="1"/>
  <c r="CA54" i="1" s="1"/>
  <c r="AL49" i="1"/>
  <c r="AK40" i="1"/>
  <c r="AL61" i="1"/>
  <c r="AK45" i="1"/>
  <c r="AK70" i="1" l="1"/>
  <c r="BZ45" i="12"/>
  <c r="BY42" i="1"/>
  <c r="BY45" i="12" s="1"/>
  <c r="CK56" i="1"/>
  <c r="CK42" i="1" s="1"/>
  <c r="CK45" i="12" s="1"/>
  <c r="BW42" i="1"/>
  <c r="CI56" i="1"/>
  <c r="CI42" i="1" s="1"/>
  <c r="CI45" i="12" s="1"/>
  <c r="CH40" i="1"/>
  <c r="CH42" i="12" s="1"/>
  <c r="BM42" i="1"/>
  <c r="BL42" i="1"/>
  <c r="BX56" i="1"/>
  <c r="BI143" i="12"/>
  <c r="BH148" i="12"/>
  <c r="BM51" i="1"/>
  <c r="BY51" i="1" s="1"/>
  <c r="BA40" i="1"/>
  <c r="BK40" i="1"/>
  <c r="BW51" i="1"/>
  <c r="CI51" i="1" s="1"/>
  <c r="BL51" i="1"/>
  <c r="AZ40" i="1"/>
  <c r="BV40" i="1"/>
  <c r="BG54" i="1"/>
  <c r="AV42" i="1"/>
  <c r="AL42" i="1"/>
  <c r="AW54" i="1"/>
  <c r="AM54" i="1"/>
  <c r="BQ54" i="1"/>
  <c r="CB54" i="1" s="1"/>
  <c r="BF42" i="1"/>
  <c r="AL40" i="1"/>
  <c r="AM49" i="1"/>
  <c r="AM61" i="1"/>
  <c r="AL45" i="1"/>
  <c r="CX52" i="12"/>
  <c r="CY52" i="12" s="1"/>
  <c r="CZ52" i="12" s="1"/>
  <c r="DA52" i="12" s="1"/>
  <c r="DB52" i="12" s="1"/>
  <c r="DC52" i="12" s="1"/>
  <c r="CX40" i="12"/>
  <c r="CY40" i="12" s="1"/>
  <c r="CZ40" i="12" s="1"/>
  <c r="DA40" i="12" s="1"/>
  <c r="DB40" i="12" s="1"/>
  <c r="DC40" i="12" s="1"/>
  <c r="AH57" i="5"/>
  <c r="AD95" i="1"/>
  <c r="AE35" i="5"/>
  <c r="AG35" i="5"/>
  <c r="AH35" i="5"/>
  <c r="AD35" i="5"/>
  <c r="AQ40" i="5"/>
  <c r="AR40" i="5" s="1"/>
  <c r="AS40" i="5" s="1"/>
  <c r="AT40" i="5" s="1"/>
  <c r="AU40" i="5" s="1"/>
  <c r="AV40" i="5" s="1"/>
  <c r="AW40" i="5" s="1"/>
  <c r="AX40" i="5" s="1"/>
  <c r="AY40" i="5" s="1"/>
  <c r="AZ40" i="5" s="1"/>
  <c r="BA40" i="5" s="1"/>
  <c r="BC40" i="5" s="1"/>
  <c r="BD40" i="5" s="1"/>
  <c r="BE40" i="5" s="1"/>
  <c r="BF40" i="5" s="1"/>
  <c r="BG40" i="5" s="1"/>
  <c r="BH40" i="5" s="1"/>
  <c r="BI40" i="5" s="1"/>
  <c r="BJ40" i="5" s="1"/>
  <c r="BK40" i="5" s="1"/>
  <c r="BL40" i="5" s="1"/>
  <c r="BM40" i="5" s="1"/>
  <c r="BN40" i="5" s="1"/>
  <c r="BO40" i="5" s="1"/>
  <c r="BP40" i="5" s="1"/>
  <c r="BQ40" i="5" s="1"/>
  <c r="BR40" i="5" s="1"/>
  <c r="BS40" i="5" s="1"/>
  <c r="BT40" i="5" s="1"/>
  <c r="BU40" i="5" s="1"/>
  <c r="BV40" i="5" s="1"/>
  <c r="BW40" i="5" s="1"/>
  <c r="BX40" i="5" s="1"/>
  <c r="BY40" i="5" s="1"/>
  <c r="AJ41" i="5"/>
  <c r="AJ57" i="5" s="1"/>
  <c r="AL70" i="1" l="1"/>
  <c r="BZ40" i="5"/>
  <c r="CH70" i="1"/>
  <c r="CI40" i="1"/>
  <c r="CI42" i="12" s="1"/>
  <c r="BY40" i="1"/>
  <c r="BY42" i="12" s="1"/>
  <c r="CK51" i="1"/>
  <c r="BX42" i="1"/>
  <c r="CJ56" i="1"/>
  <c r="CJ42" i="1" s="1"/>
  <c r="CJ45" i="12" s="1"/>
  <c r="AI57" i="5"/>
  <c r="BJ143" i="12"/>
  <c r="BI148" i="12"/>
  <c r="BL40" i="1"/>
  <c r="BX51" i="1"/>
  <c r="CJ51" i="1" s="1"/>
  <c r="BW40" i="1"/>
  <c r="BM40" i="1"/>
  <c r="BG42" i="1"/>
  <c r="BR54" i="1"/>
  <c r="AN54" i="1"/>
  <c r="AM42" i="1"/>
  <c r="AX54" i="1"/>
  <c r="BH54" i="1"/>
  <c r="AW42" i="1"/>
  <c r="AM40" i="1"/>
  <c r="AN49" i="1"/>
  <c r="AN40" i="1" s="1"/>
  <c r="AN61" i="1"/>
  <c r="AM45" i="1"/>
  <c r="AI35" i="5"/>
  <c r="AK41" i="5"/>
  <c r="AK57" i="5" s="1"/>
  <c r="AJ35" i="5"/>
  <c r="CA40" i="5" l="1"/>
  <c r="CK40" i="1"/>
  <c r="CK42" i="12" s="1"/>
  <c r="BY70" i="1"/>
  <c r="BR42" i="1"/>
  <c r="CC54" i="1"/>
  <c r="CI70" i="1"/>
  <c r="CJ40" i="1"/>
  <c r="CJ42" i="12" s="1"/>
  <c r="AM70" i="1"/>
  <c r="BK143" i="12"/>
  <c r="BJ148" i="12"/>
  <c r="BX40" i="1"/>
  <c r="BH42" i="1"/>
  <c r="BS54" i="1"/>
  <c r="BI54" i="1"/>
  <c r="AX42" i="1"/>
  <c r="AO54" i="1"/>
  <c r="AN42" i="1"/>
  <c r="AN70" i="1" s="1"/>
  <c r="AY54" i="1"/>
  <c r="AO49" i="1"/>
  <c r="AO40" i="1" s="1"/>
  <c r="AO61" i="1"/>
  <c r="AP61" i="1" s="1"/>
  <c r="AN45" i="1"/>
  <c r="AL41" i="5"/>
  <c r="AL57" i="5" s="1"/>
  <c r="AK35" i="5"/>
  <c r="CB40" i="5" l="1"/>
  <c r="CJ70" i="1"/>
  <c r="CK70" i="1"/>
  <c r="BS42" i="1"/>
  <c r="CD54" i="1"/>
  <c r="CD42" i="1" s="1"/>
  <c r="CD45" i="12" s="1"/>
  <c r="BL143" i="12"/>
  <c r="BK148" i="12"/>
  <c r="BJ54" i="1"/>
  <c r="AY42" i="1"/>
  <c r="AO42" i="1"/>
  <c r="AO70" i="1" s="1"/>
  <c r="AZ54" i="1"/>
  <c r="BI42" i="1"/>
  <c r="BT54" i="1"/>
  <c r="AO45" i="1"/>
  <c r="AM41" i="5"/>
  <c r="AM57" i="5" s="1"/>
  <c r="AL35" i="5"/>
  <c r="CC40" i="5" l="1"/>
  <c r="BT42" i="1"/>
  <c r="CE54" i="1"/>
  <c r="CE42" i="1" s="1"/>
  <c r="CE45" i="12" s="1"/>
  <c r="AO47" i="1"/>
  <c r="BM143" i="12"/>
  <c r="BL148" i="12"/>
  <c r="BK54" i="1"/>
  <c r="AZ42" i="1"/>
  <c r="BU54" i="1"/>
  <c r="BJ42" i="1"/>
  <c r="AQ61" i="1"/>
  <c r="AP45" i="1"/>
  <c r="AN41" i="5"/>
  <c r="AN57" i="5" s="1"/>
  <c r="AM35" i="5"/>
  <c r="AO82" i="1" l="1"/>
  <c r="AO88" i="1"/>
  <c r="CD40" i="5"/>
  <c r="BU42" i="1"/>
  <c r="CF54" i="1"/>
  <c r="CF42" i="1" s="1"/>
  <c r="CF45" i="12" s="1"/>
  <c r="CE70" i="1"/>
  <c r="AQ45" i="1"/>
  <c r="BN143" i="12"/>
  <c r="BM148" i="12"/>
  <c r="BV54" i="1"/>
  <c r="BK42" i="1"/>
  <c r="AR61" i="1"/>
  <c r="AO41" i="5"/>
  <c r="AO57" i="5" s="1"/>
  <c r="AN35" i="5"/>
  <c r="CE40" i="5" l="1"/>
  <c r="BV42" i="1"/>
  <c r="CG54" i="1"/>
  <c r="CG42" i="1" s="1"/>
  <c r="CG45" i="12" s="1"/>
  <c r="CF70" i="1"/>
  <c r="AR45" i="1"/>
  <c r="BO143" i="12"/>
  <c r="BN148" i="12"/>
  <c r="AS61" i="1"/>
  <c r="AP41" i="5"/>
  <c r="AP57" i="5" s="1"/>
  <c r="AO35" i="5"/>
  <c r="CF40" i="5" l="1"/>
  <c r="CG70" i="1"/>
  <c r="AS45" i="1"/>
  <c r="BP143" i="12"/>
  <c r="BO148" i="12"/>
  <c r="AT61" i="1"/>
  <c r="AQ41" i="5"/>
  <c r="AQ57" i="5" s="1"/>
  <c r="AP35" i="5"/>
  <c r="CG40" i="5" l="1"/>
  <c r="BQ143" i="12"/>
  <c r="BP148" i="12"/>
  <c r="AU61" i="1"/>
  <c r="AT45" i="1"/>
  <c r="AR41" i="5"/>
  <c r="AR57" i="5" s="1"/>
  <c r="AQ35" i="5"/>
  <c r="CH40" i="5" l="1"/>
  <c r="BR143" i="12"/>
  <c r="BQ148" i="12"/>
  <c r="AV61" i="1"/>
  <c r="AU45" i="1"/>
  <c r="AS41" i="5"/>
  <c r="AS57" i="5" s="1"/>
  <c r="AR35" i="5"/>
  <c r="G172" i="12"/>
  <c r="H172" i="12" s="1"/>
  <c r="I172" i="12" s="1"/>
  <c r="J172" i="12" s="1"/>
  <c r="K172" i="12" s="1"/>
  <c r="L172" i="12" s="1"/>
  <c r="M172" i="12" s="1"/>
  <c r="N172" i="12" s="1"/>
  <c r="O172" i="12" s="1"/>
  <c r="P172" i="12" s="1"/>
  <c r="Q172" i="12" s="1"/>
  <c r="CI40" i="5" l="1"/>
  <c r="BS143" i="12"/>
  <c r="BR148" i="12"/>
  <c r="AW61" i="1"/>
  <c r="AW59" i="1" s="1"/>
  <c r="AV45" i="1"/>
  <c r="R172" i="12"/>
  <c r="S172" i="12" s="1"/>
  <c r="CO172" i="12"/>
  <c r="AT41" i="5"/>
  <c r="AT57" i="5" s="1"/>
  <c r="AS35" i="5"/>
  <c r="CJ40" i="5" l="1"/>
  <c r="AW64" i="1"/>
  <c r="AW65" i="1" s="1"/>
  <c r="F15" i="22"/>
  <c r="BT143" i="12"/>
  <c r="BS148" i="12"/>
  <c r="AX61" i="1"/>
  <c r="AX59" i="1" s="1"/>
  <c r="AW45" i="1"/>
  <c r="AU41" i="5"/>
  <c r="AU57" i="5" s="1"/>
  <c r="AT35" i="5"/>
  <c r="T172" i="12"/>
  <c r="G15" i="22"/>
  <c r="CK40" i="5" l="1"/>
  <c r="AX64" i="1"/>
  <c r="AX65" i="1" s="1"/>
  <c r="BU143" i="12"/>
  <c r="BT148" i="12"/>
  <c r="AY61" i="1"/>
  <c r="AY59" i="1" s="1"/>
  <c r="AX45" i="1"/>
  <c r="AV41" i="5"/>
  <c r="AV57" i="5" s="1"/>
  <c r="AU35" i="5"/>
  <c r="U172" i="12"/>
  <c r="H15" i="22"/>
  <c r="AY64" i="1" l="1"/>
  <c r="AY65" i="1" s="1"/>
  <c r="BV143" i="12"/>
  <c r="BU148" i="12"/>
  <c r="AZ61" i="1"/>
  <c r="AZ59" i="1" s="1"/>
  <c r="AY45" i="1"/>
  <c r="AW41" i="5"/>
  <c r="AW57" i="5" s="1"/>
  <c r="AV35" i="5"/>
  <c r="V172" i="12"/>
  <c r="I15" i="22"/>
  <c r="AZ64" i="1" l="1"/>
  <c r="AZ65" i="1" s="1"/>
  <c r="BW143" i="12"/>
  <c r="BV148" i="12"/>
  <c r="BA61" i="1"/>
  <c r="BA59" i="1" s="1"/>
  <c r="AZ45" i="1"/>
  <c r="AX41" i="5"/>
  <c r="AX57" i="5" s="1"/>
  <c r="AW35" i="5"/>
  <c r="W172" i="12"/>
  <c r="J15" i="22"/>
  <c r="BA64" i="1" l="1"/>
  <c r="BA65" i="1" s="1"/>
  <c r="BX143" i="12"/>
  <c r="BY143" i="12" s="1"/>
  <c r="BW148" i="12"/>
  <c r="BA45" i="1"/>
  <c r="AY41" i="5"/>
  <c r="AY57" i="5" s="1"/>
  <c r="AX35" i="5"/>
  <c r="X172" i="12"/>
  <c r="K15" i="22"/>
  <c r="BZ143" i="12" l="1"/>
  <c r="BY148" i="12"/>
  <c r="BX148" i="12"/>
  <c r="AZ41" i="5"/>
  <c r="AZ57" i="5" s="1"/>
  <c r="AY35" i="5"/>
  <c r="Y172" i="12"/>
  <c r="L15" i="22"/>
  <c r="CA143" i="12" l="1"/>
  <c r="BZ148" i="12"/>
  <c r="BA41" i="5"/>
  <c r="BA57" i="5" s="1"/>
  <c r="AZ35" i="5"/>
  <c r="M15" i="22"/>
  <c r="CB143" i="12" l="1"/>
  <c r="CA148" i="12"/>
  <c r="BB41" i="5"/>
  <c r="BB57" i="5" s="1"/>
  <c r="BA35" i="5"/>
  <c r="N15" i="22"/>
  <c r="CB148" i="12" l="1"/>
  <c r="CC143" i="12"/>
  <c r="BC41" i="5"/>
  <c r="BC57" i="5" s="1"/>
  <c r="BB35" i="5"/>
  <c r="O15" i="22"/>
  <c r="CD143" i="12" l="1"/>
  <c r="CC148" i="12"/>
  <c r="BD41" i="5"/>
  <c r="BD57" i="5" s="1"/>
  <c r="BC35" i="5"/>
  <c r="CP172" i="12"/>
  <c r="P15" i="22"/>
  <c r="CD148" i="12" l="1"/>
  <c r="CE143" i="12"/>
  <c r="BE41" i="5"/>
  <c r="BE57" i="5" s="1"/>
  <c r="BD35" i="5"/>
  <c r="Q15" i="22"/>
  <c r="CE148" i="12" l="1"/>
  <c r="CF143" i="12"/>
  <c r="BF41" i="5"/>
  <c r="BF57" i="5" s="1"/>
  <c r="BE35" i="5"/>
  <c r="R15" i="22"/>
  <c r="CG143" i="12" l="1"/>
  <c r="CF148" i="12"/>
  <c r="BG41" i="5"/>
  <c r="BG57" i="5" s="1"/>
  <c r="BF35" i="5"/>
  <c r="S15" i="22"/>
  <c r="CG148" i="12" l="1"/>
  <c r="CH143" i="12"/>
  <c r="BH41" i="5"/>
  <c r="BH57" i="5" s="1"/>
  <c r="BG35" i="5"/>
  <c r="T15" i="22"/>
  <c r="CI143" i="12" l="1"/>
  <c r="CH148" i="12"/>
  <c r="BI41" i="5"/>
  <c r="BI57" i="5" s="1"/>
  <c r="BH35" i="5"/>
  <c r="U15" i="22"/>
  <c r="CI148" i="12" l="1"/>
  <c r="CJ143" i="12"/>
  <c r="BJ41" i="5"/>
  <c r="BJ57" i="5" s="1"/>
  <c r="BI35" i="5"/>
  <c r="V15" i="22"/>
  <c r="CK143" i="12" l="1"/>
  <c r="CK148" i="12" s="1"/>
  <c r="CJ148" i="12"/>
  <c r="BK41" i="5"/>
  <c r="BK57" i="5" s="1"/>
  <c r="BJ35" i="5"/>
  <c r="W15" i="22"/>
  <c r="BL41" i="5" l="1"/>
  <c r="BL57" i="5" s="1"/>
  <c r="BK35" i="5"/>
  <c r="X15" i="22"/>
  <c r="BM41" i="5" l="1"/>
  <c r="BM57" i="5" s="1"/>
  <c r="BL35" i="5"/>
  <c r="Y15" i="22"/>
  <c r="BN41" i="5" l="1"/>
  <c r="BN57" i="5" s="1"/>
  <c r="BM35" i="5"/>
  <c r="Z15" i="22"/>
  <c r="BO41" i="5" l="1"/>
  <c r="BO57" i="5" s="1"/>
  <c r="BN35" i="5"/>
  <c r="AA15" i="22"/>
  <c r="BP41" i="5" l="1"/>
  <c r="BP57" i="5" s="1"/>
  <c r="BO35" i="5"/>
  <c r="CQ172" i="12"/>
  <c r="AB15" i="22"/>
  <c r="BQ41" i="5" l="1"/>
  <c r="BQ57" i="5" s="1"/>
  <c r="BP35" i="5"/>
  <c r="AC15" i="22"/>
  <c r="BR41" i="5" l="1"/>
  <c r="BR57" i="5" s="1"/>
  <c r="BQ35" i="5"/>
  <c r="AD15" i="22"/>
  <c r="BS41" i="5" l="1"/>
  <c r="BS57" i="5" s="1"/>
  <c r="BR35" i="5"/>
  <c r="AE15" i="22"/>
  <c r="BT41" i="5" l="1"/>
  <c r="BT57" i="5" s="1"/>
  <c r="BS35" i="5"/>
  <c r="AF15" i="22"/>
  <c r="BU41" i="5" l="1"/>
  <c r="BU57" i="5" s="1"/>
  <c r="BT35" i="5"/>
  <c r="AG15" i="22"/>
  <c r="BV41" i="5" l="1"/>
  <c r="BV57" i="5" s="1"/>
  <c r="BU35" i="5"/>
  <c r="AH15" i="22"/>
  <c r="BW41" i="5" l="1"/>
  <c r="BW57" i="5" s="1"/>
  <c r="BV35" i="5"/>
  <c r="AI15" i="22"/>
  <c r="BX41" i="5" l="1"/>
  <c r="BW35" i="5"/>
  <c r="AJ15" i="22"/>
  <c r="BX57" i="5" l="1"/>
  <c r="BY41" i="5"/>
  <c r="BX35" i="5"/>
  <c r="AK15" i="22"/>
  <c r="BZ41" i="5" l="1"/>
  <c r="BY57" i="5"/>
  <c r="BY35" i="5"/>
  <c r="BY39" i="5" s="1"/>
  <c r="AL15" i="22"/>
  <c r="BY4" i="5" l="1"/>
  <c r="BY60" i="5"/>
  <c r="BY53" i="5"/>
  <c r="BY83" i="5"/>
  <c r="BY56" i="5"/>
  <c r="BY58" i="5"/>
  <c r="BY82" i="5"/>
  <c r="BY80" i="5"/>
  <c r="BY45" i="5"/>
  <c r="BY44" i="5" s="1"/>
  <c r="BY59" i="5"/>
  <c r="BY52" i="5"/>
  <c r="BY51" i="5" s="1"/>
  <c r="CA41" i="5"/>
  <c r="CA35" i="5" s="1"/>
  <c r="BZ57" i="5"/>
  <c r="BZ35" i="5"/>
  <c r="AM15" i="22"/>
  <c r="BY5" i="5" l="1"/>
  <c r="BZ39" i="5"/>
  <c r="BZ82" i="5" s="1"/>
  <c r="CA57" i="5"/>
  <c r="CB41" i="5"/>
  <c r="CA39" i="5"/>
  <c r="BY55" i="5"/>
  <c r="BY10" i="5" s="1"/>
  <c r="BZ4" i="5"/>
  <c r="BZ52" i="5"/>
  <c r="BZ58" i="5"/>
  <c r="BZ83" i="5"/>
  <c r="BZ53" i="5"/>
  <c r="BZ80" i="5"/>
  <c r="BZ45" i="5"/>
  <c r="BZ59" i="5"/>
  <c r="BZ60" i="5"/>
  <c r="BZ56" i="5"/>
  <c r="BY7" i="5"/>
  <c r="CR172" i="12"/>
  <c r="AN15" i="22"/>
  <c r="BZ44" i="5" l="1"/>
  <c r="BY8" i="5"/>
  <c r="BZ51" i="5"/>
  <c r="BZ55" i="5"/>
  <c r="CA58" i="5"/>
  <c r="CA59" i="5"/>
  <c r="CA56" i="5"/>
  <c r="CA55" i="5" s="1"/>
  <c r="CA10" i="5" s="1"/>
  <c r="CA52" i="5"/>
  <c r="CA51" i="5" s="1"/>
  <c r="CA80" i="5"/>
  <c r="CA4" i="5"/>
  <c r="CA45" i="5"/>
  <c r="CA44" i="5" s="1"/>
  <c r="CA53" i="5"/>
  <c r="CA83" i="5"/>
  <c r="CA60" i="5"/>
  <c r="CA82" i="5"/>
  <c r="CC41" i="5"/>
  <c r="CB57" i="5"/>
  <c r="CB35" i="5"/>
  <c r="AO15" i="22"/>
  <c r="CB39" i="5" l="1"/>
  <c r="BZ5" i="5"/>
  <c r="BZ10" i="5"/>
  <c r="CD41" i="5"/>
  <c r="CC57" i="5"/>
  <c r="CC35" i="5"/>
  <c r="CC39" i="5" s="1"/>
  <c r="CB4" i="5"/>
  <c r="CB59" i="5"/>
  <c r="CB80" i="5"/>
  <c r="CB52" i="5"/>
  <c r="CB82" i="5"/>
  <c r="CB53" i="5"/>
  <c r="CB83" i="5"/>
  <c r="CB56" i="5"/>
  <c r="CB60" i="5"/>
  <c r="CA5" i="5"/>
  <c r="CA7" i="5" s="1"/>
  <c r="AP15" i="22"/>
  <c r="BZ7" i="5" l="1"/>
  <c r="BZ8" i="5" s="1"/>
  <c r="CB45" i="5"/>
  <c r="CB58" i="5"/>
  <c r="CA8" i="5"/>
  <c r="CB51" i="5"/>
  <c r="CB55" i="5"/>
  <c r="CC45" i="5"/>
  <c r="CC44" i="5" s="1"/>
  <c r="CC59" i="5"/>
  <c r="CC80" i="5"/>
  <c r="CC56" i="5"/>
  <c r="CC4" i="5"/>
  <c r="CC52" i="5"/>
  <c r="CC82" i="5"/>
  <c r="CC53" i="5"/>
  <c r="CC83" i="5"/>
  <c r="CC58" i="5"/>
  <c r="CC60" i="5"/>
  <c r="CE41" i="5"/>
  <c r="CD57" i="5"/>
  <c r="CD35" i="5"/>
  <c r="AQ15" i="22"/>
  <c r="CC55" i="5" l="1"/>
  <c r="CC10" i="5" s="1"/>
  <c r="CD39" i="5"/>
  <c r="CB44" i="5"/>
  <c r="CB10" i="5"/>
  <c r="CC51" i="5"/>
  <c r="CD53" i="5"/>
  <c r="CD83" i="5"/>
  <c r="CD4" i="5"/>
  <c r="CD45" i="5"/>
  <c r="CD44" i="5" s="1"/>
  <c r="CD58" i="5"/>
  <c r="CD56" i="5"/>
  <c r="CD80" i="5"/>
  <c r="CD52" i="5"/>
  <c r="CD82" i="5"/>
  <c r="CD60" i="5"/>
  <c r="CD59" i="5"/>
  <c r="CC5" i="5"/>
  <c r="CC7" i="5" s="1"/>
  <c r="CF41" i="5"/>
  <c r="CE57" i="5"/>
  <c r="CE35" i="5"/>
  <c r="CE39" i="5" s="1"/>
  <c r="AR15" i="22"/>
  <c r="CD51" i="5" l="1"/>
  <c r="CB5" i="5"/>
  <c r="CC8" i="5"/>
  <c r="CD5" i="5"/>
  <c r="CD7" i="5" s="1"/>
  <c r="CD8" i="5" s="1"/>
  <c r="CD55" i="5"/>
  <c r="CE53" i="5"/>
  <c r="CE83" i="5"/>
  <c r="CE4" i="5"/>
  <c r="CE52" i="5"/>
  <c r="CE59" i="5"/>
  <c r="CE56" i="5"/>
  <c r="CE60" i="5"/>
  <c r="CE80" i="5"/>
  <c r="CE82" i="5"/>
  <c r="CE58" i="5"/>
  <c r="CE45" i="5"/>
  <c r="CG41" i="5"/>
  <c r="CF57" i="5"/>
  <c r="CF35" i="5"/>
  <c r="AS15" i="22"/>
  <c r="CE51" i="5" l="1"/>
  <c r="CB7" i="5"/>
  <c r="CB8" i="5" s="1"/>
  <c r="CE55" i="5"/>
  <c r="CE10" i="5" s="1"/>
  <c r="CE44" i="5"/>
  <c r="CF39" i="5"/>
  <c r="CF52" i="5" s="1"/>
  <c r="CD10" i="5"/>
  <c r="CF83" i="5"/>
  <c r="CF58" i="5"/>
  <c r="CG57" i="5"/>
  <c r="CH41" i="5"/>
  <c r="CG35" i="5"/>
  <c r="CG39" i="5" s="1"/>
  <c r="AT15" i="22"/>
  <c r="CF60" i="5" l="1"/>
  <c r="CF56" i="5"/>
  <c r="CF55" i="5" s="1"/>
  <c r="CF4" i="5"/>
  <c r="CF45" i="5"/>
  <c r="CE5" i="5"/>
  <c r="CF53" i="5"/>
  <c r="CF51" i="5" s="1"/>
  <c r="CF82" i="5"/>
  <c r="CF80" i="5"/>
  <c r="CF59" i="5"/>
  <c r="CG80" i="5"/>
  <c r="CG83" i="5"/>
  <c r="CG4" i="5"/>
  <c r="CG59" i="5"/>
  <c r="CG53" i="5"/>
  <c r="CG56" i="5"/>
  <c r="CG45" i="5"/>
  <c r="CG44" i="5" s="1"/>
  <c r="CG52" i="5"/>
  <c r="CG82" i="5"/>
  <c r="CG58" i="5"/>
  <c r="CG60" i="5"/>
  <c r="CI41" i="5"/>
  <c r="CH57" i="5"/>
  <c r="CH35" i="5"/>
  <c r="CH39" i="5" s="1"/>
  <c r="AU15" i="22"/>
  <c r="CF10" i="5" l="1"/>
  <c r="CE7" i="5"/>
  <c r="CE8" i="5" s="1"/>
  <c r="CF44" i="5"/>
  <c r="CH80" i="5"/>
  <c r="CH45" i="5"/>
  <c r="CH44" i="5" s="1"/>
  <c r="CH5" i="5" s="1"/>
  <c r="CH59" i="5"/>
  <c r="CH4" i="5"/>
  <c r="CH60" i="5"/>
  <c r="CH52" i="5"/>
  <c r="CH83" i="5"/>
  <c r="CH56" i="5"/>
  <c r="CH58" i="5"/>
  <c r="CH82" i="5"/>
  <c r="CH53" i="5"/>
  <c r="CI57" i="5"/>
  <c r="CJ41" i="5"/>
  <c r="CI35" i="5"/>
  <c r="CI39" i="5" s="1"/>
  <c r="CG51" i="5"/>
  <c r="CG5" i="5"/>
  <c r="CG7" i="5" s="1"/>
  <c r="CG8" i="5" s="1"/>
  <c r="CG55" i="5"/>
  <c r="CG10" i="5" s="1"/>
  <c r="AV15" i="22"/>
  <c r="CH55" i="5" l="1"/>
  <c r="CH10" i="5" s="1"/>
  <c r="CF5" i="5"/>
  <c r="CH51" i="5"/>
  <c r="CI60" i="5"/>
  <c r="CI82" i="5"/>
  <c r="CI4" i="5"/>
  <c r="CI80" i="5"/>
  <c r="CI52" i="5"/>
  <c r="CI83" i="5"/>
  <c r="CI53" i="5"/>
  <c r="CI56" i="5"/>
  <c r="CI58" i="5"/>
  <c r="CI59" i="5"/>
  <c r="CI45" i="5"/>
  <c r="CH7" i="5"/>
  <c r="CH8" i="5" s="1"/>
  <c r="CK41" i="5"/>
  <c r="CJ57" i="5"/>
  <c r="CJ35" i="5"/>
  <c r="CJ39" i="5" s="1"/>
  <c r="AW15" i="22"/>
  <c r="CI44" i="5" l="1"/>
  <c r="CF7" i="5"/>
  <c r="CF8" i="5" s="1"/>
  <c r="CI55" i="5"/>
  <c r="CI10" i="5" s="1"/>
  <c r="CI51" i="5"/>
  <c r="CJ82" i="5"/>
  <c r="CJ4" i="5"/>
  <c r="CJ60" i="5"/>
  <c r="CJ53" i="5"/>
  <c r="CJ58" i="5"/>
  <c r="CJ45" i="5"/>
  <c r="CJ44" i="5" s="1"/>
  <c r="CJ59" i="5"/>
  <c r="CJ52" i="5"/>
  <c r="CJ83" i="5"/>
  <c r="CJ80" i="5"/>
  <c r="CJ56" i="5"/>
  <c r="CK57" i="5"/>
  <c r="CK35" i="5"/>
  <c r="AX15" i="22"/>
  <c r="CJ5" i="5" l="1"/>
  <c r="CJ7" i="5" s="1"/>
  <c r="CK39" i="5"/>
  <c r="CJ51" i="5"/>
  <c r="CI5" i="5"/>
  <c r="CJ55" i="5"/>
  <c r="CJ10" i="5" s="1"/>
  <c r="CJ8" i="5"/>
  <c r="CK80" i="5"/>
  <c r="CK82" i="5"/>
  <c r="CK60" i="5"/>
  <c r="CK53" i="5"/>
  <c r="CK83" i="5"/>
  <c r="CK56" i="5"/>
  <c r="CK45" i="5"/>
  <c r="CK58" i="5"/>
  <c r="CK59" i="5"/>
  <c r="CK4" i="5"/>
  <c r="CK52" i="5"/>
  <c r="AY15" i="22"/>
  <c r="CI7" i="5" l="1"/>
  <c r="CI8" i="5" s="1"/>
  <c r="CK44" i="5"/>
  <c r="CK55" i="5"/>
  <c r="CK51" i="5"/>
  <c r="CS172" i="12"/>
  <c r="AZ15" i="22"/>
  <c r="CK5" i="5" l="1"/>
  <c r="CK10" i="5"/>
  <c r="BA15" i="22"/>
  <c r="CK7" i="5" l="1"/>
  <c r="CK8" i="5" s="1"/>
  <c r="BB15" i="22"/>
  <c r="BC15" i="22" l="1"/>
  <c r="BD15" i="22" l="1"/>
  <c r="BE15" i="22" l="1"/>
  <c r="BF15" i="22" l="1"/>
  <c r="BG15" i="22" l="1"/>
  <c r="BH15" i="22" l="1"/>
  <c r="BI15" i="22" l="1"/>
  <c r="BJ15" i="22" l="1"/>
  <c r="BK15" i="22" l="1"/>
  <c r="BL15" i="22" l="1"/>
  <c r="X23" i="12" l="1"/>
  <c r="Y23" i="12" s="1"/>
  <c r="Z23" i="12" s="1"/>
  <c r="AA23" i="12" s="1"/>
  <c r="AB23" i="12" s="1"/>
  <c r="AC23" i="12" s="1"/>
  <c r="AD23" i="12" s="1"/>
  <c r="AE23" i="12" s="1"/>
  <c r="AF23" i="12" s="1"/>
  <c r="AG23" i="12" s="1"/>
  <c r="AH23" i="12" s="1"/>
  <c r="AI23" i="12" s="1"/>
  <c r="AJ23" i="12" s="1"/>
  <c r="AK23" i="12" s="1"/>
  <c r="AL23" i="12" s="1"/>
  <c r="AM23" i="12" s="1"/>
  <c r="AN23" i="12" s="1"/>
  <c r="AO23" i="12" s="1"/>
  <c r="AP23" i="12" s="1"/>
  <c r="AQ23" i="12" s="1"/>
  <c r="AR23" i="12" s="1"/>
  <c r="AS23" i="12" s="1"/>
  <c r="AT23" i="12" s="1"/>
  <c r="AU23" i="12" s="1"/>
  <c r="AV23" i="12" s="1"/>
  <c r="AW23" i="12" s="1"/>
  <c r="AX23" i="12" s="1"/>
  <c r="AY23" i="12" s="1"/>
  <c r="AZ23" i="12" s="1"/>
  <c r="BA23" i="12" s="1"/>
  <c r="BB23" i="12" s="1"/>
  <c r="BC23" i="12" s="1"/>
  <c r="BD23" i="12" s="1"/>
  <c r="BE23" i="12" s="1"/>
  <c r="BF23" i="12" s="1"/>
  <c r="BG23" i="12" s="1"/>
  <c r="BH23" i="12" s="1"/>
  <c r="BI23" i="12" s="1"/>
  <c r="BJ23" i="12" s="1"/>
  <c r="BK23" i="12" s="1"/>
  <c r="BL23" i="12" s="1"/>
  <c r="BM23" i="12" s="1"/>
  <c r="BN23" i="12" s="1"/>
  <c r="BO23" i="12" s="1"/>
  <c r="BP23" i="12" s="1"/>
  <c r="BQ23" i="12" s="1"/>
  <c r="BR23" i="12" s="1"/>
  <c r="BS23" i="12" s="1"/>
  <c r="BT23" i="12" s="1"/>
  <c r="BU23" i="12" s="1"/>
  <c r="BV23" i="12" s="1"/>
  <c r="BW23" i="12" s="1"/>
  <c r="BX23" i="12" s="1"/>
  <c r="BY23" i="12" s="1"/>
  <c r="BZ23" i="12" s="1"/>
  <c r="CA23" i="12" s="1"/>
  <c r="CB23" i="12" s="1"/>
  <c r="CC23" i="12" s="1"/>
  <c r="CD23" i="12" s="1"/>
  <c r="CE23" i="12" s="1"/>
  <c r="CF23" i="12" s="1"/>
  <c r="CG23" i="12" s="1"/>
  <c r="CH23" i="12" s="1"/>
  <c r="CI23" i="12" s="1"/>
  <c r="CJ23" i="12" s="1"/>
  <c r="CK23" i="12" s="1"/>
  <c r="R145" i="12"/>
  <c r="W154" i="12"/>
  <c r="K53" i="21"/>
  <c r="L53" i="21" s="1"/>
  <c r="M55" i="21" s="1"/>
  <c r="F40" i="21"/>
  <c r="G40" i="21" s="1"/>
  <c r="S33" i="21"/>
  <c r="AE33" i="21" s="1"/>
  <c r="AQ33" i="21" s="1"/>
  <c r="BC33" i="21" s="1"/>
  <c r="BO33" i="21" s="1"/>
  <c r="T33" i="21"/>
  <c r="AF33" i="21" s="1"/>
  <c r="AR33" i="21" s="1"/>
  <c r="BD33" i="21" s="1"/>
  <c r="BP33" i="21" s="1"/>
  <c r="U33" i="21"/>
  <c r="AG33" i="21" s="1"/>
  <c r="AS33" i="21" s="1"/>
  <c r="BE33" i="21" s="1"/>
  <c r="BQ33" i="21" s="1"/>
  <c r="V33" i="21"/>
  <c r="AH33" i="21" s="1"/>
  <c r="AT33" i="21" s="1"/>
  <c r="BF33" i="21" s="1"/>
  <c r="BR33" i="21" s="1"/>
  <c r="W33" i="21"/>
  <c r="AI33" i="21" s="1"/>
  <c r="AU33" i="21" s="1"/>
  <c r="BG33" i="21" s="1"/>
  <c r="BS33" i="21" s="1"/>
  <c r="X33" i="21"/>
  <c r="AJ33" i="21" s="1"/>
  <c r="AV33" i="21" s="1"/>
  <c r="BH33" i="21" s="1"/>
  <c r="BT33" i="21" s="1"/>
  <c r="Y33" i="21"/>
  <c r="AK33" i="21" s="1"/>
  <c r="AW33" i="21" s="1"/>
  <c r="BI33" i="21" s="1"/>
  <c r="BU33" i="21" s="1"/>
  <c r="Z33" i="21"/>
  <c r="AL33" i="21" s="1"/>
  <c r="AX33" i="21" s="1"/>
  <c r="BJ33" i="21" s="1"/>
  <c r="BV33" i="21" s="1"/>
  <c r="AA33" i="21"/>
  <c r="AM33" i="21" s="1"/>
  <c r="AY33" i="21" s="1"/>
  <c r="BK33" i="21" s="1"/>
  <c r="BW33" i="21" s="1"/>
  <c r="AB33" i="21"/>
  <c r="AN33" i="21" s="1"/>
  <c r="AZ33" i="21" s="1"/>
  <c r="BL33" i="21" s="1"/>
  <c r="BX33" i="21" s="1"/>
  <c r="AC33" i="21"/>
  <c r="AO33" i="21" s="1"/>
  <c r="BA33" i="21" s="1"/>
  <c r="BM33" i="21" s="1"/>
  <c r="BY33" i="21" s="1"/>
  <c r="R33" i="21"/>
  <c r="AD33" i="21" s="1"/>
  <c r="AP33" i="21" s="1"/>
  <c r="BB33" i="21" s="1"/>
  <c r="BN33" i="21" s="1"/>
  <c r="Q128" i="12"/>
  <c r="CO128" i="12" s="1"/>
  <c r="Q127" i="12"/>
  <c r="CO127" i="12" s="1"/>
  <c r="S131" i="12"/>
  <c r="B131" i="12"/>
  <c r="S130" i="12"/>
  <c r="B130" i="12"/>
  <c r="R129" i="12"/>
  <c r="G34" i="21"/>
  <c r="G47" i="21" s="1"/>
  <c r="H34" i="21"/>
  <c r="H47" i="21" s="1"/>
  <c r="I34" i="21"/>
  <c r="I47" i="21" s="1"/>
  <c r="J34" i="21"/>
  <c r="J47" i="21" s="1"/>
  <c r="K34" i="21"/>
  <c r="K47" i="21" s="1"/>
  <c r="L34" i="21"/>
  <c r="L47" i="21" s="1"/>
  <c r="M34" i="21"/>
  <c r="M47" i="21" s="1"/>
  <c r="N34" i="21"/>
  <c r="N47" i="21" s="1"/>
  <c r="O34" i="21"/>
  <c r="O47" i="21" s="1"/>
  <c r="P34" i="21"/>
  <c r="P47" i="21" s="1"/>
  <c r="Q34" i="21"/>
  <c r="Q47" i="21" s="1"/>
  <c r="R34" i="21"/>
  <c r="R47" i="21" s="1"/>
  <c r="S34" i="21"/>
  <c r="S47" i="21" s="1"/>
  <c r="T34" i="21"/>
  <c r="T47" i="21" s="1"/>
  <c r="U34" i="21"/>
  <c r="U47" i="21" s="1"/>
  <c r="V34" i="21"/>
  <c r="V47" i="21" s="1"/>
  <c r="W34" i="21"/>
  <c r="W47" i="21" s="1"/>
  <c r="X34" i="21"/>
  <c r="X47" i="21" s="1"/>
  <c r="Y34" i="21"/>
  <c r="Y47" i="21" s="1"/>
  <c r="Z34" i="21"/>
  <c r="Z47" i="21" s="1"/>
  <c r="AA34" i="21"/>
  <c r="AA47" i="21" s="1"/>
  <c r="AB34" i="21"/>
  <c r="AB47" i="21" s="1"/>
  <c r="AC34" i="21"/>
  <c r="AC47" i="21" s="1"/>
  <c r="AD34" i="21"/>
  <c r="AD47" i="21" s="1"/>
  <c r="AE34" i="21"/>
  <c r="AE47" i="21" s="1"/>
  <c r="AF34" i="21"/>
  <c r="AF47" i="21" s="1"/>
  <c r="AG34" i="21"/>
  <c r="AG47" i="21" s="1"/>
  <c r="AH34" i="21"/>
  <c r="AH47" i="21" s="1"/>
  <c r="AI34" i="21"/>
  <c r="AI47" i="21" s="1"/>
  <c r="AJ34" i="21"/>
  <c r="AJ47" i="21" s="1"/>
  <c r="AK34" i="21"/>
  <c r="AK47" i="21" s="1"/>
  <c r="AL34" i="21"/>
  <c r="AL47" i="21" s="1"/>
  <c r="AM34" i="21"/>
  <c r="AM47" i="21" s="1"/>
  <c r="AN34" i="21"/>
  <c r="AN47" i="21" s="1"/>
  <c r="AO34" i="21"/>
  <c r="AO47" i="21" s="1"/>
  <c r="AP34" i="21"/>
  <c r="AP47" i="21" s="1"/>
  <c r="AQ34" i="21"/>
  <c r="AQ47" i="21" s="1"/>
  <c r="AR34" i="21"/>
  <c r="AR47" i="21" s="1"/>
  <c r="AS34" i="21"/>
  <c r="AS47" i="21" s="1"/>
  <c r="AT34" i="21"/>
  <c r="AT47" i="21" s="1"/>
  <c r="AU34" i="21"/>
  <c r="AU47" i="21" s="1"/>
  <c r="AV34" i="21"/>
  <c r="AV47" i="21" s="1"/>
  <c r="AW34" i="21"/>
  <c r="AW47" i="21" s="1"/>
  <c r="AX34" i="21"/>
  <c r="AX47" i="21" s="1"/>
  <c r="AY34" i="21"/>
  <c r="AY47" i="21" s="1"/>
  <c r="AZ34" i="21"/>
  <c r="AZ47" i="21" s="1"/>
  <c r="BA34" i="21"/>
  <c r="BA47" i="21" s="1"/>
  <c r="BB34" i="21"/>
  <c r="BB47" i="21" s="1"/>
  <c r="BC34" i="21"/>
  <c r="BC47" i="21" s="1"/>
  <c r="BD34" i="21"/>
  <c r="BD47" i="21" s="1"/>
  <c r="BE34" i="21"/>
  <c r="BE47" i="21" s="1"/>
  <c r="BF34" i="21"/>
  <c r="BF47" i="21" s="1"/>
  <c r="BG34" i="21"/>
  <c r="BG47" i="21" s="1"/>
  <c r="BH34" i="21"/>
  <c r="BH47" i="21" s="1"/>
  <c r="BI34" i="21"/>
  <c r="BI47" i="21" s="1"/>
  <c r="BJ34" i="21"/>
  <c r="BJ47" i="21" s="1"/>
  <c r="BK34" i="21"/>
  <c r="BK47" i="21" s="1"/>
  <c r="BL34" i="21"/>
  <c r="BL47" i="21" s="1"/>
  <c r="F34" i="21"/>
  <c r="F47" i="21" s="1"/>
  <c r="L55" i="21" l="1"/>
  <c r="CO126" i="12"/>
  <c r="T131" i="12"/>
  <c r="U131" i="12" s="1"/>
  <c r="V131" i="12" s="1"/>
  <c r="W131" i="12" s="1"/>
  <c r="X131" i="12" s="1"/>
  <c r="Y131" i="12" s="1"/>
  <c r="Z131" i="12" s="1"/>
  <c r="AA131" i="12" s="1"/>
  <c r="AB131" i="12" s="1"/>
  <c r="AC131" i="12" s="1"/>
  <c r="AD131" i="12" s="1"/>
  <c r="G42" i="21"/>
  <c r="H40" i="21"/>
  <c r="H42" i="21"/>
  <c r="M53" i="21"/>
  <c r="N55" i="21" s="1"/>
  <c r="S129" i="12"/>
  <c r="T130" i="12"/>
  <c r="N53" i="21" l="1"/>
  <c r="O53" i="21" s="1"/>
  <c r="P53" i="21" s="1"/>
  <c r="AE131" i="12"/>
  <c r="AF131" i="12" s="1"/>
  <c r="AG131" i="12" s="1"/>
  <c r="AH131" i="12" s="1"/>
  <c r="AI131" i="12" s="1"/>
  <c r="AJ131" i="12" s="1"/>
  <c r="AK131" i="12" s="1"/>
  <c r="AL131" i="12" s="1"/>
  <c r="AM131" i="12" s="1"/>
  <c r="AN131" i="12" s="1"/>
  <c r="AO131" i="12" s="1"/>
  <c r="AP131" i="12" s="1"/>
  <c r="I40" i="21"/>
  <c r="I42" i="21"/>
  <c r="P55" i="21"/>
  <c r="O55" i="21"/>
  <c r="U130" i="12"/>
  <c r="T129" i="12"/>
  <c r="AQ131" i="12" l="1"/>
  <c r="AR131" i="12" s="1"/>
  <c r="AS131" i="12" s="1"/>
  <c r="AT131" i="12" s="1"/>
  <c r="AU131" i="12" s="1"/>
  <c r="AV131" i="12" s="1"/>
  <c r="AW131" i="12" s="1"/>
  <c r="AX131" i="12" s="1"/>
  <c r="AY131" i="12" s="1"/>
  <c r="AZ131" i="12" s="1"/>
  <c r="BA131" i="12" s="1"/>
  <c r="BB131" i="12" s="1"/>
  <c r="J40" i="21"/>
  <c r="J42" i="21"/>
  <c r="Q55" i="21"/>
  <c r="Q53" i="21"/>
  <c r="U129" i="12"/>
  <c r="V130" i="12"/>
  <c r="BC131" i="12" l="1"/>
  <c r="BD131" i="12" s="1"/>
  <c r="BE131" i="12" s="1"/>
  <c r="BF131" i="12" s="1"/>
  <c r="BG131" i="12" s="1"/>
  <c r="BH131" i="12" s="1"/>
  <c r="BI131" i="12" s="1"/>
  <c r="BJ131" i="12" s="1"/>
  <c r="BK131" i="12" s="1"/>
  <c r="BL131" i="12" s="1"/>
  <c r="BM131" i="12" s="1"/>
  <c r="BN131" i="12" s="1"/>
  <c r="K40" i="21"/>
  <c r="K42" i="21"/>
  <c r="R55" i="21"/>
  <c r="R53" i="21"/>
  <c r="V129" i="12"/>
  <c r="W130" i="12"/>
  <c r="BO131" i="12" l="1"/>
  <c r="BP131" i="12" s="1"/>
  <c r="BQ131" i="12" s="1"/>
  <c r="BR131" i="12" s="1"/>
  <c r="BS131" i="12" s="1"/>
  <c r="BT131" i="12" s="1"/>
  <c r="BU131" i="12" s="1"/>
  <c r="BV131" i="12" s="1"/>
  <c r="BW131" i="12" s="1"/>
  <c r="BX131" i="12" s="1"/>
  <c r="BY131" i="12" s="1"/>
  <c r="BZ131" i="12" s="1"/>
  <c r="L40" i="21"/>
  <c r="L42" i="21"/>
  <c r="S53" i="21"/>
  <c r="S55" i="21"/>
  <c r="W129" i="12"/>
  <c r="X130" i="12"/>
  <c r="CA131" i="12" l="1"/>
  <c r="M42" i="21"/>
  <c r="M40" i="21"/>
  <c r="T53" i="21"/>
  <c r="T55" i="21"/>
  <c r="X129" i="12"/>
  <c r="Y130" i="12"/>
  <c r="CB131" i="12" l="1"/>
  <c r="N40" i="21"/>
  <c r="N42" i="21"/>
  <c r="U53" i="21"/>
  <c r="U55" i="21"/>
  <c r="Y129" i="12"/>
  <c r="Z130" i="12"/>
  <c r="CC131" i="12" l="1"/>
  <c r="O42" i="21"/>
  <c r="O40" i="21"/>
  <c r="V53" i="21"/>
  <c r="V55" i="21"/>
  <c r="AA130" i="12"/>
  <c r="Z129" i="12"/>
  <c r="CD131" i="12" l="1"/>
  <c r="P40" i="21"/>
  <c r="P42" i="21"/>
  <c r="W55" i="21"/>
  <c r="W53" i="21"/>
  <c r="AA129" i="12"/>
  <c r="AB130" i="12"/>
  <c r="CE131" i="12" l="1"/>
  <c r="Q42" i="21"/>
  <c r="Q40" i="21"/>
  <c r="X53" i="21"/>
  <c r="X55" i="21"/>
  <c r="AB129" i="12"/>
  <c r="AC130" i="12"/>
  <c r="AC129" i="12" s="1"/>
  <c r="CF131" i="12" l="1"/>
  <c r="R42" i="21"/>
  <c r="R40" i="21"/>
  <c r="Y53" i="21"/>
  <c r="Y55" i="21"/>
  <c r="CG131" i="12" l="1"/>
  <c r="S42" i="21"/>
  <c r="S40" i="21"/>
  <c r="Z53" i="21"/>
  <c r="Z55" i="21"/>
  <c r="CH131" i="12" l="1"/>
  <c r="T42" i="21"/>
  <c r="T40" i="21"/>
  <c r="AA53" i="21"/>
  <c r="AA55" i="21"/>
  <c r="CI131" i="12" l="1"/>
  <c r="U40" i="21"/>
  <c r="U42" i="21"/>
  <c r="AB53" i="21"/>
  <c r="AB55" i="21"/>
  <c r="CJ131" i="12" l="1"/>
  <c r="V42" i="21"/>
  <c r="V40" i="21"/>
  <c r="AC53" i="21"/>
  <c r="AC55" i="21"/>
  <c r="CK131" i="12" l="1"/>
  <c r="W42" i="21"/>
  <c r="W40" i="21"/>
  <c r="AD55" i="21"/>
  <c r="AD53" i="21"/>
  <c r="L12" i="22"/>
  <c r="M12" i="22" s="1"/>
  <c r="G14" i="22"/>
  <c r="H14" i="22"/>
  <c r="I14" i="22"/>
  <c r="J14" i="22"/>
  <c r="K14" i="22"/>
  <c r="F14" i="22"/>
  <c r="J25" i="22"/>
  <c r="I25" i="22" s="1"/>
  <c r="H25" i="22" s="1"/>
  <c r="G25" i="22" s="1"/>
  <c r="F25" i="22" s="1"/>
  <c r="L25" i="22"/>
  <c r="F24" i="22"/>
  <c r="R142" i="12"/>
  <c r="F27" i="22" s="1"/>
  <c r="K28" i="22"/>
  <c r="BX141" i="1"/>
  <c r="BW141" i="1"/>
  <c r="BV141" i="1"/>
  <c r="BU141" i="1"/>
  <c r="BT141"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X141" i="1"/>
  <c r="W141" i="1"/>
  <c r="V141" i="1"/>
  <c r="U141" i="1"/>
  <c r="T141" i="1"/>
  <c r="S141" i="1"/>
  <c r="R141" i="1"/>
  <c r="Q141" i="1"/>
  <c r="P141" i="1"/>
  <c r="O141" i="1"/>
  <c r="N141" i="1"/>
  <c r="M141" i="1"/>
  <c r="L141" i="1"/>
  <c r="K141" i="1"/>
  <c r="J141" i="1"/>
  <c r="I141" i="1"/>
  <c r="H141" i="1"/>
  <c r="G141" i="1"/>
  <c r="F141" i="1"/>
  <c r="CP137" i="1"/>
  <c r="CQ137" i="1" s="1"/>
  <c r="CR137" i="1" s="1"/>
  <c r="CS137" i="1" s="1"/>
  <c r="CT137" i="1" s="1"/>
  <c r="CU137" i="1" s="1"/>
  <c r="AB152" i="12"/>
  <c r="Y136" i="12"/>
  <c r="S144" i="12"/>
  <c r="T144" i="12" s="1"/>
  <c r="U144" i="12" s="1"/>
  <c r="V144" i="12" s="1"/>
  <c r="W144" i="12" s="1"/>
  <c r="X136" i="12"/>
  <c r="W136" i="12"/>
  <c r="V136" i="12"/>
  <c r="U136" i="12"/>
  <c r="T136" i="12"/>
  <c r="S136" i="12"/>
  <c r="R136" i="12"/>
  <c r="W151" i="12"/>
  <c r="V151" i="12"/>
  <c r="U151" i="12"/>
  <c r="T151" i="12"/>
  <c r="S151" i="12"/>
  <c r="R151" i="12"/>
  <c r="S146" i="12"/>
  <c r="T146" i="12"/>
  <c r="U146" i="12"/>
  <c r="V146" i="12"/>
  <c r="W146" i="12"/>
  <c r="R146" i="12"/>
  <c r="S142" i="12" l="1"/>
  <c r="T142" i="12" s="1"/>
  <c r="U142" i="12" s="1"/>
  <c r="V142" i="12" s="1"/>
  <c r="W142" i="12" s="1"/>
  <c r="X142" i="12" s="1"/>
  <c r="L27" i="22" s="1"/>
  <c r="M25" i="22"/>
  <c r="N25" i="22" s="1"/>
  <c r="X42" i="21"/>
  <c r="X40" i="21"/>
  <c r="AE53" i="21"/>
  <c r="AE55" i="21"/>
  <c r="Z136" i="12"/>
  <c r="Z141" i="1"/>
  <c r="Y141" i="1"/>
  <c r="I27" i="22"/>
  <c r="G27" i="22"/>
  <c r="H27" i="22"/>
  <c r="K27" i="22"/>
  <c r="K26" i="22" s="1"/>
  <c r="J27" i="22"/>
  <c r="Y142" i="12"/>
  <c r="R141" i="12"/>
  <c r="S145" i="12"/>
  <c r="S141" i="12" s="1"/>
  <c r="M27" i="22" l="1"/>
  <c r="Z142" i="12"/>
  <c r="AK152" i="12"/>
  <c r="AL152" i="12" s="1"/>
  <c r="AM152" i="12" s="1"/>
  <c r="Y42" i="21"/>
  <c r="Y40" i="21"/>
  <c r="AF55" i="21"/>
  <c r="AF53" i="21"/>
  <c r="AA141" i="1"/>
  <c r="O25" i="22"/>
  <c r="P25" i="22" s="1"/>
  <c r="T145" i="12"/>
  <c r="G24" i="22"/>
  <c r="AB137" i="12"/>
  <c r="AA136" i="12"/>
  <c r="Z40" i="21" l="1"/>
  <c r="Z42" i="21"/>
  <c r="AG55" i="21"/>
  <c r="AG53" i="21"/>
  <c r="Q25" i="22"/>
  <c r="AB141" i="1"/>
  <c r="U145" i="12"/>
  <c r="H24" i="22"/>
  <c r="T141" i="12"/>
  <c r="N27" i="22"/>
  <c r="AA142" i="12"/>
  <c r="AC137" i="12"/>
  <c r="AB136" i="12"/>
  <c r="AA40" i="21" l="1"/>
  <c r="AA42" i="21"/>
  <c r="AH53" i="21"/>
  <c r="AH55" i="21"/>
  <c r="AC141" i="1"/>
  <c r="R25" i="22"/>
  <c r="V145" i="12"/>
  <c r="I24" i="22"/>
  <c r="U141" i="12"/>
  <c r="AB142" i="12"/>
  <c r="AC142" i="12" s="1"/>
  <c r="O27" i="22"/>
  <c r="AC136" i="12"/>
  <c r="W19" i="14" s="1"/>
  <c r="AD137" i="12"/>
  <c r="Q27" i="22" l="1"/>
  <c r="CP142" i="12"/>
  <c r="AB42" i="21"/>
  <c r="AB40" i="21"/>
  <c r="AI55" i="21"/>
  <c r="AI53" i="21"/>
  <c r="AD141" i="1"/>
  <c r="W145" i="12"/>
  <c r="J24" i="22"/>
  <c r="V141" i="12"/>
  <c r="P27" i="22"/>
  <c r="AD142" i="12"/>
  <c r="AE137" i="12"/>
  <c r="AD136" i="12"/>
  <c r="X19" i="14" s="1"/>
  <c r="AC42" i="21" l="1"/>
  <c r="AC40" i="21"/>
  <c r="AJ53" i="21"/>
  <c r="AJ55" i="21"/>
  <c r="AE141" i="1"/>
  <c r="S25" i="22"/>
  <c r="X145" i="12"/>
  <c r="Y145" i="12" s="1"/>
  <c r="K24" i="22"/>
  <c r="W141" i="12"/>
  <c r="R27" i="22"/>
  <c r="AE136" i="12"/>
  <c r="Y19" i="14" s="1"/>
  <c r="AF137" i="12"/>
  <c r="AE142" i="12"/>
  <c r="S27" i="22" l="1"/>
  <c r="AF142" i="12"/>
  <c r="AD40" i="21"/>
  <c r="AD42" i="21"/>
  <c r="AK53" i="21"/>
  <c r="AK55" i="21"/>
  <c r="AF141" i="1"/>
  <c r="AG141" i="1"/>
  <c r="T25" i="22"/>
  <c r="U25" i="22" s="1"/>
  <c r="V25" i="22" s="1"/>
  <c r="W25" i="22" s="1"/>
  <c r="X25" i="22" s="1"/>
  <c r="Y25" i="22" s="1"/>
  <c r="Z25" i="22" s="1"/>
  <c r="AA25" i="22" s="1"/>
  <c r="AB25" i="22" s="1"/>
  <c r="AC25" i="22" s="1"/>
  <c r="AD25" i="22" s="1"/>
  <c r="AE25" i="22" s="1"/>
  <c r="AF25" i="22" s="1"/>
  <c r="AG25" i="22" s="1"/>
  <c r="AH25" i="22" s="1"/>
  <c r="AI25" i="22" s="1"/>
  <c r="AJ25" i="22" s="1"/>
  <c r="AK25" i="22" s="1"/>
  <c r="AL25" i="22" s="1"/>
  <c r="AM25" i="22" s="1"/>
  <c r="AN25" i="22" s="1"/>
  <c r="AO25" i="22" s="1"/>
  <c r="AP25" i="22" s="1"/>
  <c r="AQ25" i="22" s="1"/>
  <c r="AR25" i="22" s="1"/>
  <c r="AS25" i="22" s="1"/>
  <c r="AT25" i="22" s="1"/>
  <c r="AU25" i="22" s="1"/>
  <c r="AV25" i="22" s="1"/>
  <c r="AW25" i="22" s="1"/>
  <c r="AX25" i="22" s="1"/>
  <c r="AY25" i="22" s="1"/>
  <c r="AZ25" i="22" s="1"/>
  <c r="BA25" i="22" s="1"/>
  <c r="BB25" i="22" s="1"/>
  <c r="BC25" i="22" s="1"/>
  <c r="BD25" i="22" s="1"/>
  <c r="BE25" i="22" s="1"/>
  <c r="BF25" i="22" s="1"/>
  <c r="BG25" i="22" s="1"/>
  <c r="BH25" i="22" s="1"/>
  <c r="BI25" i="22" s="1"/>
  <c r="BJ25" i="22" s="1"/>
  <c r="BK25" i="22" s="1"/>
  <c r="BL25" i="22" s="1"/>
  <c r="BM25" i="22" s="1"/>
  <c r="BN25" i="22" s="1"/>
  <c r="BO25" i="22" s="1"/>
  <c r="BP25" i="22" s="1"/>
  <c r="BQ25" i="22" s="1"/>
  <c r="BR25" i="22" s="1"/>
  <c r="BS25" i="22" s="1"/>
  <c r="BT25" i="22" s="1"/>
  <c r="BU25" i="22" s="1"/>
  <c r="BV25" i="22" s="1"/>
  <c r="BW25" i="22" s="1"/>
  <c r="BX25" i="22" s="1"/>
  <c r="BY25" i="22" s="1"/>
  <c r="Z145" i="12"/>
  <c r="AF136" i="12"/>
  <c r="Z19" i="14" s="1"/>
  <c r="AE42" i="21" l="1"/>
  <c r="AE40" i="21"/>
  <c r="AL53" i="21"/>
  <c r="AL55" i="21"/>
  <c r="AA145" i="12"/>
  <c r="T27" i="22"/>
  <c r="AG142" i="12"/>
  <c r="AG136" i="12"/>
  <c r="AA19" i="14" s="1"/>
  <c r="AF42" i="21" l="1"/>
  <c r="AF40" i="21"/>
  <c r="AM53" i="21"/>
  <c r="AM55" i="21"/>
  <c r="AB145" i="12"/>
  <c r="U27" i="22"/>
  <c r="AH142" i="12"/>
  <c r="AH136" i="12"/>
  <c r="AB19" i="14" s="1"/>
  <c r="AG40" i="21" l="1"/>
  <c r="AG42" i="21"/>
  <c r="AN53" i="21"/>
  <c r="AN55" i="21"/>
  <c r="AC145" i="12"/>
  <c r="CP145" i="12" s="1"/>
  <c r="V27" i="22"/>
  <c r="AI142" i="12"/>
  <c r="AI136" i="12"/>
  <c r="AC19" i="14" s="1"/>
  <c r="AH40" i="21" l="1"/>
  <c r="AH42" i="21"/>
  <c r="AO53" i="21"/>
  <c r="AO55" i="21"/>
  <c r="AD145" i="12"/>
  <c r="W27" i="22"/>
  <c r="AJ136" i="12"/>
  <c r="AD19" i="14" s="1"/>
  <c r="AJ142" i="12"/>
  <c r="AI40" i="21" l="1"/>
  <c r="AI42" i="21"/>
  <c r="AP55" i="21"/>
  <c r="AP53" i="21"/>
  <c r="AE145" i="12"/>
  <c r="X27" i="22"/>
  <c r="AK136" i="12"/>
  <c r="AE19" i="14" s="1"/>
  <c r="AK142" i="12"/>
  <c r="AJ40" i="21" l="1"/>
  <c r="AJ42" i="21"/>
  <c r="AQ53" i="21"/>
  <c r="AQ55" i="21"/>
  <c r="AF145" i="12"/>
  <c r="Y27" i="22"/>
  <c r="AL142" i="12"/>
  <c r="Z27" i="22" s="1"/>
  <c r="AL136" i="12"/>
  <c r="AF19" i="14" s="1"/>
  <c r="AK42" i="21" l="1"/>
  <c r="AK40" i="21"/>
  <c r="AR53" i="21"/>
  <c r="AR55" i="21"/>
  <c r="AG145" i="12"/>
  <c r="AM142" i="12"/>
  <c r="AM136" i="12"/>
  <c r="AG19" i="14" s="1"/>
  <c r="AL42" i="21" l="1"/>
  <c r="AL40" i="21"/>
  <c r="AS55" i="21"/>
  <c r="AS53" i="21"/>
  <c r="AH145" i="12"/>
  <c r="AA27" i="22"/>
  <c r="AN136" i="12"/>
  <c r="AH19" i="14" s="1"/>
  <c r="AN142" i="12"/>
  <c r="AO142" i="12" s="1"/>
  <c r="AM42" i="21" l="1"/>
  <c r="AM40" i="21"/>
  <c r="AT53" i="21"/>
  <c r="AT55" i="21"/>
  <c r="AI145" i="12"/>
  <c r="AB27" i="22"/>
  <c r="AO136" i="12"/>
  <c r="AI19" i="14" s="1"/>
  <c r="CQ142" i="12"/>
  <c r="AN42" i="21" l="1"/>
  <c r="AN40" i="21"/>
  <c r="AU55" i="21"/>
  <c r="AU53" i="21"/>
  <c r="AJ145" i="12"/>
  <c r="AC27" i="22"/>
  <c r="AP136" i="12"/>
  <c r="AJ19" i="14" s="1"/>
  <c r="AP142" i="12"/>
  <c r="AO42" i="21" l="1"/>
  <c r="AO40" i="21"/>
  <c r="AV53" i="21"/>
  <c r="AV55" i="21"/>
  <c r="AK145" i="12"/>
  <c r="AD27" i="22"/>
  <c r="AQ136" i="12"/>
  <c r="AK19" i="14" s="1"/>
  <c r="AQ142" i="12"/>
  <c r="AP40" i="21" l="1"/>
  <c r="AP42" i="21"/>
  <c r="AW53" i="21"/>
  <c r="AW55" i="21"/>
  <c r="AL145" i="12"/>
  <c r="AE27" i="22"/>
  <c r="AR136" i="12"/>
  <c r="AL19" i="14" s="1"/>
  <c r="AR142" i="12"/>
  <c r="AQ40" i="21" l="1"/>
  <c r="AQ42" i="21"/>
  <c r="AX53" i="21"/>
  <c r="AX55" i="21"/>
  <c r="AM145" i="12"/>
  <c r="AF27" i="22"/>
  <c r="AS136" i="12"/>
  <c r="AM19" i="14" s="1"/>
  <c r="AS142" i="12"/>
  <c r="AR42" i="21" l="1"/>
  <c r="AR40" i="21"/>
  <c r="AY53" i="21"/>
  <c r="AY55" i="21"/>
  <c r="AN145" i="12"/>
  <c r="AG27" i="22"/>
  <c r="AT142" i="12"/>
  <c r="AH27" i="22" s="1"/>
  <c r="AT136" i="12"/>
  <c r="AN19" i="14" s="1"/>
  <c r="AS40" i="21" l="1"/>
  <c r="AS42" i="21"/>
  <c r="AZ53" i="21"/>
  <c r="AZ55" i="21"/>
  <c r="AO145" i="12"/>
  <c r="CQ145" i="12" s="1"/>
  <c r="AU142" i="12"/>
  <c r="AU136" i="12"/>
  <c r="AO19" i="14" s="1"/>
  <c r="AT40" i="21" l="1"/>
  <c r="AT42" i="21"/>
  <c r="BA53" i="21"/>
  <c r="BA55" i="21"/>
  <c r="AP145" i="12"/>
  <c r="AI27" i="22"/>
  <c r="AV136" i="12"/>
  <c r="AP19" i="14" s="1"/>
  <c r="AV142" i="12"/>
  <c r="AU40" i="21" l="1"/>
  <c r="AU42" i="21"/>
  <c r="BB53" i="21"/>
  <c r="BB55" i="21"/>
  <c r="AQ145" i="12"/>
  <c r="AJ27" i="22"/>
  <c r="AW136" i="12"/>
  <c r="AQ19" i="14" s="1"/>
  <c r="AW142" i="12"/>
  <c r="AV40" i="21" l="1"/>
  <c r="AV42" i="21"/>
  <c r="BC55" i="21"/>
  <c r="BC53" i="21"/>
  <c r="AR145" i="12"/>
  <c r="AK27" i="22"/>
  <c r="AX142" i="12"/>
  <c r="AL27" i="22" s="1"/>
  <c r="AX136" i="12"/>
  <c r="AR19" i="14" s="1"/>
  <c r="AW42" i="21" l="1"/>
  <c r="AW40" i="21"/>
  <c r="BD55" i="21"/>
  <c r="BD53" i="21"/>
  <c r="AS145" i="12"/>
  <c r="AY142" i="12"/>
  <c r="AY136" i="12"/>
  <c r="AS19" i="14" s="1"/>
  <c r="AX40" i="21" l="1"/>
  <c r="AX42" i="21"/>
  <c r="BE55" i="21"/>
  <c r="BE53" i="21"/>
  <c r="AT145" i="12"/>
  <c r="AM27" i="22"/>
  <c r="AZ142" i="12"/>
  <c r="AZ136" i="12"/>
  <c r="AT19" i="14" s="1"/>
  <c r="BA142" i="12" l="1"/>
  <c r="AY42" i="21"/>
  <c r="AY40" i="21"/>
  <c r="BF53" i="21"/>
  <c r="BF55" i="21"/>
  <c r="AU145" i="12"/>
  <c r="AN27" i="22"/>
  <c r="BA136" i="12"/>
  <c r="AU19" i="14" s="1"/>
  <c r="AO27" i="22" l="1"/>
  <c r="CR142" i="12"/>
  <c r="BB142" i="12"/>
  <c r="AP27" i="22" s="1"/>
  <c r="AZ40" i="21"/>
  <c r="AZ42" i="21"/>
  <c r="BG53" i="21"/>
  <c r="BG55" i="21"/>
  <c r="AV145" i="12"/>
  <c r="BB136" i="12"/>
  <c r="AV19" i="14" s="1"/>
  <c r="BC142" i="12" l="1"/>
  <c r="AQ27" i="22" s="1"/>
  <c r="BA42" i="21"/>
  <c r="BA40" i="21"/>
  <c r="BH53" i="21"/>
  <c r="BH55" i="21"/>
  <c r="AW145" i="12"/>
  <c r="BC136" i="12"/>
  <c r="AW19" i="14" s="1"/>
  <c r="BD142" i="12" l="1"/>
  <c r="AR27" i="22" s="1"/>
  <c r="BB40" i="21"/>
  <c r="BB42" i="21"/>
  <c r="BI53" i="21"/>
  <c r="BI55" i="21"/>
  <c r="AX145" i="12"/>
  <c r="BD136" i="12"/>
  <c r="AX19" i="14" s="1"/>
  <c r="BE142" i="12" l="1"/>
  <c r="AS27" i="22" s="1"/>
  <c r="BC42" i="21"/>
  <c r="BC40" i="21"/>
  <c r="BJ53" i="21"/>
  <c r="BJ55" i="21"/>
  <c r="AY145" i="12"/>
  <c r="BE136" i="12"/>
  <c r="AY19" i="14" s="1"/>
  <c r="BF142" i="12" l="1"/>
  <c r="AT27" i="22" s="1"/>
  <c r="BD40" i="21"/>
  <c r="BD42" i="21"/>
  <c r="BK53" i="21"/>
  <c r="BK55" i="21"/>
  <c r="AZ145" i="12"/>
  <c r="BF136" i="12"/>
  <c r="AZ19" i="14" s="1"/>
  <c r="BL53" i="21" l="1"/>
  <c r="BL55" i="21"/>
  <c r="BG142" i="12"/>
  <c r="AU27" i="22" s="1"/>
  <c r="BE42" i="21"/>
  <c r="BE40" i="21"/>
  <c r="BA145" i="12"/>
  <c r="CR145" i="12" s="1"/>
  <c r="BG136" i="12"/>
  <c r="BA19" i="14" s="1"/>
  <c r="BM55" i="21" l="1"/>
  <c r="BM53" i="21"/>
  <c r="BH142" i="12"/>
  <c r="AV27" i="22" s="1"/>
  <c r="BF42" i="21"/>
  <c r="BF40" i="21"/>
  <c r="BB145" i="12"/>
  <c r="BH136" i="12"/>
  <c r="BB19" i="14" s="1"/>
  <c r="BN55" i="21" l="1"/>
  <c r="BN53" i="21"/>
  <c r="BI142" i="12"/>
  <c r="AW27" i="22" s="1"/>
  <c r="BG40" i="21"/>
  <c r="BG42" i="21"/>
  <c r="BC145" i="12"/>
  <c r="BI136" i="12"/>
  <c r="BC19" i="14" s="1"/>
  <c r="BO55" i="21" l="1"/>
  <c r="BO53" i="21"/>
  <c r="BJ142" i="12"/>
  <c r="AX27" i="22" s="1"/>
  <c r="BH42" i="21"/>
  <c r="BH40" i="21"/>
  <c r="BD145" i="12"/>
  <c r="BJ136" i="12"/>
  <c r="BD19" i="14" s="1"/>
  <c r="BP55" i="21" l="1"/>
  <c r="BP53" i="21"/>
  <c r="BI42" i="21"/>
  <c r="BI40" i="21"/>
  <c r="BE145" i="12"/>
  <c r="BK136" i="12"/>
  <c r="BE19" i="14" s="1"/>
  <c r="BK142" i="12"/>
  <c r="AY27" i="22" s="1"/>
  <c r="BQ55" i="21" l="1"/>
  <c r="BQ53" i="21"/>
  <c r="BJ42" i="21"/>
  <c r="BJ40" i="21"/>
  <c r="BF145" i="12"/>
  <c r="BL142" i="12"/>
  <c r="BL136" i="12"/>
  <c r="BF19" i="14" s="1"/>
  <c r="BR53" i="21" l="1"/>
  <c r="BR55" i="21"/>
  <c r="BK42" i="21"/>
  <c r="BK40" i="21"/>
  <c r="BG145" i="12"/>
  <c r="AZ27" i="22"/>
  <c r="BM136" i="12"/>
  <c r="BG19" i="14" s="1"/>
  <c r="BM142" i="12"/>
  <c r="BL40" i="21" l="1"/>
  <c r="BL42" i="21"/>
  <c r="BS53" i="21"/>
  <c r="BS55" i="21"/>
  <c r="CT142" i="12"/>
  <c r="CU142" i="12"/>
  <c r="BA27" i="22"/>
  <c r="CS142" i="12"/>
  <c r="BH145" i="12"/>
  <c r="BN142" i="12"/>
  <c r="BN136" i="12"/>
  <c r="BH19" i="14" s="1"/>
  <c r="BT53" i="21" l="1"/>
  <c r="BT55" i="21"/>
  <c r="BM40" i="21"/>
  <c r="BM42" i="21"/>
  <c r="BI145" i="12"/>
  <c r="BB27" i="22"/>
  <c r="BO136" i="12"/>
  <c r="BI19" i="14" s="1"/>
  <c r="BO142" i="12"/>
  <c r="BC27" i="22" s="1"/>
  <c r="BN42" i="21" l="1"/>
  <c r="BN40" i="21"/>
  <c r="BU53" i="21"/>
  <c r="BU55" i="21"/>
  <c r="BJ145" i="12"/>
  <c r="BP142" i="12"/>
  <c r="BP136" i="12"/>
  <c r="BJ19" i="14" s="1"/>
  <c r="BV55" i="21" l="1"/>
  <c r="BV53" i="21"/>
  <c r="BO42" i="21"/>
  <c r="BO40" i="21"/>
  <c r="BK145" i="12"/>
  <c r="BD27" i="22"/>
  <c r="BQ142" i="12"/>
  <c r="BQ136" i="12"/>
  <c r="BK19" i="14" s="1"/>
  <c r="BW53" i="21" l="1"/>
  <c r="BW55" i="21"/>
  <c r="BP42" i="21"/>
  <c r="BP40" i="21"/>
  <c r="BL145" i="12"/>
  <c r="BE27" i="22"/>
  <c r="BR142" i="12"/>
  <c r="BR136" i="12"/>
  <c r="BL19" i="14" s="1"/>
  <c r="BQ42" i="21" l="1"/>
  <c r="BQ40" i="21"/>
  <c r="BX55" i="21"/>
  <c r="BX53" i="21"/>
  <c r="BM145" i="12"/>
  <c r="BF27" i="22"/>
  <c r="BS136" i="12"/>
  <c r="BM19" i="14" s="1"/>
  <c r="BS142" i="12"/>
  <c r="BG27" i="22" s="1"/>
  <c r="BY55" i="21" l="1"/>
  <c r="BY53" i="21"/>
  <c r="BR40" i="21"/>
  <c r="BR42" i="21"/>
  <c r="CS145" i="12"/>
  <c r="CT145" i="12"/>
  <c r="CU145" i="12"/>
  <c r="BN145" i="12"/>
  <c r="BT142" i="12"/>
  <c r="BT136" i="12"/>
  <c r="BN19" i="14" s="1"/>
  <c r="BS42" i="21" l="1"/>
  <c r="BS40" i="21"/>
  <c r="BO145" i="12"/>
  <c r="BH27" i="22"/>
  <c r="BU142" i="12"/>
  <c r="BU136" i="12"/>
  <c r="BO19" i="14" s="1"/>
  <c r="BT40" i="21" l="1"/>
  <c r="BT42" i="21"/>
  <c r="BP145" i="12"/>
  <c r="BI27" i="22"/>
  <c r="BV142" i="12"/>
  <c r="BV136" i="12"/>
  <c r="BP19" i="14" s="1"/>
  <c r="BU40" i="21" l="1"/>
  <c r="BU42" i="21"/>
  <c r="BQ145" i="12"/>
  <c r="BJ27" i="22"/>
  <c r="BW136" i="12"/>
  <c r="BQ19" i="14" s="1"/>
  <c r="BW142" i="12"/>
  <c r="BK27" i="22" s="1"/>
  <c r="BV42" i="21" l="1"/>
  <c r="BV40" i="21"/>
  <c r="BR145" i="12"/>
  <c r="BX142" i="12"/>
  <c r="BY142" i="12" s="1"/>
  <c r="BM27" i="22" s="1"/>
  <c r="BX136" i="12"/>
  <c r="BR19" i="14" s="1"/>
  <c r="BW42" i="21" l="1"/>
  <c r="BW40" i="21"/>
  <c r="BZ142" i="12"/>
  <c r="BN27" i="22" s="1"/>
  <c r="BS145" i="12"/>
  <c r="BL27" i="22"/>
  <c r="BX40" i="21" l="1"/>
  <c r="BX42" i="21"/>
  <c r="CA142" i="12"/>
  <c r="BO27" i="22" s="1"/>
  <c r="BT145" i="12"/>
  <c r="BY42" i="21" l="1"/>
  <c r="BY40" i="21"/>
  <c r="CB142" i="12"/>
  <c r="BP27" i="22" s="1"/>
  <c r="BU145" i="12"/>
  <c r="CC142" i="12" l="1"/>
  <c r="BQ27" i="22" s="1"/>
  <c r="BV145" i="12"/>
  <c r="CD142" i="12" l="1"/>
  <c r="BR27" i="22" s="1"/>
  <c r="BW145" i="12"/>
  <c r="Y160" i="12"/>
  <c r="AG160" i="12"/>
  <c r="AG147" i="12" s="1"/>
  <c r="AJ160" i="12"/>
  <c r="AJ147" i="12" s="1"/>
  <c r="AP160" i="12"/>
  <c r="AP147" i="12" s="1"/>
  <c r="X160" i="12"/>
  <c r="AQ159" i="12"/>
  <c r="AR159" i="12" s="1"/>
  <c r="AS159" i="12" s="1"/>
  <c r="AT159" i="12" s="1"/>
  <c r="AU159" i="12" s="1"/>
  <c r="AV159" i="12" s="1"/>
  <c r="AW159" i="12" s="1"/>
  <c r="AX159" i="12" s="1"/>
  <c r="AY159" i="12" s="1"/>
  <c r="AZ159" i="12" s="1"/>
  <c r="BA159" i="12" s="1"/>
  <c r="BB159" i="12" s="1"/>
  <c r="BC159" i="12" s="1"/>
  <c r="BD159" i="12" s="1"/>
  <c r="BE159" i="12" s="1"/>
  <c r="BF159" i="12" s="1"/>
  <c r="BG159" i="12" s="1"/>
  <c r="BH159" i="12" s="1"/>
  <c r="BI159" i="12" s="1"/>
  <c r="BJ159" i="12" s="1"/>
  <c r="BK159" i="12" s="1"/>
  <c r="BL159" i="12" s="1"/>
  <c r="BM159" i="12" s="1"/>
  <c r="BN159" i="12" s="1"/>
  <c r="BO159" i="12" s="1"/>
  <c r="BP159" i="12" s="1"/>
  <c r="BQ159" i="12" s="1"/>
  <c r="BR159" i="12" s="1"/>
  <c r="BS159" i="12" s="1"/>
  <c r="BT159" i="12" s="1"/>
  <c r="BU159" i="12" s="1"/>
  <c r="BV159" i="12" s="1"/>
  <c r="BW159" i="12" s="1"/>
  <c r="BX159" i="12" s="1"/>
  <c r="BY159" i="12" s="1"/>
  <c r="AK159" i="12"/>
  <c r="AL159" i="12" s="1"/>
  <c r="AM159" i="12" s="1"/>
  <c r="AN159" i="12" s="1"/>
  <c r="AO159" i="12" s="1"/>
  <c r="AO160" i="12" s="1"/>
  <c r="AO147" i="12" s="1"/>
  <c r="AA159" i="12"/>
  <c r="BZ159" i="12" l="1"/>
  <c r="BY160" i="12"/>
  <c r="BY147" i="12" s="1"/>
  <c r="CE142" i="12"/>
  <c r="BS27" i="22" s="1"/>
  <c r="AE160" i="12"/>
  <c r="AE147" i="12" s="1"/>
  <c r="Z147" i="12"/>
  <c r="AN160" i="12"/>
  <c r="AN147" i="12" s="1"/>
  <c r="AM160" i="12"/>
  <c r="AM147" i="12" s="1"/>
  <c r="AB159" i="12"/>
  <c r="AA160" i="12"/>
  <c r="AA147" i="12" s="1"/>
  <c r="BC160" i="12"/>
  <c r="BC147" i="12" s="1"/>
  <c r="BN160" i="12"/>
  <c r="BN147" i="12" s="1"/>
  <c r="BA160" i="12"/>
  <c r="BA147" i="12" s="1"/>
  <c r="AZ160" i="12"/>
  <c r="AZ147" i="12" s="1"/>
  <c r="BW160" i="12"/>
  <c r="BW147" i="12" s="1"/>
  <c r="BV160" i="12"/>
  <c r="BV147" i="12" s="1"/>
  <c r="BK160" i="12"/>
  <c r="BK147" i="12" s="1"/>
  <c r="AW160" i="12"/>
  <c r="AW147" i="12" s="1"/>
  <c r="BT160" i="12"/>
  <c r="BT147" i="12" s="1"/>
  <c r="AI160" i="12"/>
  <c r="AI147" i="12" s="1"/>
  <c r="BM160" i="12"/>
  <c r="BM147" i="12" s="1"/>
  <c r="BJ160" i="12"/>
  <c r="BJ147" i="12" s="1"/>
  <c r="AL160" i="12"/>
  <c r="AL147" i="12" s="1"/>
  <c r="BU160" i="12"/>
  <c r="BU147" i="12" s="1"/>
  <c r="AK160" i="12"/>
  <c r="AK147" i="12" s="1"/>
  <c r="AV160" i="12"/>
  <c r="AV147" i="12" s="1"/>
  <c r="AU160" i="12"/>
  <c r="AU147" i="12" s="1"/>
  <c r="BR160" i="12"/>
  <c r="BR147" i="12" s="1"/>
  <c r="BF160" i="12"/>
  <c r="BF147" i="12" s="1"/>
  <c r="AT160" i="12"/>
  <c r="AT147" i="12" s="1"/>
  <c r="AH160" i="12"/>
  <c r="AH147" i="12" s="1"/>
  <c r="BO160" i="12"/>
  <c r="BO147" i="12" s="1"/>
  <c r="BB160" i="12"/>
  <c r="BB147" i="12" s="1"/>
  <c r="BL160" i="12"/>
  <c r="BL147" i="12" s="1"/>
  <c r="AY160" i="12"/>
  <c r="AY147" i="12" s="1"/>
  <c r="BI160" i="12"/>
  <c r="BI147" i="12" s="1"/>
  <c r="BG160" i="12"/>
  <c r="BG147" i="12" s="1"/>
  <c r="BQ160" i="12"/>
  <c r="BQ147" i="12" s="1"/>
  <c r="BE160" i="12"/>
  <c r="BE147" i="12" s="1"/>
  <c r="AS160" i="12"/>
  <c r="AS147" i="12" s="1"/>
  <c r="AQ160" i="12"/>
  <c r="AQ147" i="12" s="1"/>
  <c r="BX160" i="12"/>
  <c r="BX147" i="12" s="1"/>
  <c r="AX160" i="12"/>
  <c r="AX147" i="12" s="1"/>
  <c r="BH160" i="12"/>
  <c r="BH147" i="12" s="1"/>
  <c r="BS160" i="12"/>
  <c r="BS147" i="12" s="1"/>
  <c r="BP160" i="12"/>
  <c r="BP147" i="12" s="1"/>
  <c r="BD160" i="12"/>
  <c r="BD147" i="12" s="1"/>
  <c r="AR160" i="12"/>
  <c r="AR147" i="12" s="1"/>
  <c r="AF160" i="12"/>
  <c r="AF147" i="12" s="1"/>
  <c r="BX145" i="12"/>
  <c r="BY145" i="12" s="1"/>
  <c r="BZ145" i="12" s="1"/>
  <c r="CA145" i="12" s="1"/>
  <c r="CB145" i="12" s="1"/>
  <c r="CC145" i="12" s="1"/>
  <c r="CD145" i="12" s="1"/>
  <c r="CE145" i="12" s="1"/>
  <c r="CF145" i="12" s="1"/>
  <c r="CG145" i="12" s="1"/>
  <c r="CH145" i="12" s="1"/>
  <c r="CI145" i="12" s="1"/>
  <c r="CJ145" i="12" s="1"/>
  <c r="CK145" i="12" s="1"/>
  <c r="G167" i="12"/>
  <c r="H167" i="12"/>
  <c r="I167" i="12"/>
  <c r="J167" i="12"/>
  <c r="K167" i="12"/>
  <c r="L167" i="12"/>
  <c r="M167" i="12"/>
  <c r="N167" i="12"/>
  <c r="O167" i="12"/>
  <c r="P167" i="12"/>
  <c r="Q167" i="12"/>
  <c r="R167" i="12"/>
  <c r="S167" i="12"/>
  <c r="T167" i="12"/>
  <c r="U167" i="12"/>
  <c r="V167" i="12"/>
  <c r="W167" i="12"/>
  <c r="X167" i="12"/>
  <c r="Y167" i="12"/>
  <c r="Z167" i="12"/>
  <c r="AA167" i="12"/>
  <c r="AB167" i="12"/>
  <c r="AC167" i="12"/>
  <c r="AD167" i="12"/>
  <c r="AE167" i="12"/>
  <c r="AF167" i="12"/>
  <c r="AG167" i="12"/>
  <c r="AH167" i="12"/>
  <c r="AI167" i="12"/>
  <c r="AJ167" i="12"/>
  <c r="AK167" i="12"/>
  <c r="AL167" i="12"/>
  <c r="AM167" i="12"/>
  <c r="AN167" i="12"/>
  <c r="AO167" i="12"/>
  <c r="AP167" i="12"/>
  <c r="AQ167" i="12"/>
  <c r="AR167" i="12"/>
  <c r="AS167" i="12"/>
  <c r="AT167" i="12"/>
  <c r="AU167" i="12"/>
  <c r="AV167" i="12"/>
  <c r="AW167" i="12"/>
  <c r="AX167" i="12"/>
  <c r="AY167" i="12"/>
  <c r="AZ167" i="12"/>
  <c r="BA167" i="12"/>
  <c r="BB167" i="12"/>
  <c r="BC167" i="12"/>
  <c r="BD167" i="12"/>
  <c r="BE167" i="12"/>
  <c r="BF167" i="12"/>
  <c r="BG167" i="12"/>
  <c r="BH167" i="12"/>
  <c r="BI167" i="12"/>
  <c r="BJ167" i="12"/>
  <c r="BK167" i="12"/>
  <c r="BL167" i="12"/>
  <c r="BM167" i="12"/>
  <c r="BN167" i="12"/>
  <c r="BO167" i="12"/>
  <c r="BP167" i="12"/>
  <c r="BQ167" i="12"/>
  <c r="BR167" i="12"/>
  <c r="BS167" i="12"/>
  <c r="BT167" i="12"/>
  <c r="BU167" i="12"/>
  <c r="BV167" i="12"/>
  <c r="BW167" i="12"/>
  <c r="BX167" i="12"/>
  <c r="F167" i="12"/>
  <c r="CP135" i="12"/>
  <c r="CQ135" i="12" s="1"/>
  <c r="CR135" i="12" s="1"/>
  <c r="CS135" i="12" s="1"/>
  <c r="CT135" i="12" s="1"/>
  <c r="CU135" i="12" s="1"/>
  <c r="CP163" i="12"/>
  <c r="CQ163" i="12" s="1"/>
  <c r="CR163" i="12" s="1"/>
  <c r="CS163" i="12" s="1"/>
  <c r="CT163" i="12" s="1"/>
  <c r="CU163" i="12" s="1"/>
  <c r="CF142" i="12" l="1"/>
  <c r="BT27" i="22" s="1"/>
  <c r="BZ160" i="12"/>
  <c r="BZ147" i="12" s="1"/>
  <c r="CA159" i="12"/>
  <c r="AC159" i="12"/>
  <c r="AB160" i="12"/>
  <c r="AB147" i="12" s="1"/>
  <c r="E35" i="12"/>
  <c r="G20" i="22"/>
  <c r="H20" i="22" s="1"/>
  <c r="I20" i="22" s="1"/>
  <c r="J20" i="22" s="1"/>
  <c r="K20" i="22" s="1"/>
  <c r="L20" i="22" s="1"/>
  <c r="M20" i="22" s="1"/>
  <c r="N20" i="22" s="1"/>
  <c r="O20" i="22" s="1"/>
  <c r="P20" i="22" s="1"/>
  <c r="Q20" i="22" s="1"/>
  <c r="R20" i="22" s="1"/>
  <c r="S20" i="22" s="1"/>
  <c r="T20" i="22" s="1"/>
  <c r="U20" i="22" s="1"/>
  <c r="V20" i="22" s="1"/>
  <c r="W20" i="22" s="1"/>
  <c r="X20" i="22" s="1"/>
  <c r="Y20" i="22" s="1"/>
  <c r="Z20" i="22" s="1"/>
  <c r="AA20" i="22" s="1"/>
  <c r="AB20" i="22" s="1"/>
  <c r="AC20" i="22" s="1"/>
  <c r="AD20" i="22" s="1"/>
  <c r="AE20" i="22" s="1"/>
  <c r="AF20" i="22" s="1"/>
  <c r="AG20" i="22" s="1"/>
  <c r="AH20" i="22" s="1"/>
  <c r="AI20" i="22" s="1"/>
  <c r="AJ20" i="22" s="1"/>
  <c r="AK20" i="22" s="1"/>
  <c r="AL20" i="22" s="1"/>
  <c r="AM20" i="22" s="1"/>
  <c r="AN20" i="22" s="1"/>
  <c r="AO20" i="22" s="1"/>
  <c r="AP20" i="22" s="1"/>
  <c r="AQ20" i="22" s="1"/>
  <c r="AR20" i="22" s="1"/>
  <c r="AS20" i="22" s="1"/>
  <c r="AT20" i="22" s="1"/>
  <c r="AU20" i="22" s="1"/>
  <c r="AV20" i="22" s="1"/>
  <c r="AW20" i="22" s="1"/>
  <c r="AX20" i="22" s="1"/>
  <c r="AY20" i="22" s="1"/>
  <c r="AZ20" i="22" s="1"/>
  <c r="BA20" i="22" s="1"/>
  <c r="BB20" i="22" s="1"/>
  <c r="BC20" i="22" s="1"/>
  <c r="BD20" i="22" s="1"/>
  <c r="BE20" i="22" s="1"/>
  <c r="BF20" i="22" s="1"/>
  <c r="BG20" i="22" s="1"/>
  <c r="BH20" i="22" s="1"/>
  <c r="BI20" i="22" s="1"/>
  <c r="BJ20" i="22" s="1"/>
  <c r="BK20" i="22" s="1"/>
  <c r="BL20" i="22" s="1"/>
  <c r="BM20" i="22" s="1"/>
  <c r="G19" i="22"/>
  <c r="H19" i="22" s="1"/>
  <c r="I19" i="22" s="1"/>
  <c r="J19" i="22" s="1"/>
  <c r="K19" i="22" s="1"/>
  <c r="L19" i="22" s="1"/>
  <c r="M19" i="22" s="1"/>
  <c r="N19" i="22" s="1"/>
  <c r="O19" i="22" s="1"/>
  <c r="P19" i="22" s="1"/>
  <c r="Q19" i="22" s="1"/>
  <c r="R19" i="22" s="1"/>
  <c r="S19" i="22" s="1"/>
  <c r="T19" i="22" s="1"/>
  <c r="U19" i="22" s="1"/>
  <c r="V19" i="22" s="1"/>
  <c r="W19" i="22" s="1"/>
  <c r="X19" i="22" s="1"/>
  <c r="Y19" i="22" s="1"/>
  <c r="Z19" i="22" s="1"/>
  <c r="AA19" i="22" s="1"/>
  <c r="AB19" i="22" s="1"/>
  <c r="AC19" i="22" s="1"/>
  <c r="AD19" i="22" s="1"/>
  <c r="AE19" i="22" s="1"/>
  <c r="AF19" i="22" s="1"/>
  <c r="AG19" i="22" s="1"/>
  <c r="AH19" i="22" s="1"/>
  <c r="AI19" i="22" s="1"/>
  <c r="AJ19" i="22" s="1"/>
  <c r="AK19" i="22" s="1"/>
  <c r="AL19" i="22" s="1"/>
  <c r="AM19" i="22" s="1"/>
  <c r="AN19" i="22" s="1"/>
  <c r="AO19" i="22" s="1"/>
  <c r="AP19" i="22" s="1"/>
  <c r="AQ19" i="22" s="1"/>
  <c r="AR19" i="22" s="1"/>
  <c r="AS19" i="22" s="1"/>
  <c r="AT19" i="22" s="1"/>
  <c r="AU19" i="22" s="1"/>
  <c r="AV19" i="22" s="1"/>
  <c r="AW19" i="22" s="1"/>
  <c r="AX19" i="22" s="1"/>
  <c r="AY19" i="22" s="1"/>
  <c r="AZ19" i="22" s="1"/>
  <c r="BA19" i="22" s="1"/>
  <c r="BB19" i="22" s="1"/>
  <c r="BC19" i="22" s="1"/>
  <c r="BD19" i="22" s="1"/>
  <c r="BE19" i="22" s="1"/>
  <c r="BF19" i="22" s="1"/>
  <c r="BG19" i="22" s="1"/>
  <c r="BH19" i="22" s="1"/>
  <c r="BI19" i="22" s="1"/>
  <c r="BJ19" i="22" s="1"/>
  <c r="BK19" i="22" s="1"/>
  <c r="BL19" i="22" s="1"/>
  <c r="BM19" i="22" s="1"/>
  <c r="BN19" i="22" s="1"/>
  <c r="BO19" i="22" s="1"/>
  <c r="BP19" i="22" s="1"/>
  <c r="BQ19" i="22" s="1"/>
  <c r="BR19" i="22" s="1"/>
  <c r="BS19" i="22" s="1"/>
  <c r="BT19" i="22" s="1"/>
  <c r="BU19" i="22" s="1"/>
  <c r="BV19" i="22" s="1"/>
  <c r="BW19" i="22" s="1"/>
  <c r="BX19" i="22" s="1"/>
  <c r="BY19" i="22" s="1"/>
  <c r="BN20" i="22" l="1"/>
  <c r="CB159" i="12"/>
  <c r="CA160" i="12"/>
  <c r="CA147" i="12" s="1"/>
  <c r="CG142" i="12"/>
  <c r="BU27" i="22" s="1"/>
  <c r="AD160" i="12"/>
  <c r="AD147" i="12" s="1"/>
  <c r="AC160" i="12"/>
  <c r="AC147" i="12" s="1"/>
  <c r="W45" i="8"/>
  <c r="V45" i="8"/>
  <c r="U45" i="8"/>
  <c r="T45" i="8"/>
  <c r="R128" i="1"/>
  <c r="R129" i="1"/>
  <c r="R16" i="1" s="1"/>
  <c r="S131" i="1"/>
  <c r="T131" i="1" s="1"/>
  <c r="U131" i="1" s="1"/>
  <c r="V131" i="1" s="1"/>
  <c r="W131" i="1" s="1"/>
  <c r="Y131" i="1" s="1"/>
  <c r="S130" i="1"/>
  <c r="T130" i="1" s="1"/>
  <c r="U130" i="1" s="1"/>
  <c r="V130" i="1" s="1"/>
  <c r="W130" i="1" s="1"/>
  <c r="Y130" i="1" s="1"/>
  <c r="Z130" i="1" s="1"/>
  <c r="AA130" i="1" s="1"/>
  <c r="AB130" i="1" s="1"/>
  <c r="AC130" i="1" s="1"/>
  <c r="B131" i="1"/>
  <c r="B130" i="1"/>
  <c r="BO20" i="22" l="1"/>
  <c r="CH142" i="12"/>
  <c r="BV27" i="22" s="1"/>
  <c r="CB160" i="12"/>
  <c r="CB147" i="12" s="1"/>
  <c r="CC159" i="12"/>
  <c r="R128" i="12"/>
  <c r="F8" i="22"/>
  <c r="W129" i="1"/>
  <c r="W16" i="1" s="1"/>
  <c r="V129" i="1"/>
  <c r="V16" i="1" s="1"/>
  <c r="T129" i="1"/>
  <c r="T16" i="1" s="1"/>
  <c r="S128" i="1"/>
  <c r="S128" i="12" s="1"/>
  <c r="U129" i="1"/>
  <c r="U16" i="1" s="1"/>
  <c r="S129" i="1"/>
  <c r="S16" i="1" s="1"/>
  <c r="X129" i="1"/>
  <c r="X16" i="1" s="1"/>
  <c r="Z131" i="1"/>
  <c r="Y129" i="1"/>
  <c r="Y16" i="1" s="1"/>
  <c r="BP20" i="22" l="1"/>
  <c r="CD159" i="12"/>
  <c r="CC160" i="12"/>
  <c r="CC147" i="12" s="1"/>
  <c r="CI142" i="12"/>
  <c r="BW27" i="22" s="1"/>
  <c r="T128" i="1"/>
  <c r="T128" i="12" s="1"/>
  <c r="G8" i="22"/>
  <c r="AA131" i="1"/>
  <c r="Z129" i="1"/>
  <c r="Z16" i="1" s="1"/>
  <c r="BQ20" i="22" l="1"/>
  <c r="CJ142" i="12"/>
  <c r="BX27" i="22" s="1"/>
  <c r="CD160" i="12"/>
  <c r="CD147" i="12" s="1"/>
  <c r="CE159" i="12"/>
  <c r="U128" i="1"/>
  <c r="U128" i="12" s="1"/>
  <c r="H8" i="22"/>
  <c r="AB131" i="1"/>
  <c r="AA129" i="1"/>
  <c r="AA16" i="1" s="1"/>
  <c r="BR20" i="22" l="1"/>
  <c r="CE160" i="12"/>
  <c r="CE147" i="12" s="1"/>
  <c r="CF159" i="12"/>
  <c r="CK142" i="12"/>
  <c r="BY27" i="22" s="1"/>
  <c r="V128" i="1"/>
  <c r="V128" i="12" s="1"/>
  <c r="I8" i="22"/>
  <c r="AC131" i="1"/>
  <c r="AB129" i="1"/>
  <c r="AB16" i="1" s="1"/>
  <c r="BS20" i="22" l="1"/>
  <c r="CG159" i="12"/>
  <c r="CF160" i="12"/>
  <c r="CF147" i="12" s="1"/>
  <c r="W128" i="1"/>
  <c r="J8" i="22"/>
  <c r="AC129" i="1"/>
  <c r="AC16" i="1" s="1"/>
  <c r="AD131" i="1"/>
  <c r="BT20" i="22" l="1"/>
  <c r="CH159" i="12"/>
  <c r="CG160" i="12"/>
  <c r="CG147" i="12" s="1"/>
  <c r="W128" i="12"/>
  <c r="X128" i="1"/>
  <c r="Y128" i="1" s="1"/>
  <c r="Z128" i="1" s="1"/>
  <c r="AA128" i="1" s="1"/>
  <c r="AB128" i="1" s="1"/>
  <c r="AC128" i="1" s="1"/>
  <c r="AD128" i="1" s="1"/>
  <c r="K8" i="22"/>
  <c r="AE131" i="1"/>
  <c r="BU20" i="22" l="1"/>
  <c r="CH160" i="12"/>
  <c r="CH147" i="12" s="1"/>
  <c r="CI159" i="12"/>
  <c r="AE128" i="1"/>
  <c r="X128" i="12"/>
  <c r="L8" i="22" s="1"/>
  <c r="AF131" i="1"/>
  <c r="BV20" i="22" l="1"/>
  <c r="CJ159" i="12"/>
  <c r="CI160" i="12"/>
  <c r="CI147" i="12" s="1"/>
  <c r="AF128" i="1"/>
  <c r="Y128" i="12"/>
  <c r="M8" i="22" s="1"/>
  <c r="AG131" i="1"/>
  <c r="BW20" i="22" l="1"/>
  <c r="CK159" i="12"/>
  <c r="CK160" i="12" s="1"/>
  <c r="CK147" i="12" s="1"/>
  <c r="CJ160" i="12"/>
  <c r="CJ147" i="12" s="1"/>
  <c r="AG128" i="1"/>
  <c r="Z128" i="12"/>
  <c r="N8" i="22" s="1"/>
  <c r="AH131" i="1"/>
  <c r="BX20" i="22" l="1"/>
  <c r="AH128" i="1"/>
  <c r="AA128" i="12"/>
  <c r="O8" i="22" s="1"/>
  <c r="AI131" i="1"/>
  <c r="BY20" i="22" l="1"/>
  <c r="AI128" i="1"/>
  <c r="AB128" i="12"/>
  <c r="P8" i="22" s="1"/>
  <c r="AJ131" i="1"/>
  <c r="AJ128" i="1" l="1"/>
  <c r="AC128" i="12"/>
  <c r="AK131" i="1"/>
  <c r="R127" i="1"/>
  <c r="AK128" i="1" l="1"/>
  <c r="Q8" i="22"/>
  <c r="CP128" i="12"/>
  <c r="R127" i="12"/>
  <c r="R126" i="12" s="1"/>
  <c r="F6" i="22"/>
  <c r="AD128" i="12"/>
  <c r="R8" i="22" s="1"/>
  <c r="AL131" i="1"/>
  <c r="R126" i="1"/>
  <c r="S127" i="1"/>
  <c r="AL128" i="1" l="1"/>
  <c r="G6" i="22"/>
  <c r="S127" i="12"/>
  <c r="S126" i="12" s="1"/>
  <c r="AE128" i="12"/>
  <c r="S8" i="22" s="1"/>
  <c r="AM131" i="1"/>
  <c r="T127" i="1"/>
  <c r="S126" i="1"/>
  <c r="AM128" i="1" l="1"/>
  <c r="H6" i="22"/>
  <c r="T127" i="12"/>
  <c r="T126" i="12" s="1"/>
  <c r="AF128" i="12"/>
  <c r="T8" i="22" s="1"/>
  <c r="AN131" i="1"/>
  <c r="U127" i="1"/>
  <c r="T126" i="1"/>
  <c r="AN128" i="1" l="1"/>
  <c r="I6" i="22"/>
  <c r="U127" i="12"/>
  <c r="U126" i="12" s="1"/>
  <c r="AG128" i="12"/>
  <c r="U8" i="22" s="1"/>
  <c r="AO131" i="1"/>
  <c r="V127" i="1"/>
  <c r="U126" i="1"/>
  <c r="AO128" i="1" l="1"/>
  <c r="AH128" i="12"/>
  <c r="V8" i="22" s="1"/>
  <c r="J6" i="22"/>
  <c r="V127" i="12"/>
  <c r="V126" i="12" s="1"/>
  <c r="AP131" i="1"/>
  <c r="W127" i="1"/>
  <c r="W127" i="12" s="1"/>
  <c r="W126" i="12" s="1"/>
  <c r="V126" i="1"/>
  <c r="AP128" i="1" l="1"/>
  <c r="AI128" i="12"/>
  <c r="W8" i="22" s="1"/>
  <c r="W126" i="1"/>
  <c r="K6" i="22"/>
  <c r="AQ131" i="1"/>
  <c r="AQ128" i="1" l="1"/>
  <c r="AJ128" i="12"/>
  <c r="X8" i="22" s="1"/>
  <c r="AR131" i="1"/>
  <c r="AR128" i="1" l="1"/>
  <c r="AK128" i="12"/>
  <c r="Y8" i="22" s="1"/>
  <c r="AS131" i="1"/>
  <c r="AS128" i="1" l="1"/>
  <c r="AL128" i="12"/>
  <c r="Z8" i="22" s="1"/>
  <c r="AT131" i="1"/>
  <c r="AT128" i="1" l="1"/>
  <c r="AM128" i="12"/>
  <c r="AA8" i="22" s="1"/>
  <c r="AU131" i="1"/>
  <c r="AU128" i="1" l="1"/>
  <c r="AN128" i="12"/>
  <c r="AB8" i="22" s="1"/>
  <c r="AV131" i="1"/>
  <c r="AV128" i="1" l="1"/>
  <c r="AO128" i="12"/>
  <c r="AW131" i="1"/>
  <c r="AW128" i="1" l="1"/>
  <c r="AC8" i="22"/>
  <c r="CQ128" i="12"/>
  <c r="AP128" i="12"/>
  <c r="AD8" i="22" s="1"/>
  <c r="AX131" i="1"/>
  <c r="AX128" i="1" l="1"/>
  <c r="AQ128" i="12"/>
  <c r="AE8" i="22" s="1"/>
  <c r="AY131" i="1"/>
  <c r="AY128" i="1" l="1"/>
  <c r="AR128" i="12"/>
  <c r="AF8" i="22" s="1"/>
  <c r="AZ131" i="1"/>
  <c r="AZ128" i="1" l="1"/>
  <c r="AS128" i="12"/>
  <c r="AG8" i="22" s="1"/>
  <c r="BA131" i="1"/>
  <c r="BA128" i="1" l="1"/>
  <c r="AT128" i="12"/>
  <c r="AH8" i="22" s="1"/>
  <c r="BB131" i="1"/>
  <c r="BB128" i="1" l="1"/>
  <c r="AU128" i="12"/>
  <c r="AI8" i="22" s="1"/>
  <c r="BC131" i="1"/>
  <c r="BC128" i="1" l="1"/>
  <c r="AV128" i="12"/>
  <c r="AJ8" i="22" s="1"/>
  <c r="BD131" i="1"/>
  <c r="BD128" i="1" l="1"/>
  <c r="AW128" i="12"/>
  <c r="AK8" i="22" s="1"/>
  <c r="BE131" i="1"/>
  <c r="BE128" i="1" l="1"/>
  <c r="AX128" i="12"/>
  <c r="AL8" i="22" s="1"/>
  <c r="BF131" i="1"/>
  <c r="BF128" i="1" l="1"/>
  <c r="AY128" i="12"/>
  <c r="AM8" i="22" s="1"/>
  <c r="BG131" i="1"/>
  <c r="BG128" i="1" l="1"/>
  <c r="AZ128" i="12"/>
  <c r="AN8" i="22" s="1"/>
  <c r="BH131" i="1"/>
  <c r="BH128" i="1" l="1"/>
  <c r="BA128" i="12"/>
  <c r="BI131" i="1"/>
  <c r="BI128" i="1" l="1"/>
  <c r="AO8" i="22"/>
  <c r="CR128" i="12"/>
  <c r="BB128" i="12"/>
  <c r="AP8" i="22" s="1"/>
  <c r="BJ131" i="1"/>
  <c r="BJ128" i="1" l="1"/>
  <c r="BC128" i="12"/>
  <c r="AQ8" i="22" s="1"/>
  <c r="BK131" i="1"/>
  <c r="BK128" i="1" l="1"/>
  <c r="BD128" i="12"/>
  <c r="AR8" i="22" s="1"/>
  <c r="BL131" i="1"/>
  <c r="BL128" i="1" l="1"/>
  <c r="BE128" i="12"/>
  <c r="AS8" i="22" s="1"/>
  <c r="BM131" i="1"/>
  <c r="BM128" i="1" l="1"/>
  <c r="BF128" i="12"/>
  <c r="AT8" i="22" s="1"/>
  <c r="BN131" i="1"/>
  <c r="BN128" i="1" l="1"/>
  <c r="BG128" i="12"/>
  <c r="AU8" i="22" s="1"/>
  <c r="BO131" i="1"/>
  <c r="BO128" i="1" l="1"/>
  <c r="BH128" i="12"/>
  <c r="AV8" i="22" s="1"/>
  <c r="BP131" i="1"/>
  <c r="BP128" i="1" l="1"/>
  <c r="BI128" i="12"/>
  <c r="AW8" i="22" s="1"/>
  <c r="BQ131" i="1"/>
  <c r="BQ128" i="1" l="1"/>
  <c r="BJ128" i="12"/>
  <c r="AX8" i="22" s="1"/>
  <c r="BR131" i="1"/>
  <c r="BR128" i="1" l="1"/>
  <c r="BK128" i="12"/>
  <c r="AY8" i="22" s="1"/>
  <c r="BS131" i="1"/>
  <c r="BS128" i="1" l="1"/>
  <c r="BL128" i="12"/>
  <c r="AZ8" i="22" s="1"/>
  <c r="BT131" i="1"/>
  <c r="BT128" i="1" l="1"/>
  <c r="BM128" i="12"/>
  <c r="BU131" i="1"/>
  <c r="CT128" i="12" l="1"/>
  <c r="CU128" i="12"/>
  <c r="BU128" i="1"/>
  <c r="BA8" i="22"/>
  <c r="CS128" i="12"/>
  <c r="BN128" i="12"/>
  <c r="BB8" i="22" s="1"/>
  <c r="BV131" i="1"/>
  <c r="BV128" i="1" l="1"/>
  <c r="BO128" i="12"/>
  <c r="BC8" i="22" s="1"/>
  <c r="BW131" i="1"/>
  <c r="BW128" i="1" l="1"/>
  <c r="BP128" i="12"/>
  <c r="BD8" i="22" s="1"/>
  <c r="BX131" i="1"/>
  <c r="BY131" i="1" s="1"/>
  <c r="BZ131" i="1" l="1"/>
  <c r="CA131" i="1" s="1"/>
  <c r="CB131" i="1" s="1"/>
  <c r="CC131" i="1" s="1"/>
  <c r="CD131" i="1" s="1"/>
  <c r="CE131" i="1" s="1"/>
  <c r="CF131" i="1" s="1"/>
  <c r="CG131" i="1" s="1"/>
  <c r="CH131" i="1" s="1"/>
  <c r="CI131" i="1" s="1"/>
  <c r="CJ131" i="1" s="1"/>
  <c r="CK131" i="1" s="1"/>
  <c r="BX128" i="1"/>
  <c r="BY128" i="1" s="1"/>
  <c r="BQ128" i="12"/>
  <c r="BE8" i="22" s="1"/>
  <c r="BZ128" i="1" l="1"/>
  <c r="BY128" i="12"/>
  <c r="BM8" i="22" s="1"/>
  <c r="BR128" i="12"/>
  <c r="BF8" i="22" s="1"/>
  <c r="R67" i="12"/>
  <c r="S67" i="12"/>
  <c r="T67" i="12"/>
  <c r="U67" i="12"/>
  <c r="V67" i="12"/>
  <c r="W67" i="12"/>
  <c r="AQ35" i="11"/>
  <c r="AR35" i="11" s="1"/>
  <c r="AS35" i="11" s="1"/>
  <c r="AQ37" i="11"/>
  <c r="AR37" i="11" s="1"/>
  <c r="V78" i="1"/>
  <c r="U77" i="1"/>
  <c r="CA128" i="1" l="1"/>
  <c r="BZ128" i="12"/>
  <c r="BN8" i="22" s="1"/>
  <c r="BB37" i="11"/>
  <c r="BN37" i="11" s="1"/>
  <c r="BB35" i="11"/>
  <c r="BN35" i="11" s="1"/>
  <c r="BS128" i="12"/>
  <c r="BG8" i="22" s="1"/>
  <c r="AS37" i="11"/>
  <c r="AT35" i="11"/>
  <c r="K13" i="22"/>
  <c r="H5" i="22"/>
  <c r="G5" i="22"/>
  <c r="F5" i="22"/>
  <c r="AH3" i="22"/>
  <c r="BL3" i="22"/>
  <c r="BK3" i="22"/>
  <c r="BJ3" i="22"/>
  <c r="BI3" i="22"/>
  <c r="BH3" i="22"/>
  <c r="BG3" i="22"/>
  <c r="BF3" i="22"/>
  <c r="BE3" i="22"/>
  <c r="BD3" i="22"/>
  <c r="BC3" i="22"/>
  <c r="BB3" i="22"/>
  <c r="BA3" i="22"/>
  <c r="AZ3" i="22"/>
  <c r="AY3" i="22"/>
  <c r="AX3" i="22"/>
  <c r="AW3" i="22"/>
  <c r="AV3" i="22"/>
  <c r="AU3" i="22"/>
  <c r="AT3" i="22"/>
  <c r="AS3" i="22"/>
  <c r="AR3" i="22"/>
  <c r="AQ3" i="22"/>
  <c r="AP3" i="22"/>
  <c r="AO3" i="22"/>
  <c r="AN3" i="22"/>
  <c r="AM3" i="22"/>
  <c r="AL3" i="22"/>
  <c r="AK3" i="22"/>
  <c r="AJ3" i="22"/>
  <c r="AI3" i="22"/>
  <c r="AG3" i="22"/>
  <c r="AF3" i="22"/>
  <c r="AE3" i="22"/>
  <c r="AD3" i="22"/>
  <c r="AC3" i="22"/>
  <c r="AB3" i="22"/>
  <c r="AA3" i="22"/>
  <c r="Z3" i="22"/>
  <c r="Y3" i="22"/>
  <c r="X3" i="22"/>
  <c r="W3" i="22"/>
  <c r="V3" i="22"/>
  <c r="U3" i="22"/>
  <c r="T3" i="22"/>
  <c r="S3" i="22"/>
  <c r="R3" i="22"/>
  <c r="Q3" i="22"/>
  <c r="P3" i="22"/>
  <c r="O3" i="22"/>
  <c r="N3" i="22"/>
  <c r="M3" i="22"/>
  <c r="L3" i="22"/>
  <c r="K3" i="22"/>
  <c r="J3" i="22"/>
  <c r="I3" i="22"/>
  <c r="H3" i="22"/>
  <c r="G3" i="22"/>
  <c r="F3" i="22"/>
  <c r="BB19" i="21"/>
  <c r="AD19" i="21"/>
  <c r="H19" i="21"/>
  <c r="G19" i="21"/>
  <c r="BI19" i="21"/>
  <c r="BH19" i="21"/>
  <c r="BG19" i="21"/>
  <c r="BE19" i="21"/>
  <c r="AW19" i="21"/>
  <c r="AV19" i="21"/>
  <c r="AU19" i="21"/>
  <c r="AS19" i="21"/>
  <c r="AK19" i="21"/>
  <c r="AJ19" i="21"/>
  <c r="AI19" i="21"/>
  <c r="AG19" i="21"/>
  <c r="Y19" i="21"/>
  <c r="X19" i="21"/>
  <c r="W19" i="21"/>
  <c r="U19" i="21"/>
  <c r="M19" i="21"/>
  <c r="L19" i="21"/>
  <c r="K19" i="21"/>
  <c r="J19" i="21"/>
  <c r="I19" i="21"/>
  <c r="BL19" i="21"/>
  <c r="BK19" i="21"/>
  <c r="BF19" i="21"/>
  <c r="BD19" i="21"/>
  <c r="BC19" i="21"/>
  <c r="BA19" i="21"/>
  <c r="AZ19" i="21"/>
  <c r="AY19" i="21"/>
  <c r="AT19" i="21"/>
  <c r="AR19" i="21"/>
  <c r="AQ19" i="21"/>
  <c r="AP19" i="21"/>
  <c r="AO19" i="21"/>
  <c r="AN19" i="21"/>
  <c r="AM19" i="21"/>
  <c r="AH19" i="21"/>
  <c r="AF19" i="21"/>
  <c r="AE19" i="21"/>
  <c r="AC19" i="21"/>
  <c r="AB19" i="21"/>
  <c r="AA19" i="21"/>
  <c r="V19" i="21"/>
  <c r="T19" i="21"/>
  <c r="S19" i="21"/>
  <c r="R19" i="21"/>
  <c r="Q19" i="21"/>
  <c r="P19" i="21"/>
  <c r="O19" i="21"/>
  <c r="F19" i="21"/>
  <c r="K15" i="21"/>
  <c r="E5" i="21"/>
  <c r="CA3" i="21"/>
  <c r="AN2" i="21"/>
  <c r="BL2" i="21"/>
  <c r="BK2" i="21"/>
  <c r="BJ2" i="21"/>
  <c r="BI2" i="21"/>
  <c r="BH2" i="21"/>
  <c r="BG2" i="21"/>
  <c r="BF2" i="21"/>
  <c r="BE2" i="21"/>
  <c r="BD2" i="21"/>
  <c r="BC2" i="21"/>
  <c r="BB2" i="21"/>
  <c r="BA2" i="21"/>
  <c r="AZ2" i="21"/>
  <c r="AY2" i="21"/>
  <c r="AX2" i="21"/>
  <c r="AW2" i="21"/>
  <c r="AV2" i="21"/>
  <c r="AU2" i="21"/>
  <c r="AT2" i="21"/>
  <c r="AS2" i="21"/>
  <c r="AR2" i="21"/>
  <c r="AQ2" i="21"/>
  <c r="AP2" i="21"/>
  <c r="AO2" i="21"/>
  <c r="AM2" i="21"/>
  <c r="AL2" i="21"/>
  <c r="AK2" i="21"/>
  <c r="AJ2" i="21"/>
  <c r="AI2" i="21"/>
  <c r="AH2" i="21"/>
  <c r="AG2" i="21"/>
  <c r="AF2" i="21"/>
  <c r="AE2" i="21"/>
  <c r="AD2" i="21"/>
  <c r="AC2" i="21"/>
  <c r="AB2" i="21"/>
  <c r="AA2" i="21"/>
  <c r="Z2" i="21"/>
  <c r="Y2" i="21"/>
  <c r="X2" i="21"/>
  <c r="W2" i="21"/>
  <c r="V2" i="21"/>
  <c r="U2" i="21"/>
  <c r="T2" i="21"/>
  <c r="S2" i="21"/>
  <c r="R2" i="21"/>
  <c r="Q2" i="21"/>
  <c r="P2" i="21"/>
  <c r="O2" i="21"/>
  <c r="N2" i="21"/>
  <c r="M2" i="21"/>
  <c r="L2" i="21"/>
  <c r="K2" i="21"/>
  <c r="J2" i="21"/>
  <c r="I2" i="21"/>
  <c r="H2" i="21"/>
  <c r="G2" i="21"/>
  <c r="F2" i="21"/>
  <c r="S23" i="1"/>
  <c r="T23" i="1"/>
  <c r="U23" i="1"/>
  <c r="V23" i="1"/>
  <c r="W23" i="1"/>
  <c r="R23" i="1"/>
  <c r="R22" i="1"/>
  <c r="S22" i="1" s="1"/>
  <c r="T22" i="1" s="1"/>
  <c r="U22" i="1" s="1"/>
  <c r="V22" i="1" s="1"/>
  <c r="W22" i="1" s="1"/>
  <c r="S33" i="8"/>
  <c r="T33" i="8" s="1"/>
  <c r="U33" i="8" s="1"/>
  <c r="V33" i="8" s="1"/>
  <c r="W33" i="8" s="1"/>
  <c r="CB128" i="1" l="1"/>
  <c r="CA128" i="12"/>
  <c r="BO8" i="22" s="1"/>
  <c r="BT128" i="12"/>
  <c r="BH8" i="22" s="1"/>
  <c r="K21" i="21"/>
  <c r="AU35" i="11"/>
  <c r="AT37" i="11"/>
  <c r="I5" i="22"/>
  <c r="AX19" i="21"/>
  <c r="AL19" i="21"/>
  <c r="Z19" i="21"/>
  <c r="CA18" i="21"/>
  <c r="CA19" i="21" s="1"/>
  <c r="N19" i="21"/>
  <c r="CB3" i="21"/>
  <c r="BJ19" i="21"/>
  <c r="E21" i="21"/>
  <c r="CC128" i="1" l="1"/>
  <c r="CB128" i="12"/>
  <c r="BP8" i="22" s="1"/>
  <c r="BU128" i="12"/>
  <c r="BI8" i="22" s="1"/>
  <c r="AV35" i="11"/>
  <c r="AU37" i="11"/>
  <c r="J5" i="22"/>
  <c r="CB18" i="21"/>
  <c r="CB19" i="21" s="1"/>
  <c r="CC3" i="21"/>
  <c r="CD128" i="1" l="1"/>
  <c r="CC128" i="12"/>
  <c r="BV128" i="12"/>
  <c r="BJ8" i="22" s="1"/>
  <c r="AV37" i="11"/>
  <c r="AW35" i="11"/>
  <c r="K5" i="22"/>
  <c r="CC18" i="21"/>
  <c r="CC19" i="21" s="1"/>
  <c r="CD3" i="21"/>
  <c r="CE3" i="21" s="1"/>
  <c r="CF3" i="21" l="1"/>
  <c r="CF18" i="21" s="1"/>
  <c r="CF19" i="21" s="1"/>
  <c r="CE18" i="21"/>
  <c r="CE19" i="21" s="1"/>
  <c r="BQ8" i="22"/>
  <c r="CE128" i="1"/>
  <c r="CD128" i="12"/>
  <c r="BR8" i="22" s="1"/>
  <c r="BW128" i="12"/>
  <c r="BK8" i="22" s="1"/>
  <c r="AW37" i="11"/>
  <c r="AX35" i="11"/>
  <c r="CD18" i="21"/>
  <c r="CD19" i="21" s="1"/>
  <c r="CF128" i="1" l="1"/>
  <c r="CE128" i="12"/>
  <c r="BS8" i="22" s="1"/>
  <c r="BX128" i="12"/>
  <c r="BL8" i="22" s="1"/>
  <c r="AY35" i="11"/>
  <c r="AX37" i="11"/>
  <c r="CG128" i="1" l="1"/>
  <c r="CF128" i="12"/>
  <c r="BT8" i="22" s="1"/>
  <c r="AY37" i="11"/>
  <c r="AZ35" i="11"/>
  <c r="O12" i="13"/>
  <c r="P12" i="13"/>
  <c r="Q12" i="13"/>
  <c r="R12" i="13"/>
  <c r="S12" i="13"/>
  <c r="T12" i="13"/>
  <c r="U12" i="13"/>
  <c r="V12" i="13"/>
  <c r="W12" i="13"/>
  <c r="Y12" i="13"/>
  <c r="CT14" i="13"/>
  <c r="G109" i="12"/>
  <c r="H109" i="12"/>
  <c r="I109" i="12"/>
  <c r="J109" i="12"/>
  <c r="K109" i="12"/>
  <c r="L109" i="12"/>
  <c r="M109" i="12"/>
  <c r="N109" i="12"/>
  <c r="O109" i="12"/>
  <c r="P109" i="12"/>
  <c r="Q109" i="12"/>
  <c r="R109" i="12"/>
  <c r="S109" i="12"/>
  <c r="T109" i="12"/>
  <c r="U109" i="12"/>
  <c r="V109" i="12"/>
  <c r="W109" i="12"/>
  <c r="X109" i="12"/>
  <c r="Y109" i="12"/>
  <c r="Z109" i="12"/>
  <c r="AA109" i="12"/>
  <c r="AB109" i="12"/>
  <c r="AC109" i="12"/>
  <c r="F109" i="12"/>
  <c r="V118" i="1"/>
  <c r="AC118" i="1"/>
  <c r="AD118" i="1"/>
  <c r="U118" i="1"/>
  <c r="W95" i="1"/>
  <c r="V94" i="1"/>
  <c r="R87" i="12"/>
  <c r="X39" i="11"/>
  <c r="X45" i="11" s="1"/>
  <c r="Y39" i="11"/>
  <c r="Z39" i="11"/>
  <c r="AA39" i="11"/>
  <c r="AB39" i="11"/>
  <c r="AC39" i="11"/>
  <c r="AD39" i="11"/>
  <c r="T105" i="1"/>
  <c r="L109" i="1"/>
  <c r="CH128" i="1" l="1"/>
  <c r="CG128" i="12"/>
  <c r="BU8" i="22" s="1"/>
  <c r="BA35" i="11"/>
  <c r="AZ37" i="11"/>
  <c r="AF39" i="11"/>
  <c r="AE118" i="1"/>
  <c r="AE39" i="11"/>
  <c r="AE45" i="11" s="1"/>
  <c r="CI128" i="1" l="1"/>
  <c r="CH128" i="12"/>
  <c r="BV8" i="22" s="1"/>
  <c r="AE4" i="11"/>
  <c r="BA37" i="11"/>
  <c r="AF118" i="1"/>
  <c r="G20" i="1"/>
  <c r="H20" i="1"/>
  <c r="I20" i="1"/>
  <c r="J20" i="1"/>
  <c r="K20" i="1"/>
  <c r="L20" i="1"/>
  <c r="M20" i="1"/>
  <c r="N20" i="1"/>
  <c r="O20" i="1"/>
  <c r="Q20" i="1"/>
  <c r="F20" i="1"/>
  <c r="CJ128" i="1" l="1"/>
  <c r="CI128" i="12"/>
  <c r="BW8" i="22" s="1"/>
  <c r="AG118" i="1"/>
  <c r="J67" i="12"/>
  <c r="K67" i="12"/>
  <c r="L67" i="12"/>
  <c r="M67" i="12"/>
  <c r="N67" i="12"/>
  <c r="O67" i="12"/>
  <c r="P67" i="12"/>
  <c r="Q67" i="12"/>
  <c r="O88" i="1"/>
  <c r="I67" i="12"/>
  <c r="CK128" i="1" l="1"/>
  <c r="CK128" i="12" s="1"/>
  <c r="BY8" i="22" s="1"/>
  <c r="CJ128" i="12"/>
  <c r="BX8" i="22" s="1"/>
  <c r="AH118" i="1"/>
  <c r="P22" i="12"/>
  <c r="P20" i="1" l="1"/>
  <c r="X12" i="13"/>
  <c r="AI118" i="1"/>
  <c r="Q16" i="1"/>
  <c r="P16" i="1"/>
  <c r="O16" i="1"/>
  <c r="N16" i="1"/>
  <c r="K16" i="1"/>
  <c r="M16" i="1"/>
  <c r="L16" i="1"/>
  <c r="J16" i="1"/>
  <c r="I16" i="1"/>
  <c r="H16" i="1"/>
  <c r="G16" i="1"/>
  <c r="F16" i="1"/>
  <c r="AJ118" i="1" l="1"/>
  <c r="F91" i="12"/>
  <c r="G91" i="12"/>
  <c r="H91" i="12"/>
  <c r="I91" i="12"/>
  <c r="J91" i="12"/>
  <c r="K91" i="12"/>
  <c r="L91" i="12"/>
  <c r="M91" i="12"/>
  <c r="N91" i="12"/>
  <c r="O91" i="12"/>
  <c r="P91" i="12"/>
  <c r="Q91" i="12"/>
  <c r="AK118" i="1" l="1"/>
  <c r="F12" i="1"/>
  <c r="AL118" i="1" l="1"/>
  <c r="F24" i="12"/>
  <c r="N13" i="13" s="1"/>
  <c r="AM118" i="1" l="1"/>
  <c r="AM109" i="12"/>
  <c r="G12" i="1"/>
  <c r="H12" i="1"/>
  <c r="I12" i="1"/>
  <c r="J12" i="1"/>
  <c r="K12" i="1"/>
  <c r="L12" i="1"/>
  <c r="M12" i="1"/>
  <c r="N12" i="1"/>
  <c r="O12" i="1"/>
  <c r="P12" i="1"/>
  <c r="Q12" i="1"/>
  <c r="AD46" i="12"/>
  <c r="AP37" i="6"/>
  <c r="AQ37" i="6" s="1"/>
  <c r="AR37" i="6" s="1"/>
  <c r="AS37" i="6" s="1"/>
  <c r="AT37" i="6" s="1"/>
  <c r="AU37" i="6" s="1"/>
  <c r="AV37" i="6" s="1"/>
  <c r="AW37" i="6" s="1"/>
  <c r="AX37" i="6" s="1"/>
  <c r="AY37" i="6" s="1"/>
  <c r="AZ37" i="6" s="1"/>
  <c r="BA37" i="6" s="1"/>
  <c r="BB37" i="6" s="1"/>
  <c r="BC37" i="6" s="1"/>
  <c r="BD37" i="6" s="1"/>
  <c r="BE37" i="6" s="1"/>
  <c r="BF37" i="6" s="1"/>
  <c r="BG37" i="6" s="1"/>
  <c r="BH37" i="6" s="1"/>
  <c r="BI37" i="6" s="1"/>
  <c r="BJ37" i="6" s="1"/>
  <c r="BK37" i="6" s="1"/>
  <c r="BL37" i="6" s="1"/>
  <c r="BM37" i="6" s="1"/>
  <c r="BN37" i="6" s="1"/>
  <c r="BO37" i="6" s="1"/>
  <c r="BP37" i="6" s="1"/>
  <c r="BQ37" i="6" s="1"/>
  <c r="BR37" i="6" s="1"/>
  <c r="BS37" i="6" s="1"/>
  <c r="BT37" i="6" s="1"/>
  <c r="BU37" i="6" s="1"/>
  <c r="BV37" i="6" s="1"/>
  <c r="BW37" i="6" s="1"/>
  <c r="BX37" i="6" s="1"/>
  <c r="BY37" i="6" s="1"/>
  <c r="BZ37" i="6" s="1"/>
  <c r="CA37" i="6" s="1"/>
  <c r="CB37" i="6" s="1"/>
  <c r="CC37" i="6" s="1"/>
  <c r="CD37" i="6" s="1"/>
  <c r="CE37" i="6" s="1"/>
  <c r="CF37" i="6" s="1"/>
  <c r="CG37" i="6" s="1"/>
  <c r="CH37" i="6" s="1"/>
  <c r="CI37" i="6" s="1"/>
  <c r="CJ37" i="6" s="1"/>
  <c r="CK37" i="6" s="1"/>
  <c r="AP35" i="6"/>
  <c r="AQ35" i="6" s="1"/>
  <c r="AR35" i="6" s="1"/>
  <c r="AS35" i="6" s="1"/>
  <c r="AT35" i="6" s="1"/>
  <c r="AU35" i="6" s="1"/>
  <c r="AV35" i="6" s="1"/>
  <c r="AW35" i="6" s="1"/>
  <c r="AX35" i="6" s="1"/>
  <c r="AY35" i="6" s="1"/>
  <c r="AZ35" i="6" s="1"/>
  <c r="BA35" i="6" s="1"/>
  <c r="G105" i="12"/>
  <c r="H105" i="12"/>
  <c r="I105" i="12"/>
  <c r="J105" i="12"/>
  <c r="K105" i="12"/>
  <c r="L105" i="12"/>
  <c r="M105" i="12"/>
  <c r="N105" i="12"/>
  <c r="O105" i="12"/>
  <c r="P105" i="12"/>
  <c r="Q105" i="12"/>
  <c r="R105" i="12"/>
  <c r="S105" i="12"/>
  <c r="T105" i="12"/>
  <c r="U105" i="12"/>
  <c r="V105" i="12"/>
  <c r="W105" i="12"/>
  <c r="X105" i="12"/>
  <c r="Y105" i="12"/>
  <c r="Z105" i="12"/>
  <c r="AA105" i="12"/>
  <c r="AB105" i="12"/>
  <c r="AC105" i="12"/>
  <c r="F6" i="24"/>
  <c r="G6" i="24"/>
  <c r="AM105" i="12"/>
  <c r="N6" i="24" s="1"/>
  <c r="AN105" i="12"/>
  <c r="O6" i="24" s="1"/>
  <c r="AO105" i="12"/>
  <c r="P6" i="24" s="1"/>
  <c r="AP105" i="12"/>
  <c r="AQ105" i="12"/>
  <c r="AR105" i="12"/>
  <c r="AS105" i="12"/>
  <c r="AT105" i="12"/>
  <c r="AU105" i="12"/>
  <c r="AV105" i="12"/>
  <c r="AW105" i="12"/>
  <c r="AX105" i="12"/>
  <c r="AY105" i="12"/>
  <c r="AZ105" i="12"/>
  <c r="BA105" i="12"/>
  <c r="BB105" i="12"/>
  <c r="BC105" i="12"/>
  <c r="BD105" i="12"/>
  <c r="BE105" i="12"/>
  <c r="BF105" i="12"/>
  <c r="BG105" i="12"/>
  <c r="BH105" i="12"/>
  <c r="BI105" i="12"/>
  <c r="BJ105" i="12"/>
  <c r="BK105" i="12"/>
  <c r="BL105" i="12"/>
  <c r="BM105" i="12"/>
  <c r="BN105" i="12"/>
  <c r="BO105" i="12"/>
  <c r="BP105" i="12"/>
  <c r="BQ105" i="12"/>
  <c r="BR105" i="12"/>
  <c r="BS105" i="12"/>
  <c r="BT105" i="12"/>
  <c r="BU105" i="12"/>
  <c r="BV105" i="12"/>
  <c r="BW105" i="12"/>
  <c r="BX105" i="12"/>
  <c r="F105" i="12"/>
  <c r="C6" i="24" l="1"/>
  <c r="Q6" i="24" s="1"/>
  <c r="W118" i="1"/>
  <c r="AN109" i="12"/>
  <c r="AN118" i="1"/>
  <c r="X118" i="1" l="1"/>
  <c r="X127" i="1" s="1"/>
  <c r="AO118" i="1"/>
  <c r="AO109" i="12"/>
  <c r="M81" i="5"/>
  <c r="L46" i="5"/>
  <c r="M46" i="5"/>
  <c r="N46" i="5"/>
  <c r="N81" i="5" l="1"/>
  <c r="N92" i="12" s="1"/>
  <c r="M92" i="12"/>
  <c r="X127" i="12"/>
  <c r="X126" i="1"/>
  <c r="Y118" i="1"/>
  <c r="Y127" i="1" s="1"/>
  <c r="AQ117" i="1"/>
  <c r="AP109" i="12"/>
  <c r="AP118" i="1"/>
  <c r="AV70" i="1" l="1"/>
  <c r="Y127" i="12"/>
  <c r="Y126" i="1"/>
  <c r="L6" i="22"/>
  <c r="L5" i="22" s="1"/>
  <c r="X126" i="12"/>
  <c r="Z118" i="1"/>
  <c r="Z127" i="1" s="1"/>
  <c r="AR117" i="1"/>
  <c r="AQ109" i="12"/>
  <c r="AQ118" i="1"/>
  <c r="AW70" i="1" l="1"/>
  <c r="Z127" i="12"/>
  <c r="Z126" i="1"/>
  <c r="M6" i="22"/>
  <c r="M5" i="22" s="1"/>
  <c r="Y126" i="12"/>
  <c r="AX70" i="1"/>
  <c r="AB118" i="1"/>
  <c r="AA118" i="1"/>
  <c r="AA127" i="1" s="1"/>
  <c r="AS117" i="1"/>
  <c r="AR118" i="1"/>
  <c r="AR109" i="12"/>
  <c r="R23" i="12"/>
  <c r="S23" i="12" s="1"/>
  <c r="T23" i="12" s="1"/>
  <c r="U23" i="12" s="1"/>
  <c r="V23" i="12" s="1"/>
  <c r="W23" i="12" s="1"/>
  <c r="R24" i="12"/>
  <c r="S24" i="12"/>
  <c r="AA13" i="13" s="1"/>
  <c r="T24" i="12"/>
  <c r="AB13" i="13" s="1"/>
  <c r="U24" i="12"/>
  <c r="AC13" i="13" s="1"/>
  <c r="V24" i="12"/>
  <c r="AD13" i="13" s="1"/>
  <c r="W24" i="12"/>
  <c r="AE13" i="13" s="1"/>
  <c r="X24" i="12"/>
  <c r="AF13" i="13" s="1"/>
  <c r="Y24" i="12"/>
  <c r="AG13" i="13" s="1"/>
  <c r="Z24" i="12"/>
  <c r="AH13" i="13" s="1"/>
  <c r="AA24" i="12"/>
  <c r="AI13" i="13" s="1"/>
  <c r="AB24" i="12"/>
  <c r="AJ13" i="13" s="1"/>
  <c r="AC24" i="12"/>
  <c r="AK13" i="13" s="1"/>
  <c r="AD24" i="12"/>
  <c r="AL13" i="13" s="1"/>
  <c r="AE24" i="12"/>
  <c r="AM13" i="13" s="1"/>
  <c r="AF24" i="12"/>
  <c r="AN13" i="13" s="1"/>
  <c r="AG24" i="12"/>
  <c r="AO13" i="13" s="1"/>
  <c r="AH24" i="12"/>
  <c r="AP13" i="13" s="1"/>
  <c r="AI24" i="12"/>
  <c r="AQ13" i="13" s="1"/>
  <c r="AJ24" i="12"/>
  <c r="AR13" i="13" s="1"/>
  <c r="AK24" i="12"/>
  <c r="AS13" i="13" s="1"/>
  <c r="AL24" i="12"/>
  <c r="AT13" i="13" s="1"/>
  <c r="AM24" i="12"/>
  <c r="AU13" i="13" s="1"/>
  <c r="AN24" i="12"/>
  <c r="AV13" i="13" s="1"/>
  <c r="AO24" i="12"/>
  <c r="AW13" i="13" s="1"/>
  <c r="AP24" i="12"/>
  <c r="AX13" i="13" s="1"/>
  <c r="AQ24" i="12"/>
  <c r="AY13" i="13" s="1"/>
  <c r="AR24" i="12"/>
  <c r="AZ13" i="13" s="1"/>
  <c r="AS24" i="12"/>
  <c r="BA13" i="13" s="1"/>
  <c r="AT24" i="12"/>
  <c r="BB13" i="13" s="1"/>
  <c r="AU24" i="12"/>
  <c r="BC13" i="13" s="1"/>
  <c r="AV24" i="12"/>
  <c r="BD13" i="13" s="1"/>
  <c r="AW24" i="12"/>
  <c r="BE13" i="13" s="1"/>
  <c r="AX24" i="12"/>
  <c r="BF13" i="13" s="1"/>
  <c r="AY24" i="12"/>
  <c r="BG13" i="13" s="1"/>
  <c r="AZ24" i="12"/>
  <c r="BH13" i="13" s="1"/>
  <c r="BA24" i="12"/>
  <c r="BI13" i="13" s="1"/>
  <c r="BB24" i="12"/>
  <c r="BJ13" i="13" s="1"/>
  <c r="BC24" i="12"/>
  <c r="BK13" i="13" s="1"/>
  <c r="BD24" i="12"/>
  <c r="BL13" i="13" s="1"/>
  <c r="BE24" i="12"/>
  <c r="BM13" i="13" s="1"/>
  <c r="BF24" i="12"/>
  <c r="BN13" i="13" s="1"/>
  <c r="BG24" i="12"/>
  <c r="BO13" i="13" s="1"/>
  <c r="BH24" i="12"/>
  <c r="BP13" i="13" s="1"/>
  <c r="BI24" i="12"/>
  <c r="BQ13" i="13" s="1"/>
  <c r="BJ24" i="12"/>
  <c r="BR13" i="13" s="1"/>
  <c r="BK24" i="12"/>
  <c r="BS13" i="13" s="1"/>
  <c r="BL24" i="12"/>
  <c r="BT13" i="13" s="1"/>
  <c r="BM24" i="12"/>
  <c r="BU13" i="13" s="1"/>
  <c r="BN24" i="12"/>
  <c r="BV13" i="13" s="1"/>
  <c r="BO24" i="12"/>
  <c r="BW13" i="13" s="1"/>
  <c r="BP24" i="12"/>
  <c r="BX13" i="13" s="1"/>
  <c r="BQ24" i="12"/>
  <c r="BY13" i="13" s="1"/>
  <c r="BR24" i="12"/>
  <c r="BZ13" i="13" s="1"/>
  <c r="BS24" i="12"/>
  <c r="CA13" i="13" s="1"/>
  <c r="BT24" i="12"/>
  <c r="CB13" i="13" s="1"/>
  <c r="BU24" i="12"/>
  <c r="CC13" i="13" s="1"/>
  <c r="BV24" i="12"/>
  <c r="CD13" i="13" s="1"/>
  <c r="BW24" i="12"/>
  <c r="CE13" i="13" s="1"/>
  <c r="BX24" i="12"/>
  <c r="CF13" i="13" s="1"/>
  <c r="G67" i="12"/>
  <c r="H67" i="12"/>
  <c r="F67" i="12"/>
  <c r="K24" i="12"/>
  <c r="S13" i="13" s="1"/>
  <c r="J24" i="12"/>
  <c r="R13" i="13" s="1"/>
  <c r="AA127" i="12" l="1"/>
  <c r="AB127" i="1"/>
  <c r="AA126" i="1"/>
  <c r="N6" i="22"/>
  <c r="N5" i="22" s="1"/>
  <c r="Z126" i="12"/>
  <c r="AY70" i="1"/>
  <c r="Z13" i="13"/>
  <c r="AT117" i="1"/>
  <c r="AS118" i="1"/>
  <c r="AS109" i="12"/>
  <c r="H24" i="12"/>
  <c r="P13" i="13" s="1"/>
  <c r="I24" i="12"/>
  <c r="Q13" i="13" s="1"/>
  <c r="G24" i="12"/>
  <c r="O13" i="13" s="1"/>
  <c r="AB127" i="12" l="1"/>
  <c r="AB126" i="1"/>
  <c r="AC127" i="1"/>
  <c r="O6" i="22"/>
  <c r="O5" i="22" s="1"/>
  <c r="AA126" i="12"/>
  <c r="BA70" i="1"/>
  <c r="AZ70" i="1"/>
  <c r="AU117" i="1"/>
  <c r="AT118" i="1"/>
  <c r="AT109" i="12"/>
  <c r="L24" i="12"/>
  <c r="T13" i="13" s="1"/>
  <c r="AC127" i="12" l="1"/>
  <c r="AD130" i="1"/>
  <c r="AD129" i="1" s="1"/>
  <c r="AD16" i="1" s="1"/>
  <c r="AC126" i="1"/>
  <c r="P6" i="22"/>
  <c r="P5" i="22" s="1"/>
  <c r="AB126" i="12"/>
  <c r="AV117" i="1"/>
  <c r="AU118" i="1"/>
  <c r="AU109" i="12"/>
  <c r="M24" i="12"/>
  <c r="U13" i="13" s="1"/>
  <c r="AD127" i="1" l="1"/>
  <c r="AE130" i="1" s="1"/>
  <c r="AE129" i="1" s="1"/>
  <c r="AE16" i="1" s="1"/>
  <c r="AD130" i="12"/>
  <c r="AD129" i="12" s="1"/>
  <c r="CP127" i="12"/>
  <c r="CP126" i="12" s="1"/>
  <c r="Q6" i="22"/>
  <c r="Q5" i="22" s="1"/>
  <c r="AC126" i="12"/>
  <c r="AW117" i="1"/>
  <c r="AV118" i="1"/>
  <c r="AV109" i="12"/>
  <c r="N24" i="12"/>
  <c r="V13" i="13" s="1"/>
  <c r="AD126" i="1" l="1"/>
  <c r="AD127" i="12"/>
  <c r="AE130" i="12" s="1"/>
  <c r="AE129" i="12" s="1"/>
  <c r="AE127" i="1"/>
  <c r="AF130" i="1" s="1"/>
  <c r="AF129" i="1" s="1"/>
  <c r="AF16" i="1" s="1"/>
  <c r="AX117" i="1"/>
  <c r="AW118" i="1"/>
  <c r="AW109" i="12"/>
  <c r="O24" i="12"/>
  <c r="W13" i="13" s="1"/>
  <c r="AD126" i="12" l="1"/>
  <c r="R6" i="22"/>
  <c r="R5" i="22" s="1"/>
  <c r="AE126" i="1"/>
  <c r="AE127" i="12"/>
  <c r="AF130" i="12" s="1"/>
  <c r="AF129" i="12" s="1"/>
  <c r="AF127" i="1"/>
  <c r="AF127" i="12" s="1"/>
  <c r="AG130" i="12" s="1"/>
  <c r="AY117" i="1"/>
  <c r="AX118" i="1"/>
  <c r="AX109" i="12"/>
  <c r="Q24" i="12"/>
  <c r="Y13" i="13" s="1"/>
  <c r="P24" i="12"/>
  <c r="X13" i="13" s="1"/>
  <c r="AG130" i="1" l="1"/>
  <c r="AG129" i="1" s="1"/>
  <c r="AG16" i="1" s="1"/>
  <c r="AF126" i="1"/>
  <c r="AE126" i="12"/>
  <c r="S6" i="22"/>
  <c r="S5" i="22" s="1"/>
  <c r="T6" i="22"/>
  <c r="T5" i="22" s="1"/>
  <c r="AG129" i="12"/>
  <c r="AF126" i="12"/>
  <c r="AZ117" i="1"/>
  <c r="AY109" i="12"/>
  <c r="AY118" i="1"/>
  <c r="AG127" i="1" l="1"/>
  <c r="AH130" i="1" s="1"/>
  <c r="AH129" i="1" s="1"/>
  <c r="AH16" i="1" s="1"/>
  <c r="BA117" i="1"/>
  <c r="AZ118" i="1"/>
  <c r="AZ109" i="12"/>
  <c r="AG127" i="12" l="1"/>
  <c r="AH130" i="12" s="1"/>
  <c r="AH129" i="12" s="1"/>
  <c r="AH127" i="1"/>
  <c r="AH127" i="12" s="1"/>
  <c r="AI130" i="12" s="1"/>
  <c r="AI129" i="12" s="1"/>
  <c r="AG126" i="1"/>
  <c r="BB117" i="1"/>
  <c r="BA109" i="12"/>
  <c r="BA118" i="1"/>
  <c r="U6" i="22" l="1"/>
  <c r="U5" i="22" s="1"/>
  <c r="AG126" i="12"/>
  <c r="AH126" i="1"/>
  <c r="AH126" i="12"/>
  <c r="V6" i="22"/>
  <c r="V5" i="22" s="1"/>
  <c r="AI130" i="1"/>
  <c r="AI129" i="1" s="1"/>
  <c r="AI16" i="1" s="1"/>
  <c r="BC117" i="1"/>
  <c r="BB109" i="12"/>
  <c r="BB118" i="1"/>
  <c r="AI127" i="1" l="1"/>
  <c r="BD117" i="1"/>
  <c r="BC109" i="12"/>
  <c r="BC118" i="1"/>
  <c r="AI127" i="12" l="1"/>
  <c r="AJ130" i="12" s="1"/>
  <c r="AJ129" i="12" s="1"/>
  <c r="AJ130" i="1"/>
  <c r="AI126" i="12"/>
  <c r="W6" i="22"/>
  <c r="W5" i="22" s="1"/>
  <c r="AJ129" i="1"/>
  <c r="AJ16" i="1" s="1"/>
  <c r="AI126" i="1"/>
  <c r="BE117" i="1"/>
  <c r="BD118" i="1"/>
  <c r="BD109" i="12"/>
  <c r="CS33" i="12"/>
  <c r="CT33" i="12" s="1"/>
  <c r="CU33" i="12" s="1"/>
  <c r="AJ127" i="1" l="1"/>
  <c r="AJ127" i="12" s="1"/>
  <c r="AK130" i="12" s="1"/>
  <c r="AK129" i="12" s="1"/>
  <c r="BF117" i="1"/>
  <c r="BE118" i="1"/>
  <c r="BE109" i="12"/>
  <c r="G29" i="14"/>
  <c r="H29" i="14"/>
  <c r="I29" i="14"/>
  <c r="J29" i="14"/>
  <c r="K29" i="14"/>
  <c r="L29" i="14"/>
  <c r="M29" i="14"/>
  <c r="N29" i="14"/>
  <c r="O29" i="14"/>
  <c r="P29" i="14"/>
  <c r="Q29" i="14"/>
  <c r="R29" i="14"/>
  <c r="S29" i="14"/>
  <c r="T29" i="14"/>
  <c r="U29" i="14"/>
  <c r="V29" i="14"/>
  <c r="W29" i="14"/>
  <c r="X29" i="14"/>
  <c r="Y29" i="14"/>
  <c r="Z29" i="14"/>
  <c r="AB29" i="14"/>
  <c r="AC29" i="14"/>
  <c r="AD29" i="14"/>
  <c r="AE29" i="14"/>
  <c r="AF29" i="14"/>
  <c r="AG29" i="14"/>
  <c r="AH29" i="14"/>
  <c r="AI29" i="14"/>
  <c r="AJ29" i="14"/>
  <c r="AK29" i="14"/>
  <c r="AL29" i="14"/>
  <c r="AO29" i="14"/>
  <c r="AP29" i="14"/>
  <c r="AQ29" i="14"/>
  <c r="AR29" i="14"/>
  <c r="AS29" i="14"/>
  <c r="AT29" i="14"/>
  <c r="AV29" i="14"/>
  <c r="AW29" i="14"/>
  <c r="AX29" i="14"/>
  <c r="BA29" i="14"/>
  <c r="BB29" i="14"/>
  <c r="BC29" i="14"/>
  <c r="BD29" i="14"/>
  <c r="BE29" i="14"/>
  <c r="BF29" i="14"/>
  <c r="BH29" i="14"/>
  <c r="BI29" i="14"/>
  <c r="BJ29" i="14"/>
  <c r="F29" i="14"/>
  <c r="AJ126" i="1" l="1"/>
  <c r="AK130" i="1"/>
  <c r="AK129" i="1" s="1"/>
  <c r="AK16" i="1" s="1"/>
  <c r="AJ126" i="12"/>
  <c r="X6" i="22"/>
  <c r="X5" i="22" s="1"/>
  <c r="BG117" i="1"/>
  <c r="BF118" i="1"/>
  <c r="BF109" i="12"/>
  <c r="R77" i="1"/>
  <c r="V77" i="1" s="1"/>
  <c r="AK127" i="1" l="1"/>
  <c r="BH117" i="1"/>
  <c r="BG118" i="1"/>
  <c r="BG109" i="12"/>
  <c r="AK126" i="1" l="1"/>
  <c r="AL130" i="1"/>
  <c r="AK127" i="12"/>
  <c r="BI117" i="1"/>
  <c r="BH118" i="1"/>
  <c r="BH109" i="12"/>
  <c r="V39" i="12"/>
  <c r="W39" i="12" s="1"/>
  <c r="X39" i="12" s="1"/>
  <c r="Y39" i="12" s="1"/>
  <c r="Z39" i="12" s="1"/>
  <c r="AA39" i="12" s="1"/>
  <c r="AB39" i="12" s="1"/>
  <c r="AC39" i="12" s="1"/>
  <c r="AD39" i="12" s="1"/>
  <c r="AE39" i="12" s="1"/>
  <c r="AF39" i="12" s="1"/>
  <c r="AG39" i="12" s="1"/>
  <c r="AH39" i="12" s="1"/>
  <c r="AI39" i="12" s="1"/>
  <c r="AJ39" i="12" s="1"/>
  <c r="AK39" i="12" s="1"/>
  <c r="AL39" i="12" s="1"/>
  <c r="AM39" i="12" s="1"/>
  <c r="AN39" i="12" s="1"/>
  <c r="AO39" i="12" s="1"/>
  <c r="AP39" i="12" s="1"/>
  <c r="AQ39" i="12" s="1"/>
  <c r="AR39" i="12" s="1"/>
  <c r="AS39" i="12" s="1"/>
  <c r="AT39" i="12" s="1"/>
  <c r="AU39" i="12" s="1"/>
  <c r="AV39" i="12" s="1"/>
  <c r="AW39" i="12" s="1"/>
  <c r="AX39" i="12" s="1"/>
  <c r="AY39" i="12" s="1"/>
  <c r="AZ39" i="12" s="1"/>
  <c r="BA39" i="12" s="1"/>
  <c r="BB39" i="12" s="1"/>
  <c r="BC39" i="12" s="1"/>
  <c r="BD39" i="12" s="1"/>
  <c r="BE39" i="12" s="1"/>
  <c r="BF39" i="12" s="1"/>
  <c r="BG39" i="12" s="1"/>
  <c r="BH39" i="12" s="1"/>
  <c r="BI39" i="12" s="1"/>
  <c r="BJ39" i="12" s="1"/>
  <c r="BK39" i="12" s="1"/>
  <c r="BL39" i="12" s="1"/>
  <c r="BM39" i="12" s="1"/>
  <c r="BN39" i="12" s="1"/>
  <c r="BO39" i="12" s="1"/>
  <c r="BP39" i="12" s="1"/>
  <c r="BQ39" i="12" s="1"/>
  <c r="BR39" i="12" s="1"/>
  <c r="BS39" i="12" s="1"/>
  <c r="BT39" i="12" s="1"/>
  <c r="BU39" i="12" s="1"/>
  <c r="BV39" i="12" s="1"/>
  <c r="BW39" i="12" s="1"/>
  <c r="BX39" i="12" s="1"/>
  <c r="BY39" i="12" s="1"/>
  <c r="BZ39" i="12" s="1"/>
  <c r="CA39" i="12" s="1"/>
  <c r="CB39" i="12" s="1"/>
  <c r="CC39" i="12" s="1"/>
  <c r="CD39" i="12" s="1"/>
  <c r="CE39" i="12" s="1"/>
  <c r="CF39" i="12" s="1"/>
  <c r="CG39" i="12" s="1"/>
  <c r="CH39" i="12" s="1"/>
  <c r="CI39" i="12" s="1"/>
  <c r="CJ39" i="12" s="1"/>
  <c r="CK39" i="12" s="1"/>
  <c r="BB35" i="6"/>
  <c r="BC35" i="6" s="1"/>
  <c r="BD35" i="6" s="1"/>
  <c r="BE35" i="6" s="1"/>
  <c r="BF35" i="6" s="1"/>
  <c r="BG35" i="6" s="1"/>
  <c r="BH35" i="6" s="1"/>
  <c r="BI35" i="6" s="1"/>
  <c r="BJ35" i="6" s="1"/>
  <c r="BK35" i="6" s="1"/>
  <c r="BL35" i="6" s="1"/>
  <c r="BM35" i="6" s="1"/>
  <c r="BN35" i="6" s="1"/>
  <c r="BO35" i="6" s="1"/>
  <c r="BP35" i="6" s="1"/>
  <c r="BQ35" i="6" s="1"/>
  <c r="BR35" i="6" s="1"/>
  <c r="BS35" i="6" s="1"/>
  <c r="BT35" i="6" s="1"/>
  <c r="BU35" i="6" s="1"/>
  <c r="BV35" i="6" s="1"/>
  <c r="BW35" i="6" s="1"/>
  <c r="BX35" i="6" s="1"/>
  <c r="BY35" i="6" s="1"/>
  <c r="BC40" i="11"/>
  <c r="AQ40" i="11"/>
  <c r="AR40" i="11" s="1"/>
  <c r="AS40" i="11" s="1"/>
  <c r="AT40" i="11" s="1"/>
  <c r="AU40" i="11" s="1"/>
  <c r="AV40" i="11" s="1"/>
  <c r="AW40" i="11" s="1"/>
  <c r="AX40" i="11" s="1"/>
  <c r="AY40" i="11" s="1"/>
  <c r="AZ40" i="11" s="1"/>
  <c r="BA40" i="11" s="1"/>
  <c r="AQ40" i="8"/>
  <c r="S33" i="11"/>
  <c r="T33" i="11" s="1"/>
  <c r="U33" i="11" s="1"/>
  <c r="V33" i="11" s="1"/>
  <c r="W33" i="11" s="1"/>
  <c r="X33" i="11" s="1"/>
  <c r="Y33" i="11" s="1"/>
  <c r="Z33" i="11" s="1"/>
  <c r="AA33" i="11" s="1"/>
  <c r="AB33" i="11" s="1"/>
  <c r="AC33" i="11" s="1"/>
  <c r="AD33" i="11" s="1"/>
  <c r="AE33" i="11" s="1"/>
  <c r="AF33" i="11" s="1"/>
  <c r="AG33" i="11" s="1"/>
  <c r="AH33" i="11" s="1"/>
  <c r="AI33" i="11" s="1"/>
  <c r="AJ33" i="11" s="1"/>
  <c r="AK33" i="11" s="1"/>
  <c r="AL33" i="11" s="1"/>
  <c r="AM33" i="11" s="1"/>
  <c r="AN33" i="11" s="1"/>
  <c r="AO33" i="11" s="1"/>
  <c r="AP33" i="11" s="1"/>
  <c r="AQ33" i="11" s="1"/>
  <c r="AR33" i="11" s="1"/>
  <c r="AS33" i="11" s="1"/>
  <c r="AT33" i="11" s="1"/>
  <c r="AU33" i="11" s="1"/>
  <c r="AV33" i="11" s="1"/>
  <c r="AW33" i="11" s="1"/>
  <c r="AX33" i="11" s="1"/>
  <c r="AY33" i="11" s="1"/>
  <c r="AZ33" i="11" s="1"/>
  <c r="BA33" i="11" s="1"/>
  <c r="BB33" i="11" s="1"/>
  <c r="BC33" i="11" s="1"/>
  <c r="BD33" i="11" s="1"/>
  <c r="BE33" i="11" s="1"/>
  <c r="BF33" i="11" s="1"/>
  <c r="BG33" i="11" s="1"/>
  <c r="BH33" i="11" s="1"/>
  <c r="BI33" i="11" s="1"/>
  <c r="BJ33" i="11" s="1"/>
  <c r="BK33" i="11" s="1"/>
  <c r="BL33" i="11" s="1"/>
  <c r="BM33" i="11" s="1"/>
  <c r="BN33" i="11" s="1"/>
  <c r="BO33" i="11" s="1"/>
  <c r="BP33" i="11" s="1"/>
  <c r="BQ33" i="11" s="1"/>
  <c r="BR33" i="11" s="1"/>
  <c r="BS33" i="11" s="1"/>
  <c r="BT33" i="11" s="1"/>
  <c r="BU33" i="11" s="1"/>
  <c r="BV33" i="11" s="1"/>
  <c r="BW33" i="11" s="1"/>
  <c r="BX33" i="11" s="1"/>
  <c r="BY33" i="11" s="1"/>
  <c r="BZ33" i="11" s="1"/>
  <c r="CA33" i="11" s="1"/>
  <c r="CB33" i="11" s="1"/>
  <c r="CC33" i="11" s="1"/>
  <c r="CD33" i="11" s="1"/>
  <c r="CE33" i="11" s="1"/>
  <c r="CF33" i="11" s="1"/>
  <c r="CG33" i="11" s="1"/>
  <c r="CH33" i="11" s="1"/>
  <c r="CI33" i="11" s="1"/>
  <c r="CJ33" i="11" s="1"/>
  <c r="CK33" i="11" s="1"/>
  <c r="X33" i="8"/>
  <c r="Y33" i="8" s="1"/>
  <c r="Z33" i="8" s="1"/>
  <c r="AA33" i="8" s="1"/>
  <c r="AB33" i="8" s="1"/>
  <c r="AC33" i="8" s="1"/>
  <c r="AD33" i="8" s="1"/>
  <c r="AE33" i="8" s="1"/>
  <c r="AF33" i="8" s="1"/>
  <c r="AG33" i="8" s="1"/>
  <c r="AH33" i="8" s="1"/>
  <c r="AI33" i="8" s="1"/>
  <c r="AJ33" i="8" s="1"/>
  <c r="AK33" i="8" s="1"/>
  <c r="AL33" i="8" s="1"/>
  <c r="AM33" i="8" s="1"/>
  <c r="AN33" i="8" s="1"/>
  <c r="AO33" i="8" s="1"/>
  <c r="AP33" i="8" s="1"/>
  <c r="AQ33" i="8" s="1"/>
  <c r="AR33" i="8" s="1"/>
  <c r="AS33" i="8" s="1"/>
  <c r="AT33" i="8" s="1"/>
  <c r="AU33" i="8" s="1"/>
  <c r="AV33" i="8" s="1"/>
  <c r="AW33" i="8" s="1"/>
  <c r="AX33" i="8" s="1"/>
  <c r="AY33" i="8" s="1"/>
  <c r="AZ33" i="8" s="1"/>
  <c r="BA33" i="8" s="1"/>
  <c r="BB33" i="8" s="1"/>
  <c r="BC33" i="8" s="1"/>
  <c r="BD33" i="8" s="1"/>
  <c r="BE33" i="8" s="1"/>
  <c r="BF33" i="8" s="1"/>
  <c r="BG33" i="8" s="1"/>
  <c r="BH33" i="8" s="1"/>
  <c r="BI33" i="8" s="1"/>
  <c r="BJ33" i="8" s="1"/>
  <c r="BK33" i="8" s="1"/>
  <c r="BL33" i="8" s="1"/>
  <c r="BM33" i="8" s="1"/>
  <c r="BN33" i="8" s="1"/>
  <c r="BO33" i="8" s="1"/>
  <c r="BP33" i="8" s="1"/>
  <c r="BQ33" i="8" s="1"/>
  <c r="BR33" i="8" s="1"/>
  <c r="BS33" i="8" s="1"/>
  <c r="BT33" i="8" s="1"/>
  <c r="BU33" i="8" s="1"/>
  <c r="BV33" i="8" s="1"/>
  <c r="BW33" i="8" s="1"/>
  <c r="BX33" i="8" s="1"/>
  <c r="BY33" i="8" s="1"/>
  <c r="BZ33" i="8" s="1"/>
  <c r="CA33" i="8" s="1"/>
  <c r="CB33" i="8" s="1"/>
  <c r="CC33" i="8" s="1"/>
  <c r="CD33" i="8" s="1"/>
  <c r="CE33" i="8" s="1"/>
  <c r="CF33" i="8" s="1"/>
  <c r="CG33" i="8" s="1"/>
  <c r="CH33" i="8" s="1"/>
  <c r="CI33" i="8" s="1"/>
  <c r="CJ33" i="8" s="1"/>
  <c r="CK33" i="8" s="1"/>
  <c r="S33" i="7"/>
  <c r="T33" i="7" s="1"/>
  <c r="U33" i="7" s="1"/>
  <c r="V33" i="7" s="1"/>
  <c r="W33" i="7" s="1"/>
  <c r="X33" i="7" s="1"/>
  <c r="Y33" i="7" s="1"/>
  <c r="Z33" i="7" s="1"/>
  <c r="AA33" i="7" s="1"/>
  <c r="AB33" i="7" s="1"/>
  <c r="AC33" i="7" s="1"/>
  <c r="AD33" i="7" s="1"/>
  <c r="AE33" i="7" s="1"/>
  <c r="AF33" i="7" s="1"/>
  <c r="AG33" i="7" s="1"/>
  <c r="AH33" i="7" s="1"/>
  <c r="AI33" i="7" s="1"/>
  <c r="AJ33" i="7" s="1"/>
  <c r="AK33" i="7" s="1"/>
  <c r="AL33" i="7" s="1"/>
  <c r="AM33" i="7" s="1"/>
  <c r="AN33" i="7" s="1"/>
  <c r="AO33" i="7" s="1"/>
  <c r="AP33" i="7" s="1"/>
  <c r="AQ33" i="7" s="1"/>
  <c r="AR33" i="7" s="1"/>
  <c r="AS33" i="7" s="1"/>
  <c r="AT33" i="7" s="1"/>
  <c r="AU33" i="7" s="1"/>
  <c r="AV33" i="7" s="1"/>
  <c r="AW33" i="7" s="1"/>
  <c r="AX33" i="7" s="1"/>
  <c r="AY33" i="7" s="1"/>
  <c r="AZ33" i="7" s="1"/>
  <c r="BA33" i="7" s="1"/>
  <c r="BB33" i="7" s="1"/>
  <c r="BC33" i="7" s="1"/>
  <c r="BD33" i="7" s="1"/>
  <c r="BE33" i="7" s="1"/>
  <c r="BF33" i="7" s="1"/>
  <c r="BG33" i="7" s="1"/>
  <c r="BH33" i="7" s="1"/>
  <c r="BI33" i="7" s="1"/>
  <c r="BJ33" i="7" s="1"/>
  <c r="BK33" i="7" s="1"/>
  <c r="BL33" i="7" s="1"/>
  <c r="BM33" i="7" s="1"/>
  <c r="BN33" i="7" s="1"/>
  <c r="BO33" i="7" s="1"/>
  <c r="BP33" i="7" s="1"/>
  <c r="BQ33" i="7" s="1"/>
  <c r="BR33" i="7" s="1"/>
  <c r="BS33" i="7" s="1"/>
  <c r="BT33" i="7" s="1"/>
  <c r="BU33" i="7" s="1"/>
  <c r="BV33" i="7" s="1"/>
  <c r="BW33" i="7" s="1"/>
  <c r="BX33" i="7" s="1"/>
  <c r="BY33" i="7" s="1"/>
  <c r="BZ33" i="7" s="1"/>
  <c r="CA33" i="7" s="1"/>
  <c r="CB33" i="7" s="1"/>
  <c r="CC33" i="7" s="1"/>
  <c r="CD33" i="7" s="1"/>
  <c r="CE33" i="7" s="1"/>
  <c r="CF33" i="7" s="1"/>
  <c r="CG33" i="7" s="1"/>
  <c r="CH33" i="7" s="1"/>
  <c r="CI33" i="7" s="1"/>
  <c r="CJ33" i="7" s="1"/>
  <c r="CK33" i="7" s="1"/>
  <c r="S33" i="6"/>
  <c r="T33" i="6" s="1"/>
  <c r="U33" i="6" s="1"/>
  <c r="V33" i="6" s="1"/>
  <c r="W33" i="6" s="1"/>
  <c r="X33" i="6" s="1"/>
  <c r="Y33" i="6" s="1"/>
  <c r="Z33" i="6" s="1"/>
  <c r="AA33" i="6" s="1"/>
  <c r="AB33" i="6" s="1"/>
  <c r="AC33" i="6" s="1"/>
  <c r="AD33" i="6" s="1"/>
  <c r="AE33" i="6" s="1"/>
  <c r="AF33" i="6" s="1"/>
  <c r="AG33" i="6" s="1"/>
  <c r="AH33" i="6" s="1"/>
  <c r="AI33" i="6" s="1"/>
  <c r="AJ33" i="6" s="1"/>
  <c r="AK33" i="6" s="1"/>
  <c r="AL33" i="6" s="1"/>
  <c r="AM33" i="6" s="1"/>
  <c r="AN33" i="6" s="1"/>
  <c r="AO33" i="6" s="1"/>
  <c r="AP33" i="6" s="1"/>
  <c r="AQ33" i="6" s="1"/>
  <c r="AR33" i="6" s="1"/>
  <c r="AS33" i="6" s="1"/>
  <c r="AT33" i="6" s="1"/>
  <c r="AU33" i="6" s="1"/>
  <c r="AV33" i="6" s="1"/>
  <c r="AW33" i="6" s="1"/>
  <c r="AX33" i="6" s="1"/>
  <c r="AY33" i="6" s="1"/>
  <c r="AZ33" i="6" s="1"/>
  <c r="BA33" i="6" s="1"/>
  <c r="BB33" i="6" s="1"/>
  <c r="BC33" i="6" s="1"/>
  <c r="BD33" i="6" s="1"/>
  <c r="BE33" i="6" s="1"/>
  <c r="BF33" i="6" s="1"/>
  <c r="BG33" i="6" s="1"/>
  <c r="BH33" i="6" s="1"/>
  <c r="BI33" i="6" s="1"/>
  <c r="BJ33" i="6" s="1"/>
  <c r="BK33" i="6" s="1"/>
  <c r="BL33" i="6" s="1"/>
  <c r="BM33" i="6" s="1"/>
  <c r="BN33" i="6" s="1"/>
  <c r="BO33" i="6" s="1"/>
  <c r="BP33" i="6" s="1"/>
  <c r="BQ33" i="6" s="1"/>
  <c r="BR33" i="6" s="1"/>
  <c r="BS33" i="6" s="1"/>
  <c r="BT33" i="6" s="1"/>
  <c r="BU33" i="6" s="1"/>
  <c r="BV33" i="6" s="1"/>
  <c r="BW33" i="6" s="1"/>
  <c r="BX33" i="6" s="1"/>
  <c r="BY33" i="6" s="1"/>
  <c r="BZ33" i="6" s="1"/>
  <c r="CA33" i="6" s="1"/>
  <c r="CB33" i="6" s="1"/>
  <c r="CC33" i="6" s="1"/>
  <c r="CD33" i="6" s="1"/>
  <c r="CE33" i="6" s="1"/>
  <c r="CF33" i="6" s="1"/>
  <c r="CG33" i="6" s="1"/>
  <c r="CH33" i="6" s="1"/>
  <c r="CI33" i="6" s="1"/>
  <c r="CJ33" i="6" s="1"/>
  <c r="CK33" i="6" s="1"/>
  <c r="S33" i="5"/>
  <c r="T33" i="5" s="1"/>
  <c r="U33" i="5" s="1"/>
  <c r="V33" i="5" s="1"/>
  <c r="W33" i="5" s="1"/>
  <c r="X33" i="5" s="1"/>
  <c r="Y33" i="5" s="1"/>
  <c r="Z33" i="5" s="1"/>
  <c r="AA33" i="5" s="1"/>
  <c r="AB33" i="5" s="1"/>
  <c r="AC33" i="5" s="1"/>
  <c r="AD33" i="5" s="1"/>
  <c r="AE33" i="5" s="1"/>
  <c r="AF33" i="5" s="1"/>
  <c r="AG33" i="5" s="1"/>
  <c r="AH33" i="5" s="1"/>
  <c r="AI33" i="5" s="1"/>
  <c r="AJ33" i="5" s="1"/>
  <c r="AK33" i="5" s="1"/>
  <c r="AL33" i="5" s="1"/>
  <c r="AM33" i="5" s="1"/>
  <c r="AN33" i="5" s="1"/>
  <c r="AO33" i="5" s="1"/>
  <c r="AP33" i="5" s="1"/>
  <c r="AQ33" i="5" s="1"/>
  <c r="AR33" i="5" s="1"/>
  <c r="AS33" i="5" s="1"/>
  <c r="AT33" i="5" s="1"/>
  <c r="AU33" i="5" s="1"/>
  <c r="AV33" i="5" s="1"/>
  <c r="AW33" i="5" s="1"/>
  <c r="AX33" i="5" s="1"/>
  <c r="AY33" i="5" s="1"/>
  <c r="AZ33" i="5" s="1"/>
  <c r="BA33" i="5" s="1"/>
  <c r="BB33" i="5" s="1"/>
  <c r="BC33" i="5" s="1"/>
  <c r="BD33" i="5" s="1"/>
  <c r="BE33" i="5" s="1"/>
  <c r="BF33" i="5" s="1"/>
  <c r="BG33" i="5" s="1"/>
  <c r="BH33" i="5" s="1"/>
  <c r="BI33" i="5" s="1"/>
  <c r="BJ33" i="5" s="1"/>
  <c r="BK33" i="5" s="1"/>
  <c r="BL33" i="5" s="1"/>
  <c r="BM33" i="5" s="1"/>
  <c r="BN33" i="5" s="1"/>
  <c r="BO33" i="5" s="1"/>
  <c r="BP33" i="5" s="1"/>
  <c r="BQ33" i="5" s="1"/>
  <c r="BR33" i="5" s="1"/>
  <c r="BS33" i="5" s="1"/>
  <c r="BT33" i="5" s="1"/>
  <c r="BU33" i="5" s="1"/>
  <c r="BV33" i="5" s="1"/>
  <c r="BW33" i="5" s="1"/>
  <c r="BX33" i="5" s="1"/>
  <c r="BY33" i="5" s="1"/>
  <c r="BZ33" i="5" s="1"/>
  <c r="CA33" i="5" s="1"/>
  <c r="CB33" i="5" s="1"/>
  <c r="CC33" i="5" s="1"/>
  <c r="CD33" i="5" s="1"/>
  <c r="CE33" i="5" s="1"/>
  <c r="CF33" i="5" s="1"/>
  <c r="CG33" i="5" s="1"/>
  <c r="CH33" i="5" s="1"/>
  <c r="CI33" i="5" s="1"/>
  <c r="CJ33" i="5" s="1"/>
  <c r="CK33" i="5" s="1"/>
  <c r="S38" i="1"/>
  <c r="T38" i="1" s="1"/>
  <c r="U38" i="1" s="1"/>
  <c r="V38" i="1" s="1"/>
  <c r="W38" i="1" s="1"/>
  <c r="X38" i="1" s="1"/>
  <c r="Y38" i="1" s="1"/>
  <c r="Z38" i="1" s="1"/>
  <c r="AA38" i="1" s="1"/>
  <c r="AB38" i="1" s="1"/>
  <c r="AC38" i="1" s="1"/>
  <c r="AD38" i="1" s="1"/>
  <c r="AE38" i="1" s="1"/>
  <c r="AF38" i="1" s="1"/>
  <c r="AG38" i="1" s="1"/>
  <c r="AH38" i="1" s="1"/>
  <c r="AI38" i="1" s="1"/>
  <c r="AJ38" i="1" s="1"/>
  <c r="AK38" i="1" s="1"/>
  <c r="AL38" i="1" s="1"/>
  <c r="AM38" i="1" s="1"/>
  <c r="AN38" i="1" s="1"/>
  <c r="AO38" i="1" s="1"/>
  <c r="AP38" i="1" s="1"/>
  <c r="AQ38" i="1" s="1"/>
  <c r="AR38" i="1" s="1"/>
  <c r="AS38" i="1" s="1"/>
  <c r="AT38" i="1" s="1"/>
  <c r="AU38" i="1" s="1"/>
  <c r="AV38" i="1" s="1"/>
  <c r="AW38" i="1" s="1"/>
  <c r="AX38" i="1" s="1"/>
  <c r="AY38" i="1" s="1"/>
  <c r="AZ38" i="1" s="1"/>
  <c r="BA38" i="1" s="1"/>
  <c r="BB38" i="1" s="1"/>
  <c r="BC38" i="1" s="1"/>
  <c r="BD38" i="1" s="1"/>
  <c r="BE38" i="1" s="1"/>
  <c r="BF38" i="1" s="1"/>
  <c r="BG38" i="1" s="1"/>
  <c r="BH38" i="1" s="1"/>
  <c r="BI38" i="1" s="1"/>
  <c r="BJ38" i="1" s="1"/>
  <c r="BK38" i="1" s="1"/>
  <c r="BL38" i="1" s="1"/>
  <c r="BM38" i="1" s="1"/>
  <c r="BN38" i="1" s="1"/>
  <c r="BO38" i="1" s="1"/>
  <c r="BP38" i="1" s="1"/>
  <c r="BQ38" i="1" s="1"/>
  <c r="BR38" i="1" s="1"/>
  <c r="BS38" i="1" s="1"/>
  <c r="BT38" i="1" s="1"/>
  <c r="BU38" i="1" s="1"/>
  <c r="BV38" i="1" s="1"/>
  <c r="BW38" i="1" s="1"/>
  <c r="BX38" i="1" s="1"/>
  <c r="BY38" i="1" s="1"/>
  <c r="BZ38" i="1" s="1"/>
  <c r="CA38" i="1" s="1"/>
  <c r="CB38" i="1" s="1"/>
  <c r="CC38" i="1" s="1"/>
  <c r="CD38" i="1" s="1"/>
  <c r="CE38" i="1" s="1"/>
  <c r="CF38" i="1" s="1"/>
  <c r="CG38" i="1" s="1"/>
  <c r="CH38" i="1" s="1"/>
  <c r="CI38" i="1" s="1"/>
  <c r="CJ38" i="1" s="1"/>
  <c r="CK38" i="1" s="1"/>
  <c r="S58" i="11"/>
  <c r="T58" i="11"/>
  <c r="U58" i="11"/>
  <c r="V58" i="11"/>
  <c r="W58" i="11"/>
  <c r="X58" i="11"/>
  <c r="Y58" i="11"/>
  <c r="Z58" i="11"/>
  <c r="AA58" i="11"/>
  <c r="AB58" i="11"/>
  <c r="AC58" i="11"/>
  <c r="AD58" i="11"/>
  <c r="AE58" i="11"/>
  <c r="P58" i="8"/>
  <c r="Q58" i="8"/>
  <c r="R58" i="8"/>
  <c r="P58" i="7"/>
  <c r="Q58" i="7"/>
  <c r="R58" i="7"/>
  <c r="O81" i="5"/>
  <c r="O46" i="5"/>
  <c r="P46" i="5"/>
  <c r="Q46" i="5"/>
  <c r="G3" i="11"/>
  <c r="H3" i="11"/>
  <c r="I3" i="11"/>
  <c r="J3" i="11"/>
  <c r="K3" i="11"/>
  <c r="L3" i="11"/>
  <c r="M3" i="11"/>
  <c r="N3" i="11"/>
  <c r="O3" i="11"/>
  <c r="P3" i="11"/>
  <c r="Q3" i="11"/>
  <c r="R3" i="11"/>
  <c r="S3" i="11"/>
  <c r="T3" i="11"/>
  <c r="U3" i="11"/>
  <c r="V3" i="11"/>
  <c r="W3" i="11"/>
  <c r="X3" i="11"/>
  <c r="Y3" i="11"/>
  <c r="Z3" i="11"/>
  <c r="AA3" i="11"/>
  <c r="AB3" i="11"/>
  <c r="AC3" i="11"/>
  <c r="AD3" i="11"/>
  <c r="AE3" i="11"/>
  <c r="AF3" i="11"/>
  <c r="AG3" i="11"/>
  <c r="AH3" i="11"/>
  <c r="AI3" i="11"/>
  <c r="AJ3" i="11"/>
  <c r="AK3" i="11"/>
  <c r="AL3" i="11"/>
  <c r="AM3" i="11"/>
  <c r="AN3" i="11"/>
  <c r="AO3" i="11"/>
  <c r="AP3" i="11"/>
  <c r="AQ3" i="11"/>
  <c r="AR3" i="11"/>
  <c r="AS3" i="11"/>
  <c r="AT3" i="11"/>
  <c r="AU3" i="11"/>
  <c r="AV3" i="11"/>
  <c r="AW3" i="11"/>
  <c r="AX3" i="11"/>
  <c r="AY3" i="11"/>
  <c r="AZ3" i="11"/>
  <c r="BA3" i="11"/>
  <c r="BB3" i="11"/>
  <c r="BC3" i="11"/>
  <c r="BD3" i="11"/>
  <c r="BE3" i="11"/>
  <c r="BF3" i="11"/>
  <c r="BG3" i="11"/>
  <c r="BH3" i="11"/>
  <c r="BI3" i="11"/>
  <c r="BJ3" i="11"/>
  <c r="BK3" i="11"/>
  <c r="BL3" i="11"/>
  <c r="BM3" i="11"/>
  <c r="BN3" i="11"/>
  <c r="BO3" i="11"/>
  <c r="BP3" i="11"/>
  <c r="BQ3" i="11"/>
  <c r="BR3" i="11"/>
  <c r="BS3" i="11"/>
  <c r="BT3" i="11"/>
  <c r="F3" i="11"/>
  <c r="G3" i="5"/>
  <c r="H3" i="5"/>
  <c r="I3" i="5"/>
  <c r="J3" i="5"/>
  <c r="K3" i="5"/>
  <c r="L3" i="5"/>
  <c r="M3" i="5"/>
  <c r="N3" i="5"/>
  <c r="O3" i="5"/>
  <c r="P3" i="5"/>
  <c r="Q3" i="5"/>
  <c r="R3" i="5"/>
  <c r="S3" i="5"/>
  <c r="T3" i="5"/>
  <c r="U3" i="5"/>
  <c r="V3" i="5"/>
  <c r="W3" i="5"/>
  <c r="X3" i="5"/>
  <c r="Y3" i="5"/>
  <c r="Z3" i="5"/>
  <c r="AA3" i="5"/>
  <c r="AB3" i="5"/>
  <c r="AC3" i="5"/>
  <c r="AD3" i="5"/>
  <c r="AE3" i="5"/>
  <c r="AF3" i="5"/>
  <c r="AG3" i="5"/>
  <c r="AH3" i="5"/>
  <c r="AI3" i="5"/>
  <c r="AJ3" i="5"/>
  <c r="AK3" i="5"/>
  <c r="AL3" i="5"/>
  <c r="AM3" i="5"/>
  <c r="AN3" i="5"/>
  <c r="AO3" i="5"/>
  <c r="AP3" i="5"/>
  <c r="AQ3" i="5"/>
  <c r="AR3" i="5"/>
  <c r="AS3" i="5"/>
  <c r="AT3" i="5"/>
  <c r="AU3" i="5"/>
  <c r="AV3" i="5"/>
  <c r="AW3" i="5"/>
  <c r="AX3" i="5"/>
  <c r="AY3" i="5"/>
  <c r="AZ3" i="5"/>
  <c r="BA3" i="5"/>
  <c r="BB3" i="5"/>
  <c r="BC3" i="5"/>
  <c r="BD3" i="5"/>
  <c r="BE3" i="5"/>
  <c r="BF3" i="5"/>
  <c r="BG3" i="5"/>
  <c r="BH3" i="5"/>
  <c r="BI3" i="5"/>
  <c r="BJ3" i="5"/>
  <c r="BK3" i="5"/>
  <c r="BL3" i="5"/>
  <c r="BM3" i="5"/>
  <c r="BN3" i="5"/>
  <c r="BO3" i="5"/>
  <c r="BP3" i="5"/>
  <c r="BQ3" i="5"/>
  <c r="BR3" i="5"/>
  <c r="BS3" i="5"/>
  <c r="BT3" i="5"/>
  <c r="BU3" i="5"/>
  <c r="BV3" i="5"/>
  <c r="BW3" i="5"/>
  <c r="BX3" i="5"/>
  <c r="F3" i="5"/>
  <c r="AL130" i="12" l="1"/>
  <c r="AL129" i="12" s="1"/>
  <c r="AK126" i="12"/>
  <c r="Y6" i="22"/>
  <c r="Y5" i="22" s="1"/>
  <c r="AL129" i="1"/>
  <c r="AL16" i="1" s="1"/>
  <c r="AL127" i="1"/>
  <c r="BY39" i="6"/>
  <c r="BZ35" i="6"/>
  <c r="BC37" i="11"/>
  <c r="BC35" i="11"/>
  <c r="P81" i="5"/>
  <c r="O92" i="12"/>
  <c r="AD43" i="12"/>
  <c r="AE46" i="12"/>
  <c r="BJ117" i="1"/>
  <c r="BI118" i="1"/>
  <c r="BI109" i="12"/>
  <c r="BD40" i="11"/>
  <c r="AR40" i="8"/>
  <c r="AL127" i="12" l="1"/>
  <c r="AL126" i="1"/>
  <c r="AM130" i="1"/>
  <c r="CA35" i="6"/>
  <c r="BZ39" i="6"/>
  <c r="BY59" i="6"/>
  <c r="BY79" i="6"/>
  <c r="BY4" i="6"/>
  <c r="BY81" i="6"/>
  <c r="BY52" i="6"/>
  <c r="BY82" i="6"/>
  <c r="BY53" i="6"/>
  <c r="BY57" i="6"/>
  <c r="BY58" i="6"/>
  <c r="BY56" i="6"/>
  <c r="BY45" i="6"/>
  <c r="BY44" i="6" s="1"/>
  <c r="BD37" i="11"/>
  <c r="BD35" i="11"/>
  <c r="Q81" i="5"/>
  <c r="Q92" i="12" s="1"/>
  <c r="P92" i="12"/>
  <c r="AG37" i="7"/>
  <c r="AF46" i="12"/>
  <c r="AE43" i="12"/>
  <c r="BK117" i="1"/>
  <c r="BJ109" i="12"/>
  <c r="BJ118" i="1"/>
  <c r="BE40" i="11"/>
  <c r="AS40" i="8"/>
  <c r="AM129" i="1" l="1"/>
  <c r="AM16" i="1" s="1"/>
  <c r="AM127" i="1"/>
  <c r="AM130" i="12"/>
  <c r="AM129" i="12" s="1"/>
  <c r="Z6" i="22"/>
  <c r="Z5" i="22" s="1"/>
  <c r="AL126" i="12"/>
  <c r="BY55" i="6"/>
  <c r="BY10" i="6" s="1"/>
  <c r="BZ58" i="6"/>
  <c r="BZ59" i="6"/>
  <c r="BZ79" i="6"/>
  <c r="BZ4" i="6"/>
  <c r="BZ81" i="6"/>
  <c r="BZ57" i="6"/>
  <c r="BZ52" i="6"/>
  <c r="BZ82" i="6"/>
  <c r="BZ45" i="6"/>
  <c r="BZ44" i="6" s="1"/>
  <c r="BZ53" i="6"/>
  <c r="BZ56" i="6"/>
  <c r="BY51" i="6"/>
  <c r="BY5" i="6"/>
  <c r="BY7" i="6" s="1"/>
  <c r="CB35" i="6"/>
  <c r="CA39" i="6"/>
  <c r="BE35" i="11"/>
  <c r="BE37" i="11"/>
  <c r="AF43" i="12"/>
  <c r="AH37" i="7"/>
  <c r="AG46" i="12"/>
  <c r="BH70" i="1"/>
  <c r="BL117" i="1"/>
  <c r="BK118" i="1"/>
  <c r="BK109" i="12"/>
  <c r="BF40" i="11"/>
  <c r="AT40" i="8"/>
  <c r="BZ51" i="6" l="1"/>
  <c r="AM126" i="1"/>
  <c r="AN130" i="1"/>
  <c r="AM127" i="12"/>
  <c r="BY8" i="6"/>
  <c r="BZ5" i="6"/>
  <c r="BZ7" i="6" s="1"/>
  <c r="CA45" i="6"/>
  <c r="CA44" i="6" s="1"/>
  <c r="CA5" i="6" s="1"/>
  <c r="CA57" i="6"/>
  <c r="CA58" i="6"/>
  <c r="CA59" i="6"/>
  <c r="CA4" i="6"/>
  <c r="CA81" i="6"/>
  <c r="CA52" i="6"/>
  <c r="CA82" i="6"/>
  <c r="CA53" i="6"/>
  <c r="CA56" i="6"/>
  <c r="CA79" i="6"/>
  <c r="CC35" i="6"/>
  <c r="CB39" i="6"/>
  <c r="BZ55" i="6"/>
  <c r="BZ10" i="6" s="1"/>
  <c r="BF35" i="11"/>
  <c r="BF37" i="11"/>
  <c r="AI37" i="7"/>
  <c r="AH46" i="12"/>
  <c r="AG43" i="12"/>
  <c r="BI70" i="1"/>
  <c r="BM117" i="1"/>
  <c r="BL109" i="12"/>
  <c r="BL118" i="1"/>
  <c r="BG40" i="11"/>
  <c r="AU40" i="8"/>
  <c r="CA7" i="6" l="1"/>
  <c r="CA51" i="6"/>
  <c r="AN129" i="1"/>
  <c r="AN16" i="1" s="1"/>
  <c r="AN127" i="1"/>
  <c r="AN130" i="12"/>
  <c r="AN129" i="12" s="1"/>
  <c r="AM126" i="12"/>
  <c r="AA6" i="22"/>
  <c r="AA5" i="22" s="1"/>
  <c r="CA55" i="6"/>
  <c r="CA10" i="6" s="1"/>
  <c r="CC39" i="6"/>
  <c r="CD35" i="6"/>
  <c r="BZ8" i="6"/>
  <c r="CA8" i="6"/>
  <c r="CB56" i="6"/>
  <c r="CB45" i="6"/>
  <c r="CB44" i="6" s="1"/>
  <c r="CB5" i="6" s="1"/>
  <c r="CB57" i="6"/>
  <c r="CB58" i="6"/>
  <c r="CB59" i="6"/>
  <c r="CB79" i="6"/>
  <c r="CB4" i="6"/>
  <c r="CB81" i="6"/>
  <c r="CB52" i="6"/>
  <c r="CB82" i="6"/>
  <c r="CB53" i="6"/>
  <c r="BG35" i="11"/>
  <c r="BG37" i="11"/>
  <c r="AH43" i="12"/>
  <c r="AJ37" i="7"/>
  <c r="AI46" i="12"/>
  <c r="BJ70" i="1"/>
  <c r="BN117" i="1"/>
  <c r="BM118" i="1"/>
  <c r="BM109" i="12"/>
  <c r="AC95" i="1"/>
  <c r="BH40" i="11"/>
  <c r="AV40" i="8"/>
  <c r="AO130" i="1" l="1"/>
  <c r="AO129" i="1" s="1"/>
  <c r="AO16" i="1" s="1"/>
  <c r="AN126" i="1"/>
  <c r="AN127" i="12"/>
  <c r="CB55" i="6"/>
  <c r="CB10" i="6" s="1"/>
  <c r="CB51" i="6"/>
  <c r="CE35" i="6"/>
  <c r="CD39" i="6"/>
  <c r="CB7" i="6"/>
  <c r="CC56" i="6"/>
  <c r="CC45" i="6"/>
  <c r="CC44" i="6" s="1"/>
  <c r="CC57" i="6"/>
  <c r="CC58" i="6"/>
  <c r="CC52" i="6"/>
  <c r="CC51" i="6" s="1"/>
  <c r="CC82" i="6"/>
  <c r="CC59" i="6"/>
  <c r="CC79" i="6"/>
  <c r="CC53" i="6"/>
  <c r="CC4" i="6"/>
  <c r="CC81" i="6"/>
  <c r="BH35" i="11"/>
  <c r="BH37" i="11"/>
  <c r="AK37" i="7"/>
  <c r="AJ46" i="12"/>
  <c r="AI43" i="12"/>
  <c r="BK70" i="1"/>
  <c r="BO117" i="1"/>
  <c r="BN109" i="12"/>
  <c r="BN118" i="1"/>
  <c r="BI40" i="11"/>
  <c r="AW40" i="8"/>
  <c r="CC5" i="6" l="1"/>
  <c r="AO127" i="1"/>
  <c r="AO126" i="1" s="1"/>
  <c r="AO130" i="12"/>
  <c r="AO129" i="12" s="1"/>
  <c r="AB6" i="22"/>
  <c r="AB5" i="22" s="1"/>
  <c r="AN126" i="12"/>
  <c r="CC55" i="6"/>
  <c r="CC10" i="6" s="1"/>
  <c r="CC7" i="6"/>
  <c r="CC8" i="6" s="1"/>
  <c r="CE39" i="6"/>
  <c r="CF35" i="6"/>
  <c r="CB8" i="6"/>
  <c r="CD53" i="6"/>
  <c r="CD56" i="6"/>
  <c r="CD45" i="6"/>
  <c r="CD44" i="6" s="1"/>
  <c r="CD57" i="6"/>
  <c r="CD52" i="6"/>
  <c r="CD51" i="6" s="1"/>
  <c r="CD79" i="6"/>
  <c r="CD82" i="6"/>
  <c r="CD59" i="6"/>
  <c r="CD4" i="6"/>
  <c r="CD81" i="6"/>
  <c r="CD58" i="6"/>
  <c r="BI35" i="11"/>
  <c r="BI37" i="11"/>
  <c r="AJ43" i="12"/>
  <c r="AL37" i="7"/>
  <c r="AK46" i="12"/>
  <c r="BL70" i="1"/>
  <c r="BP117" i="1"/>
  <c r="BO109" i="12"/>
  <c r="BO118" i="1"/>
  <c r="BJ40" i="11"/>
  <c r="AX40" i="8"/>
  <c r="AO127" i="12" l="1"/>
  <c r="AP130" i="1"/>
  <c r="AP129" i="1" s="1"/>
  <c r="AP16" i="1" s="1"/>
  <c r="AO126" i="12"/>
  <c r="AP130" i="12"/>
  <c r="AP129" i="12" s="1"/>
  <c r="CQ127" i="12"/>
  <c r="CQ126" i="12" s="1"/>
  <c r="AC6" i="22"/>
  <c r="AC5" i="22" s="1"/>
  <c r="CE52" i="6"/>
  <c r="CE82" i="6"/>
  <c r="CE53" i="6"/>
  <c r="CE58" i="6"/>
  <c r="CE56" i="6"/>
  <c r="CE45" i="6"/>
  <c r="CE44" i="6" s="1"/>
  <c r="CE59" i="6"/>
  <c r="CE81" i="6"/>
  <c r="CE4" i="6"/>
  <c r="CE57" i="6"/>
  <c r="CE79" i="6"/>
  <c r="CD5" i="6"/>
  <c r="CD55" i="6"/>
  <c r="CD10" i="6" s="1"/>
  <c r="CG35" i="6"/>
  <c r="CF39" i="6"/>
  <c r="CD7" i="6"/>
  <c r="CD8" i="6" s="1"/>
  <c r="BJ35" i="11"/>
  <c r="BJ37" i="11"/>
  <c r="AM37" i="7"/>
  <c r="AL46" i="12"/>
  <c r="AK43" i="12"/>
  <c r="BM70" i="1"/>
  <c r="BQ117" i="1"/>
  <c r="BP109" i="12"/>
  <c r="BP118" i="1"/>
  <c r="BK40" i="11"/>
  <c r="AY40" i="8"/>
  <c r="AP127" i="1" l="1"/>
  <c r="AP126" i="1" s="1"/>
  <c r="AP127" i="12"/>
  <c r="CE5" i="6"/>
  <c r="CG39" i="6"/>
  <c r="CH35" i="6"/>
  <c r="CE7" i="6"/>
  <c r="CE55" i="6"/>
  <c r="CE10" i="6" s="1"/>
  <c r="CF81" i="6"/>
  <c r="CF52" i="6"/>
  <c r="CF82" i="6"/>
  <c r="CF53" i="6"/>
  <c r="CF58" i="6"/>
  <c r="CF56" i="6"/>
  <c r="CF59" i="6"/>
  <c r="CF55" i="6" s="1"/>
  <c r="CF10" i="6" s="1"/>
  <c r="CF79" i="6"/>
  <c r="CF45" i="6"/>
  <c r="CF44" i="6" s="1"/>
  <c r="CF57" i="6"/>
  <c r="CF4" i="6"/>
  <c r="CE51" i="6"/>
  <c r="BK35" i="11"/>
  <c r="BK37" i="11"/>
  <c r="AL43" i="12"/>
  <c r="AN37" i="7"/>
  <c r="AM46" i="12"/>
  <c r="BR117" i="1"/>
  <c r="BQ118" i="1"/>
  <c r="BQ109" i="12"/>
  <c r="BL40" i="11"/>
  <c r="AZ40" i="8"/>
  <c r="AQ130" i="1" l="1"/>
  <c r="CF5" i="6"/>
  <c r="CF7" i="6" s="1"/>
  <c r="CF8" i="6" s="1"/>
  <c r="AP126" i="12"/>
  <c r="AQ130" i="12"/>
  <c r="AQ129" i="12" s="1"/>
  <c r="AD6" i="22"/>
  <c r="AD5" i="22" s="1"/>
  <c r="AQ127" i="1"/>
  <c r="AQ129" i="1"/>
  <c r="AQ16" i="1" s="1"/>
  <c r="CG4" i="6"/>
  <c r="CG81" i="6"/>
  <c r="CG52" i="6"/>
  <c r="CG82" i="6"/>
  <c r="CG53" i="6"/>
  <c r="CG56" i="6"/>
  <c r="CG45" i="6"/>
  <c r="CG44" i="6" s="1"/>
  <c r="CG5" i="6" s="1"/>
  <c r="CG57" i="6"/>
  <c r="CG58" i="6"/>
  <c r="CG59" i="6"/>
  <c r="CG79" i="6"/>
  <c r="CF51" i="6"/>
  <c r="CE8" i="6"/>
  <c r="CI35" i="6"/>
  <c r="CH39" i="6"/>
  <c r="BL35" i="11"/>
  <c r="BL37" i="11"/>
  <c r="AO37" i="7"/>
  <c r="AN46" i="12"/>
  <c r="AM43" i="12"/>
  <c r="BS117" i="1"/>
  <c r="BR118" i="1"/>
  <c r="BR109" i="12"/>
  <c r="BM40" i="11"/>
  <c r="BA40" i="8"/>
  <c r="AQ127" i="12" l="1"/>
  <c r="AR130" i="1"/>
  <c r="AR129" i="1" s="1"/>
  <c r="AR16" i="1" s="1"/>
  <c r="AQ126" i="1"/>
  <c r="CG51" i="6"/>
  <c r="CG55" i="6"/>
  <c r="CG10" i="6" s="1"/>
  <c r="CH79" i="6"/>
  <c r="CH4" i="6"/>
  <c r="CH81" i="6"/>
  <c r="CH52" i="6"/>
  <c r="CH82" i="6"/>
  <c r="CH53" i="6"/>
  <c r="CH56" i="6"/>
  <c r="CH45" i="6"/>
  <c r="CH44" i="6" s="1"/>
  <c r="CH5" i="6" s="1"/>
  <c r="CH57" i="6"/>
  <c r="CH58" i="6"/>
  <c r="CH59" i="6"/>
  <c r="CJ35" i="6"/>
  <c r="CI39" i="6"/>
  <c r="CG7" i="6"/>
  <c r="BM35" i="11"/>
  <c r="BM37" i="11"/>
  <c r="AN43" i="12"/>
  <c r="AP37" i="7"/>
  <c r="AO46" i="12"/>
  <c r="BT117" i="1"/>
  <c r="BS118" i="1"/>
  <c r="BS109" i="12"/>
  <c r="BO40" i="11"/>
  <c r="AR127" i="1" l="1"/>
  <c r="AQ126" i="12"/>
  <c r="AE6" i="22"/>
  <c r="AE5" i="22" s="1"/>
  <c r="AR130" i="12"/>
  <c r="AR129" i="12" s="1"/>
  <c r="CH55" i="6"/>
  <c r="CH10" i="6" s="1"/>
  <c r="CH51" i="6"/>
  <c r="CG8" i="6"/>
  <c r="CH7" i="6"/>
  <c r="CI79" i="6"/>
  <c r="CI52" i="6"/>
  <c r="CI4" i="6"/>
  <c r="CI81" i="6"/>
  <c r="CI82" i="6"/>
  <c r="CI56" i="6"/>
  <c r="CI45" i="6"/>
  <c r="CI44" i="6" s="1"/>
  <c r="CI5" i="6" s="1"/>
  <c r="CI57" i="6"/>
  <c r="CI58" i="6"/>
  <c r="CI59" i="6"/>
  <c r="CI53" i="6"/>
  <c r="CK35" i="6"/>
  <c r="CK39" i="6" s="1"/>
  <c r="CJ39" i="6"/>
  <c r="BO35" i="11"/>
  <c r="BO37" i="11"/>
  <c r="AQ37" i="7"/>
  <c r="AP46" i="12"/>
  <c r="AO43" i="12"/>
  <c r="BU117" i="1"/>
  <c r="BT118" i="1"/>
  <c r="BT109" i="12"/>
  <c r="BP40" i="11"/>
  <c r="BC40" i="8"/>
  <c r="CI55" i="6" l="1"/>
  <c r="CI10" i="6" s="1"/>
  <c r="CI51" i="6"/>
  <c r="AR126" i="1"/>
  <c r="AS130" i="1"/>
  <c r="AS129" i="1" s="1"/>
  <c r="AS16" i="1" s="1"/>
  <c r="AR127" i="12"/>
  <c r="CI7" i="6"/>
  <c r="CJ82" i="6"/>
  <c r="CJ79" i="6"/>
  <c r="CJ4" i="6"/>
  <c r="CJ53" i="6"/>
  <c r="CJ58" i="6"/>
  <c r="CJ59" i="6"/>
  <c r="CJ81" i="6"/>
  <c r="CJ56" i="6"/>
  <c r="CJ55" i="6" s="1"/>
  <c r="CJ10" i="6" s="1"/>
  <c r="CJ52" i="6"/>
  <c r="CJ51" i="6" s="1"/>
  <c r="CJ45" i="6"/>
  <c r="CJ44" i="6" s="1"/>
  <c r="CJ5" i="6" s="1"/>
  <c r="CJ57" i="6"/>
  <c r="CK59" i="6"/>
  <c r="CK79" i="6"/>
  <c r="CK52" i="6"/>
  <c r="CK82" i="6"/>
  <c r="CK4" i="6"/>
  <c r="CK53" i="6"/>
  <c r="CK81" i="6"/>
  <c r="CK58" i="6"/>
  <c r="CK56" i="6"/>
  <c r="CK45" i="6"/>
  <c r="CK44" i="6" s="1"/>
  <c r="CK5" i="6" s="1"/>
  <c r="CK57" i="6"/>
  <c r="CH8" i="6"/>
  <c r="BP35" i="11"/>
  <c r="BP37" i="11"/>
  <c r="AP43" i="12"/>
  <c r="AR37" i="7"/>
  <c r="AQ46" i="12"/>
  <c r="BV117" i="1"/>
  <c r="BU118" i="1"/>
  <c r="BU109" i="12"/>
  <c r="BQ40" i="11"/>
  <c r="BD40" i="8"/>
  <c r="AS127" i="1" l="1"/>
  <c r="AS130" i="12"/>
  <c r="AS129" i="12" s="1"/>
  <c r="AF6" i="22"/>
  <c r="AF5" i="22" s="1"/>
  <c r="AR126" i="12"/>
  <c r="CK55" i="6"/>
  <c r="CK10" i="6" s="1"/>
  <c r="CJ7" i="6"/>
  <c r="CK7" i="6"/>
  <c r="CK51" i="6"/>
  <c r="CI8" i="6"/>
  <c r="BQ37" i="11"/>
  <c r="BQ35" i="11"/>
  <c r="AS37" i="7"/>
  <c r="AR46" i="12"/>
  <c r="AQ43" i="12"/>
  <c r="BW117" i="1"/>
  <c r="BV118" i="1"/>
  <c r="BV109" i="12"/>
  <c r="BR40" i="11"/>
  <c r="BE40" i="8"/>
  <c r="AS126" i="1" l="1"/>
  <c r="AT130" i="1"/>
  <c r="AT129" i="1" s="1"/>
  <c r="AT16" i="1" s="1"/>
  <c r="AS127" i="12"/>
  <c r="CK8" i="6"/>
  <c r="CJ8" i="6"/>
  <c r="BR35" i="11"/>
  <c r="BR37" i="11"/>
  <c r="AR43" i="12"/>
  <c r="AT37" i="7"/>
  <c r="AS46" i="12"/>
  <c r="BX117" i="1"/>
  <c r="BY117" i="1" s="1"/>
  <c r="BY109" i="12" s="1"/>
  <c r="BY110" i="12" s="1"/>
  <c r="BW109" i="12"/>
  <c r="BW118" i="1"/>
  <c r="BS40" i="11"/>
  <c r="BF40" i="8"/>
  <c r="BY117" i="12" l="1"/>
  <c r="BS13" i="14"/>
  <c r="BS12" i="14" s="1"/>
  <c r="CG20" i="13" s="1"/>
  <c r="AT127" i="1"/>
  <c r="AT130" i="12"/>
  <c r="AT129" i="12" s="1"/>
  <c r="AS126" i="12"/>
  <c r="AG6" i="22"/>
  <c r="AG5" i="22" s="1"/>
  <c r="BZ117" i="1"/>
  <c r="BY118" i="1"/>
  <c r="BS35" i="11"/>
  <c r="BS37" i="11"/>
  <c r="AU37" i="7"/>
  <c r="AT46" i="12"/>
  <c r="AS43" i="12"/>
  <c r="BX109" i="12"/>
  <c r="BX118" i="1"/>
  <c r="BT40" i="11"/>
  <c r="BG40" i="8"/>
  <c r="BZ109" i="12" l="1"/>
  <c r="BZ110" i="12" s="1"/>
  <c r="BZ117" i="12" s="1"/>
  <c r="BT13" i="14"/>
  <c r="BT12" i="14" s="1"/>
  <c r="CH20" i="13" s="1"/>
  <c r="AT126" i="1"/>
  <c r="AU130" i="1"/>
  <c r="AU129" i="1" s="1"/>
  <c r="AU16" i="1" s="1"/>
  <c r="AT127" i="12"/>
  <c r="CA117" i="1"/>
  <c r="CA109" i="12" s="1"/>
  <c r="CA110" i="12" s="1"/>
  <c r="BZ118" i="1"/>
  <c r="BT37" i="11"/>
  <c r="BT35" i="11"/>
  <c r="AT43" i="12"/>
  <c r="AV37" i="7"/>
  <c r="AU46" i="12"/>
  <c r="BT70" i="1"/>
  <c r="BU40" i="11"/>
  <c r="BH40" i="8"/>
  <c r="CA117" i="12" l="1"/>
  <c r="BU13" i="14"/>
  <c r="BU12" i="14" s="1"/>
  <c r="CI20" i="13" s="1"/>
  <c r="AU127" i="1"/>
  <c r="AU130" i="12"/>
  <c r="AU129" i="12" s="1"/>
  <c r="AT126" i="12"/>
  <c r="AH6" i="22"/>
  <c r="AH5" i="22" s="1"/>
  <c r="CA118" i="1"/>
  <c r="CB117" i="1"/>
  <c r="BU35" i="11"/>
  <c r="BU37" i="11"/>
  <c r="AW37" i="7"/>
  <c r="AV46" i="12"/>
  <c r="AU43" i="12"/>
  <c r="BU70" i="1"/>
  <c r="BV40" i="11"/>
  <c r="BI40" i="8"/>
  <c r="CB109" i="12" l="1"/>
  <c r="CB110" i="12" s="1"/>
  <c r="CB117" i="12"/>
  <c r="BV13" i="14"/>
  <c r="BV12" i="14" s="1"/>
  <c r="CJ20" i="13" s="1"/>
  <c r="AV130" i="1"/>
  <c r="AV129" i="1" s="1"/>
  <c r="AV16" i="1" s="1"/>
  <c r="AU127" i="12"/>
  <c r="AU126" i="1"/>
  <c r="CC117" i="1"/>
  <c r="CC109" i="12" s="1"/>
  <c r="CC110" i="12" s="1"/>
  <c r="CB118" i="1"/>
  <c r="BV37" i="11"/>
  <c r="BV35" i="11"/>
  <c r="AV43" i="12"/>
  <c r="AX37" i="7"/>
  <c r="AW46" i="12"/>
  <c r="BV70" i="1"/>
  <c r="BW40" i="11"/>
  <c r="BJ40" i="8"/>
  <c r="CC117" i="12" l="1"/>
  <c r="BW13" i="14"/>
  <c r="BW12" i="14" s="1"/>
  <c r="CK20" i="13" s="1"/>
  <c r="AV127" i="1"/>
  <c r="AV130" i="12"/>
  <c r="AV129" i="12" s="1"/>
  <c r="AU126" i="12"/>
  <c r="AI6" i="22"/>
  <c r="AI5" i="22" s="1"/>
  <c r="CC118" i="1"/>
  <c r="CD117" i="1"/>
  <c r="CD109" i="12" s="1"/>
  <c r="CD110" i="12" s="1"/>
  <c r="BW35" i="11"/>
  <c r="BW37" i="11"/>
  <c r="AY37" i="7"/>
  <c r="AX46" i="12"/>
  <c r="AW43" i="12"/>
  <c r="BW70" i="1"/>
  <c r="BX40" i="11"/>
  <c r="BY40" i="11" s="1"/>
  <c r="BK40" i="8"/>
  <c r="BY35" i="11" l="1"/>
  <c r="BZ40" i="11"/>
  <c r="BY37" i="11"/>
  <c r="CD117" i="12"/>
  <c r="BX13" i="14"/>
  <c r="BX12" i="14" s="1"/>
  <c r="CL20" i="13" s="1"/>
  <c r="AW130" i="1"/>
  <c r="AW129" i="1" s="1"/>
  <c r="AW16" i="1" s="1"/>
  <c r="AV126" i="1"/>
  <c r="AV127" i="12"/>
  <c r="CD118" i="1"/>
  <c r="CE117" i="1"/>
  <c r="CE109" i="12" s="1"/>
  <c r="CE110" i="12" s="1"/>
  <c r="BX37" i="11"/>
  <c r="BX35" i="11"/>
  <c r="AX43" i="12"/>
  <c r="AZ37" i="7"/>
  <c r="AY46" i="12"/>
  <c r="BX70" i="1"/>
  <c r="BL40" i="8"/>
  <c r="BY43" i="12" l="1"/>
  <c r="BY41" i="12" s="1"/>
  <c r="BY39" i="11"/>
  <c r="BZ35" i="11"/>
  <c r="CA40" i="11"/>
  <c r="BZ37" i="11"/>
  <c r="CE117" i="12"/>
  <c r="BY13" i="14"/>
  <c r="BY12" i="14" s="1"/>
  <c r="CM20" i="13" s="1"/>
  <c r="AW127" i="1"/>
  <c r="AW130" i="12"/>
  <c r="AW129" i="12" s="1"/>
  <c r="AJ6" i="22"/>
  <c r="AJ5" i="22" s="1"/>
  <c r="AV126" i="12"/>
  <c r="CE118" i="1"/>
  <c r="CF117" i="1"/>
  <c r="CF109" i="12" s="1"/>
  <c r="CF110" i="12" s="1"/>
  <c r="BA37" i="7"/>
  <c r="AZ46" i="12"/>
  <c r="AY43" i="12"/>
  <c r="BM40" i="8"/>
  <c r="BZ39" i="11" l="1"/>
  <c r="CB40" i="11"/>
  <c r="CA37" i="11"/>
  <c r="CA35" i="11"/>
  <c r="BZ43" i="12"/>
  <c r="BY57" i="11"/>
  <c r="BY81" i="11"/>
  <c r="BY45" i="11"/>
  <c r="BY44" i="11" s="1"/>
  <c r="BY60" i="11"/>
  <c r="BY56" i="11"/>
  <c r="BY59" i="11"/>
  <c r="BY52" i="11"/>
  <c r="BY82" i="11"/>
  <c r="BY55" i="11"/>
  <c r="BY4" i="11"/>
  <c r="BY53" i="11"/>
  <c r="CF117" i="12"/>
  <c r="BZ13" i="14"/>
  <c r="BZ12" i="14" s="1"/>
  <c r="CN20" i="13" s="1"/>
  <c r="AW127" i="12"/>
  <c r="AW126" i="1"/>
  <c r="AX130" i="1"/>
  <c r="AX129" i="1" s="1"/>
  <c r="AX16" i="1" s="1"/>
  <c r="CF118" i="1"/>
  <c r="CG117" i="1"/>
  <c r="CG109" i="12" s="1"/>
  <c r="CG110" i="12" s="1"/>
  <c r="AZ43" i="12"/>
  <c r="BB37" i="7"/>
  <c r="BA46" i="12"/>
  <c r="BY5" i="11" l="1"/>
  <c r="BY7" i="11" s="1"/>
  <c r="CA43" i="12"/>
  <c r="CA39" i="11"/>
  <c r="CC40" i="11"/>
  <c r="CB37" i="11"/>
  <c r="CB35" i="11"/>
  <c r="BY54" i="11"/>
  <c r="BY51" i="11"/>
  <c r="BZ55" i="11"/>
  <c r="BZ52" i="11"/>
  <c r="BZ56" i="11"/>
  <c r="BZ81" i="11"/>
  <c r="BZ60" i="11"/>
  <c r="BZ59" i="11"/>
  <c r="BZ4" i="11"/>
  <c r="BZ53" i="11"/>
  <c r="BZ82" i="11"/>
  <c r="BZ45" i="11"/>
  <c r="BZ57" i="11"/>
  <c r="CG117" i="12"/>
  <c r="CA13" i="14"/>
  <c r="CA12" i="14" s="1"/>
  <c r="CO20" i="13" s="1"/>
  <c r="AX127" i="1"/>
  <c r="AY130" i="1" s="1"/>
  <c r="AK6" i="22"/>
  <c r="AK5" i="22" s="1"/>
  <c r="AW126" i="12"/>
  <c r="AX130" i="12"/>
  <c r="AX129" i="12" s="1"/>
  <c r="CG118" i="1"/>
  <c r="CH117" i="1"/>
  <c r="CH109" i="12" s="1"/>
  <c r="CH110" i="12" s="1"/>
  <c r="BC37" i="7"/>
  <c r="BB46" i="12"/>
  <c r="BA43" i="12"/>
  <c r="BO40" i="8"/>
  <c r="BY8" i="11" l="1"/>
  <c r="BY10" i="11"/>
  <c r="CD40" i="11"/>
  <c r="CC35" i="11"/>
  <c r="CC37" i="11"/>
  <c r="CA82" i="11"/>
  <c r="CA55" i="11"/>
  <c r="CA53" i="11"/>
  <c r="CA60" i="11"/>
  <c r="CA57" i="11"/>
  <c r="CA45" i="11"/>
  <c r="CA44" i="11" s="1"/>
  <c r="CA4" i="11"/>
  <c r="CA81" i="11"/>
  <c r="CA59" i="11"/>
  <c r="CA56" i="11"/>
  <c r="CA52" i="11"/>
  <c r="CA51" i="11" s="1"/>
  <c r="BZ44" i="11"/>
  <c r="BZ51" i="11"/>
  <c r="BZ54" i="11"/>
  <c r="CB39" i="11"/>
  <c r="CB43" i="12"/>
  <c r="CH117" i="12"/>
  <c r="CB13" i="14"/>
  <c r="CB12" i="14" s="1"/>
  <c r="CP20" i="13" s="1"/>
  <c r="AX127" i="12"/>
  <c r="AY130" i="12" s="1"/>
  <c r="AY129" i="12" s="1"/>
  <c r="AX126" i="1"/>
  <c r="AY129" i="1"/>
  <c r="AY16" i="1" s="1"/>
  <c r="AY127" i="1"/>
  <c r="CI117" i="1"/>
  <c r="CI109" i="12" s="1"/>
  <c r="CI110" i="12" s="1"/>
  <c r="CH118" i="1"/>
  <c r="BB43" i="12"/>
  <c r="BD37" i="7"/>
  <c r="BC46" i="12"/>
  <c r="BP40" i="8"/>
  <c r="BZ5" i="11" l="1"/>
  <c r="CA5" i="11"/>
  <c r="CA7" i="11" s="1"/>
  <c r="BZ10" i="11"/>
  <c r="CA54" i="11"/>
  <c r="CE40" i="11"/>
  <c r="CD35" i="11"/>
  <c r="CD37" i="11"/>
  <c r="CC43" i="12"/>
  <c r="CC39" i="11"/>
  <c r="CB45" i="11"/>
  <c r="CB60" i="11"/>
  <c r="CB53" i="11"/>
  <c r="CB82" i="11"/>
  <c r="CB81" i="11"/>
  <c r="CB57" i="11"/>
  <c r="CB4" i="11"/>
  <c r="CB59" i="11"/>
  <c r="CB55" i="11"/>
  <c r="CB52" i="11"/>
  <c r="CB56" i="11"/>
  <c r="CI117" i="12"/>
  <c r="CC13" i="14"/>
  <c r="CC12" i="14" s="1"/>
  <c r="CQ20" i="13" s="1"/>
  <c r="AL6" i="22"/>
  <c r="AL5" i="22" s="1"/>
  <c r="AX126" i="12"/>
  <c r="AZ130" i="1"/>
  <c r="AZ129" i="1" s="1"/>
  <c r="AZ16" i="1" s="1"/>
  <c r="AY127" i="12"/>
  <c r="AY126" i="1"/>
  <c r="CI118" i="1"/>
  <c r="CJ117" i="1"/>
  <c r="CJ109" i="12" s="1"/>
  <c r="CJ110" i="12" s="1"/>
  <c r="BE37" i="7"/>
  <c r="BD46" i="12"/>
  <c r="BC43" i="12"/>
  <c r="BQ40" i="8"/>
  <c r="CA8" i="11" l="1"/>
  <c r="CD39" i="11"/>
  <c r="CD43" i="12"/>
  <c r="CC82" i="11"/>
  <c r="CC55" i="11"/>
  <c r="CC56" i="11"/>
  <c r="CC59" i="11"/>
  <c r="CC60" i="11"/>
  <c r="CC81" i="11"/>
  <c r="CC4" i="11"/>
  <c r="CC57" i="11"/>
  <c r="CC45" i="11"/>
  <c r="CC44" i="11" s="1"/>
  <c r="CC53" i="11"/>
  <c r="CC52" i="11"/>
  <c r="CA10" i="11"/>
  <c r="CF40" i="11"/>
  <c r="CE37" i="11"/>
  <c r="CE35" i="11"/>
  <c r="CB54" i="11"/>
  <c r="CB44" i="11"/>
  <c r="CB51" i="11"/>
  <c r="BZ7" i="11"/>
  <c r="BZ8" i="11" s="1"/>
  <c r="CJ117" i="12"/>
  <c r="CD13" i="14"/>
  <c r="CD12" i="14" s="1"/>
  <c r="CR20" i="13" s="1"/>
  <c r="AZ127" i="1"/>
  <c r="AY126" i="12"/>
  <c r="AZ130" i="12"/>
  <c r="AZ129" i="12" s="1"/>
  <c r="AM6" i="22"/>
  <c r="AM5" i="22" s="1"/>
  <c r="CJ118" i="1"/>
  <c r="CK117" i="1"/>
  <c r="BD43" i="12"/>
  <c r="BF37" i="7"/>
  <c r="BE46" i="12"/>
  <c r="BR40" i="8"/>
  <c r="CK109" i="12" l="1"/>
  <c r="CK110" i="12" s="1"/>
  <c r="CD53" i="11"/>
  <c r="CD4" i="11"/>
  <c r="CD52" i="11"/>
  <c r="CD81" i="11"/>
  <c r="CD57" i="11"/>
  <c r="CD55" i="11"/>
  <c r="CD56" i="11"/>
  <c r="CD59" i="11"/>
  <c r="CD60" i="11"/>
  <c r="CD45" i="11"/>
  <c r="CD44" i="11" s="1"/>
  <c r="CD82" i="11"/>
  <c r="CC54" i="11"/>
  <c r="CG40" i="11"/>
  <c r="CF37" i="11"/>
  <c r="CF35" i="11"/>
  <c r="CB5" i="11"/>
  <c r="CC5" i="11"/>
  <c r="CC7" i="11" s="1"/>
  <c r="CC51" i="11"/>
  <c r="CE39" i="11"/>
  <c r="CE43" i="12"/>
  <c r="CE41" i="12" s="1"/>
  <c r="CB10" i="11"/>
  <c r="CK117" i="12"/>
  <c r="CE13" i="14"/>
  <c r="CE12" i="14" s="1"/>
  <c r="CS20" i="13" s="1"/>
  <c r="AZ127" i="12"/>
  <c r="BA130" i="1"/>
  <c r="AZ126" i="1"/>
  <c r="CK118" i="1"/>
  <c r="BG37" i="7"/>
  <c r="BF46" i="12"/>
  <c r="BE43" i="12"/>
  <c r="BS40" i="8"/>
  <c r="CC8" i="11" l="1"/>
  <c r="CC10" i="11"/>
  <c r="CB7" i="11"/>
  <c r="CF43" i="12"/>
  <c r="CF41" i="12" s="1"/>
  <c r="CF39" i="11"/>
  <c r="CD54" i="11"/>
  <c r="CE59" i="11"/>
  <c r="CE81" i="11"/>
  <c r="CE56" i="11"/>
  <c r="CE60" i="11"/>
  <c r="CE4" i="11"/>
  <c r="CE52" i="11"/>
  <c r="CE53" i="11"/>
  <c r="CE82" i="11"/>
  <c r="CE55" i="11"/>
  <c r="CE57" i="11"/>
  <c r="CE45" i="11"/>
  <c r="CE44" i="11" s="1"/>
  <c r="CD5" i="11"/>
  <c r="CD7" i="11" s="1"/>
  <c r="CH40" i="11"/>
  <c r="CG35" i="11"/>
  <c r="CG37" i="11"/>
  <c r="CD51" i="11"/>
  <c r="BA130" i="12"/>
  <c r="BA129" i="12" s="1"/>
  <c r="AN6" i="22"/>
  <c r="AN5" i="22" s="1"/>
  <c r="AZ126" i="12"/>
  <c r="BA127" i="1"/>
  <c r="BA129" i="1"/>
  <c r="BA16" i="1" s="1"/>
  <c r="BF43" i="12"/>
  <c r="BH37" i="7"/>
  <c r="BG46" i="12"/>
  <c r="BT40" i="8"/>
  <c r="CE51" i="11" l="1"/>
  <c r="CD10" i="11"/>
  <c r="CE5" i="11"/>
  <c r="CF82" i="11"/>
  <c r="CF56" i="11"/>
  <c r="CF57" i="11"/>
  <c r="CF4" i="11"/>
  <c r="CF45" i="11"/>
  <c r="CF59" i="11"/>
  <c r="CF60" i="11"/>
  <c r="CF52" i="11"/>
  <c r="CF53" i="11"/>
  <c r="CF55" i="11"/>
  <c r="CF81" i="11"/>
  <c r="CG43" i="12"/>
  <c r="CG41" i="12" s="1"/>
  <c r="CG39" i="11"/>
  <c r="CD8" i="11"/>
  <c r="CE54" i="11"/>
  <c r="CI40" i="11"/>
  <c r="CH35" i="11"/>
  <c r="CH37" i="11"/>
  <c r="CB8" i="11"/>
  <c r="BA127" i="12"/>
  <c r="BB130" i="1"/>
  <c r="BB129" i="1" s="1"/>
  <c r="BB16" i="1" s="1"/>
  <c r="BA126" i="1"/>
  <c r="BI37" i="7"/>
  <c r="BH46" i="12"/>
  <c r="BG43" i="12"/>
  <c r="BU40" i="8"/>
  <c r="CF44" i="11" l="1"/>
  <c r="CE10" i="11"/>
  <c r="CG81" i="11"/>
  <c r="CG53" i="11"/>
  <c r="CG55" i="11"/>
  <c r="CG57" i="11"/>
  <c r="CG60" i="11"/>
  <c r="CG45" i="11"/>
  <c r="CG44" i="11" s="1"/>
  <c r="CG82" i="11"/>
  <c r="CG56" i="11"/>
  <c r="CG4" i="11"/>
  <c r="CG59" i="11"/>
  <c r="CG52" i="11"/>
  <c r="CE7" i="11"/>
  <c r="CF54" i="11"/>
  <c r="CH39" i="11"/>
  <c r="CH43" i="12"/>
  <c r="CH41" i="12" s="1"/>
  <c r="CF51" i="11"/>
  <c r="CJ40" i="11"/>
  <c r="CI37" i="11"/>
  <c r="CI35" i="11"/>
  <c r="BB127" i="1"/>
  <c r="BC130" i="1" s="1"/>
  <c r="BC129" i="1" s="1"/>
  <c r="BC16" i="1" s="1"/>
  <c r="BB130" i="12"/>
  <c r="BB129" i="12" s="1"/>
  <c r="CR127" i="12"/>
  <c r="CR126" i="12" s="1"/>
  <c r="BA126" i="12"/>
  <c r="AO6" i="22"/>
  <c r="AO5" i="22" s="1"/>
  <c r="BH43" i="12"/>
  <c r="BJ37" i="7"/>
  <c r="BI46" i="12"/>
  <c r="BV40" i="8"/>
  <c r="CG54" i="11" l="1"/>
  <c r="CG51" i="11"/>
  <c r="CH60" i="11"/>
  <c r="CH4" i="11"/>
  <c r="CH53" i="11"/>
  <c r="CH52" i="11"/>
  <c r="CH59" i="11"/>
  <c r="CH57" i="11"/>
  <c r="CH82" i="11"/>
  <c r="CH55" i="11"/>
  <c r="CH56" i="11"/>
  <c r="CH81" i="11"/>
  <c r="CH45" i="11"/>
  <c r="CH44" i="11" s="1"/>
  <c r="CG7" i="11"/>
  <c r="CG8" i="11" s="1"/>
  <c r="CF10" i="11"/>
  <c r="CG5" i="11"/>
  <c r="CG10" i="11"/>
  <c r="CK40" i="11"/>
  <c r="CJ35" i="11"/>
  <c r="CJ37" i="11"/>
  <c r="CI43" i="12"/>
  <c r="CI41" i="12" s="1"/>
  <c r="CI39" i="11"/>
  <c r="CE8" i="11"/>
  <c r="CF5" i="11"/>
  <c r="BC127" i="1"/>
  <c r="BC126" i="1" s="1"/>
  <c r="BB127" i="12"/>
  <c r="BB126" i="12" s="1"/>
  <c r="BB126" i="1"/>
  <c r="BK37" i="7"/>
  <c r="BJ46" i="12"/>
  <c r="BI43" i="12"/>
  <c r="BW40" i="8"/>
  <c r="BC127" i="12" l="1"/>
  <c r="AQ6" i="22" s="1"/>
  <c r="AQ5" i="22" s="1"/>
  <c r="BD130" i="1"/>
  <c r="BD129" i="1" s="1"/>
  <c r="BD16" i="1" s="1"/>
  <c r="CJ43" i="12"/>
  <c r="CJ41" i="12" s="1"/>
  <c r="CJ39" i="11"/>
  <c r="CH54" i="11"/>
  <c r="CH5" i="11"/>
  <c r="CH7" i="11" s="1"/>
  <c r="CF7" i="11"/>
  <c r="CF8" i="11" s="1"/>
  <c r="CK37" i="11"/>
  <c r="CK35" i="11"/>
  <c r="CI4" i="11"/>
  <c r="CI82" i="11"/>
  <c r="CI56" i="11"/>
  <c r="CI57" i="11"/>
  <c r="CI81" i="11"/>
  <c r="CI53" i="11"/>
  <c r="CI60" i="11"/>
  <c r="CI55" i="11"/>
  <c r="CI52" i="11"/>
  <c r="CI51" i="11" s="1"/>
  <c r="CI45" i="11"/>
  <c r="CI44" i="11" s="1"/>
  <c r="CI59" i="11"/>
  <c r="CH51" i="11"/>
  <c r="BC130" i="12"/>
  <c r="BC129" i="12" s="1"/>
  <c r="AP6" i="22"/>
  <c r="AP5" i="22" s="1"/>
  <c r="BD127" i="1"/>
  <c r="BJ43" i="12"/>
  <c r="BL37" i="7"/>
  <c r="BK46" i="12"/>
  <c r="BX40" i="8"/>
  <c r="BY40" i="8" s="1"/>
  <c r="BZ40" i="8" s="1"/>
  <c r="CA40" i="8" s="1"/>
  <c r="CB40" i="8" s="1"/>
  <c r="CC40" i="8" s="1"/>
  <c r="CD40" i="8" s="1"/>
  <c r="CE40" i="8" s="1"/>
  <c r="CF40" i="8" s="1"/>
  <c r="CG40" i="8" s="1"/>
  <c r="CH40" i="8" s="1"/>
  <c r="CI40" i="8" s="1"/>
  <c r="CJ40" i="8" s="1"/>
  <c r="CK40" i="8" s="1"/>
  <c r="BC126" i="12" l="1"/>
  <c r="BD130" i="12"/>
  <c r="BD129" i="12" s="1"/>
  <c r="CK43" i="12"/>
  <c r="CK41" i="12" s="1"/>
  <c r="CK39" i="11"/>
  <c r="CH10" i="11"/>
  <c r="CJ45" i="11"/>
  <c r="CJ44" i="11" s="1"/>
  <c r="CJ59" i="11"/>
  <c r="CJ60" i="11"/>
  <c r="CJ4" i="11"/>
  <c r="CJ82" i="11"/>
  <c r="CJ57" i="11"/>
  <c r="CJ52" i="11"/>
  <c r="CJ53" i="11"/>
  <c r="CJ55" i="11"/>
  <c r="CJ56" i="11"/>
  <c r="CJ81" i="11"/>
  <c r="CI5" i="11"/>
  <c r="CI7" i="11" s="1"/>
  <c r="CI54" i="11"/>
  <c r="CH8" i="11"/>
  <c r="BD126" i="1"/>
  <c r="BD127" i="12"/>
  <c r="BE130" i="1"/>
  <c r="BM37" i="7"/>
  <c r="BL46" i="12"/>
  <c r="BK43" i="12"/>
  <c r="CI10" i="11" l="1"/>
  <c r="CJ5" i="11"/>
  <c r="CK57" i="11"/>
  <c r="CK45" i="11"/>
  <c r="CK59" i="11"/>
  <c r="CK4" i="11"/>
  <c r="CK52" i="11"/>
  <c r="CK81" i="11"/>
  <c r="CK56" i="11"/>
  <c r="CK60" i="11"/>
  <c r="CK53" i="11"/>
  <c r="CK55" i="11"/>
  <c r="CK82" i="11"/>
  <c r="CJ7" i="11"/>
  <c r="CI8" i="11"/>
  <c r="CJ54" i="11"/>
  <c r="CJ51" i="11"/>
  <c r="BE129" i="1"/>
  <c r="BE16" i="1" s="1"/>
  <c r="BE127" i="1"/>
  <c r="BD126" i="12"/>
  <c r="AR6" i="22"/>
  <c r="AR5" i="22" s="1"/>
  <c r="BE130" i="12"/>
  <c r="BE129" i="12" s="1"/>
  <c r="BL43" i="12"/>
  <c r="BN37" i="7"/>
  <c r="BM46" i="12"/>
  <c r="CJ8" i="11" l="1"/>
  <c r="CJ10" i="11"/>
  <c r="CK51" i="11"/>
  <c r="CK44" i="11"/>
  <c r="CK54" i="11"/>
  <c r="BE127" i="12"/>
  <c r="BF130" i="1"/>
  <c r="BE126" i="1"/>
  <c r="BO37" i="7"/>
  <c r="BN46" i="12"/>
  <c r="BM43" i="12"/>
  <c r="BP3" i="14"/>
  <c r="BP2" i="14" s="1"/>
  <c r="BQ3" i="14"/>
  <c r="BQ2" i="14" s="1"/>
  <c r="BR3" i="14"/>
  <c r="BR2" i="14" s="1"/>
  <c r="BV3" i="12"/>
  <c r="BV2" i="12" s="1"/>
  <c r="BW3" i="12"/>
  <c r="BW2" i="12" s="1"/>
  <c r="BX3" i="12"/>
  <c r="BX2" i="12" s="1"/>
  <c r="BV42" i="12"/>
  <c r="BW42" i="12"/>
  <c r="BX42" i="12"/>
  <c r="BV45" i="12"/>
  <c r="BW45" i="12"/>
  <c r="BX45" i="12"/>
  <c r="BV68" i="12"/>
  <c r="BW68" i="12"/>
  <c r="BX68" i="12"/>
  <c r="BV69" i="12"/>
  <c r="BW69" i="12"/>
  <c r="BX69" i="12"/>
  <c r="BV70" i="12"/>
  <c r="BW70" i="12"/>
  <c r="BX70" i="12"/>
  <c r="BV75" i="12"/>
  <c r="BW75" i="12"/>
  <c r="BX75" i="12"/>
  <c r="BV78" i="12"/>
  <c r="BW78" i="12"/>
  <c r="BX78" i="12"/>
  <c r="BV79" i="12"/>
  <c r="BW79" i="12"/>
  <c r="BX79" i="12"/>
  <c r="BV80" i="12"/>
  <c r="BW80" i="12"/>
  <c r="BX80" i="12"/>
  <c r="BV81" i="12"/>
  <c r="BW81" i="12"/>
  <c r="BX81" i="12"/>
  <c r="BV106" i="12"/>
  <c r="BW106" i="12"/>
  <c r="BX106" i="12"/>
  <c r="BV107" i="12"/>
  <c r="BW107" i="12"/>
  <c r="BX107" i="12"/>
  <c r="BV39" i="11"/>
  <c r="BV45" i="11" s="1"/>
  <c r="BW39" i="11"/>
  <c r="BW45" i="11" s="1"/>
  <c r="BX39" i="11"/>
  <c r="BX45" i="11" s="1"/>
  <c r="BV46" i="11"/>
  <c r="BW46" i="11"/>
  <c r="BX46" i="11"/>
  <c r="BV58" i="11"/>
  <c r="BW58" i="11"/>
  <c r="BX58" i="11"/>
  <c r="BV91" i="11"/>
  <c r="BW91" i="11"/>
  <c r="BX91" i="11"/>
  <c r="BV39" i="8"/>
  <c r="BV45" i="8" s="1"/>
  <c r="BW39" i="8"/>
  <c r="BW45" i="8" s="1"/>
  <c r="BX39" i="8"/>
  <c r="BX45" i="8" s="1"/>
  <c r="BV46" i="8"/>
  <c r="BW46" i="8"/>
  <c r="BX46" i="8"/>
  <c r="BV58" i="8"/>
  <c r="BW58" i="8"/>
  <c r="BX58" i="8"/>
  <c r="BV91" i="8"/>
  <c r="BW91" i="8"/>
  <c r="BX91" i="8"/>
  <c r="BV58" i="7"/>
  <c r="BW58" i="7"/>
  <c r="BX58" i="7"/>
  <c r="BV90" i="7"/>
  <c r="BW90" i="7"/>
  <c r="BX90" i="7"/>
  <c r="BV39" i="6"/>
  <c r="BV4" i="6" s="1"/>
  <c r="BW39" i="6"/>
  <c r="BW4" i="6" s="1"/>
  <c r="BX39" i="6"/>
  <c r="BX4" i="6" s="1"/>
  <c r="BV46" i="6"/>
  <c r="BW46" i="6"/>
  <c r="BX46" i="6"/>
  <c r="BV90" i="6"/>
  <c r="BW90" i="6"/>
  <c r="BX90" i="6"/>
  <c r="BV2" i="5"/>
  <c r="BW2" i="5"/>
  <c r="BX2" i="5"/>
  <c r="BW39" i="5"/>
  <c r="BW45" i="5" s="1"/>
  <c r="BX39" i="5"/>
  <c r="BX45" i="5" s="1"/>
  <c r="BV46" i="5"/>
  <c r="BW46" i="5"/>
  <c r="BX46" i="5"/>
  <c r="BV91" i="5"/>
  <c r="BV108" i="12" s="1"/>
  <c r="BW91" i="5"/>
  <c r="BW108" i="12" s="1"/>
  <c r="BX91" i="5"/>
  <c r="BX108" i="12" s="1"/>
  <c r="BV72" i="1"/>
  <c r="BW72" i="1"/>
  <c r="BX72" i="1"/>
  <c r="BV89" i="1"/>
  <c r="BW89" i="1"/>
  <c r="BX89" i="1"/>
  <c r="CK10" i="11" l="1"/>
  <c r="CK5" i="11"/>
  <c r="BF129" i="1"/>
  <c r="BF16" i="1" s="1"/>
  <c r="BF127" i="1"/>
  <c r="AS6" i="22"/>
  <c r="AS5" i="22" s="1"/>
  <c r="BE126" i="12"/>
  <c r="BF130" i="12"/>
  <c r="BF129" i="12" s="1"/>
  <c r="BV56" i="6"/>
  <c r="BX52" i="6"/>
  <c r="BN43" i="12"/>
  <c r="BP37" i="7"/>
  <c r="BO46" i="12"/>
  <c r="BX110" i="12"/>
  <c r="BW110" i="12"/>
  <c r="BV110" i="12"/>
  <c r="BV57" i="8"/>
  <c r="BW4" i="5"/>
  <c r="BW44" i="5"/>
  <c r="BX86" i="12"/>
  <c r="BX104" i="12" s="1"/>
  <c r="BW57" i="8"/>
  <c r="BX4" i="5"/>
  <c r="BV82" i="6"/>
  <c r="BX57" i="8"/>
  <c r="BW86" i="12"/>
  <c r="BW104" i="12" s="1"/>
  <c r="BV52" i="6"/>
  <c r="BV58" i="6"/>
  <c r="BW52" i="6"/>
  <c r="BW57" i="6"/>
  <c r="BV59" i="6"/>
  <c r="BV53" i="6"/>
  <c r="BV45" i="6"/>
  <c r="BV44" i="6" s="1"/>
  <c r="BX40" i="12"/>
  <c r="BX52" i="12" s="1"/>
  <c r="BV81" i="6"/>
  <c r="BV79" i="6"/>
  <c r="BV57" i="6"/>
  <c r="BX58" i="6"/>
  <c r="BW58" i="6"/>
  <c r="BX82" i="5"/>
  <c r="BX80" i="5"/>
  <c r="BX60" i="5"/>
  <c r="BX52" i="5"/>
  <c r="BX83" i="5"/>
  <c r="BX59" i="5"/>
  <c r="BX53" i="6"/>
  <c r="BX51" i="6" s="1"/>
  <c r="BX82" i="6"/>
  <c r="BW81" i="6"/>
  <c r="BX79" i="6"/>
  <c r="BW59" i="6"/>
  <c r="BX56" i="6"/>
  <c r="BW53" i="6"/>
  <c r="BW45" i="6"/>
  <c r="BW44" i="6" s="1"/>
  <c r="BX81" i="6"/>
  <c r="BX59" i="6"/>
  <c r="BX45" i="6"/>
  <c r="BX44" i="6" s="1"/>
  <c r="BW82" i="6"/>
  <c r="BW79" i="6"/>
  <c r="BX57" i="6"/>
  <c r="BW56" i="6"/>
  <c r="BW58" i="5"/>
  <c r="BX56" i="5"/>
  <c r="BW82" i="5"/>
  <c r="BW60" i="5"/>
  <c r="BW52" i="5"/>
  <c r="BW56" i="5"/>
  <c r="BW83" i="5"/>
  <c r="BW80" i="5"/>
  <c r="BW59" i="5"/>
  <c r="BW53" i="5"/>
  <c r="BX58" i="5"/>
  <c r="BX53" i="5"/>
  <c r="BX44" i="5"/>
  <c r="BV39" i="5"/>
  <c r="BV45" i="5" s="1"/>
  <c r="BV86" i="12"/>
  <c r="BV104" i="12" s="1"/>
  <c r="BW40" i="12"/>
  <c r="BW52" i="12" s="1"/>
  <c r="BV40" i="12"/>
  <c r="BV52" i="12" s="1"/>
  <c r="CF3" i="13"/>
  <c r="CF2" i="13" s="1"/>
  <c r="CD3" i="13"/>
  <c r="CD2" i="13" s="1"/>
  <c r="CE3" i="13"/>
  <c r="CE2" i="13" s="1"/>
  <c r="BW34" i="5"/>
  <c r="BW43" i="5" s="1"/>
  <c r="BW79" i="5" s="1"/>
  <c r="BW88" i="5" s="1"/>
  <c r="BX34" i="5"/>
  <c r="BX43" i="5" s="1"/>
  <c r="BX79" i="5" s="1"/>
  <c r="BX88" i="5" s="1"/>
  <c r="BV3" i="6"/>
  <c r="BV2" i="6" s="1"/>
  <c r="BV34" i="5"/>
  <c r="BV43" i="5" s="1"/>
  <c r="BV79" i="5" s="1"/>
  <c r="BV88" i="5" s="1"/>
  <c r="BX3" i="6"/>
  <c r="BW3" i="6"/>
  <c r="BX4" i="11"/>
  <c r="BX44" i="11"/>
  <c r="BX52" i="11"/>
  <c r="BX53" i="11"/>
  <c r="BX55" i="11"/>
  <c r="BX56" i="11"/>
  <c r="BX57" i="11"/>
  <c r="BX59" i="11"/>
  <c r="BX60" i="11"/>
  <c r="BX81" i="11"/>
  <c r="BX82" i="11"/>
  <c r="BW4" i="11"/>
  <c r="BW44" i="11"/>
  <c r="BW52" i="11"/>
  <c r="BW53" i="11"/>
  <c r="BW55" i="11"/>
  <c r="BW56" i="11"/>
  <c r="BW57" i="11"/>
  <c r="BW59" i="11"/>
  <c r="BW60" i="11"/>
  <c r="BW81" i="11"/>
  <c r="BW82" i="11"/>
  <c r="BV4" i="11"/>
  <c r="BV44" i="11"/>
  <c r="BV52" i="11"/>
  <c r="BV53" i="11"/>
  <c r="BV55" i="11"/>
  <c r="BV56" i="11"/>
  <c r="BV57" i="11"/>
  <c r="BV59" i="11"/>
  <c r="BV60" i="11"/>
  <c r="BV81" i="11"/>
  <c r="BV82" i="11"/>
  <c r="BV4" i="8"/>
  <c r="BV44" i="8"/>
  <c r="BV52" i="8"/>
  <c r="BV53" i="8"/>
  <c r="BV55" i="8"/>
  <c r="BV56" i="8"/>
  <c r="BV59" i="8"/>
  <c r="BV60" i="8"/>
  <c r="BV80" i="8"/>
  <c r="BV82" i="8"/>
  <c r="BV83" i="8"/>
  <c r="BX4" i="8"/>
  <c r="BX44" i="8"/>
  <c r="BX52" i="8"/>
  <c r="BX53" i="8"/>
  <c r="BX55" i="8"/>
  <c r="BX56" i="8"/>
  <c r="BX59" i="8"/>
  <c r="BX60" i="8"/>
  <c r="BX80" i="8"/>
  <c r="BX82" i="8"/>
  <c r="BX83" i="8"/>
  <c r="BW4" i="8"/>
  <c r="BW44" i="8"/>
  <c r="BW52" i="8"/>
  <c r="BW53" i="8"/>
  <c r="BW55" i="8"/>
  <c r="BW56" i="8"/>
  <c r="BW59" i="8"/>
  <c r="BW60" i="8"/>
  <c r="BW80" i="8"/>
  <c r="BW82" i="8"/>
  <c r="BW83" i="8"/>
  <c r="CK7" i="11" l="1"/>
  <c r="CK8" i="11" s="1"/>
  <c r="BW117" i="12"/>
  <c r="BQ13" i="14"/>
  <c r="BQ12" i="14" s="1"/>
  <c r="CE20" i="13" s="1"/>
  <c r="BX117" i="12"/>
  <c r="BR13" i="14"/>
  <c r="BR12" i="14" s="1"/>
  <c r="CF20" i="13" s="1"/>
  <c r="BV117" i="12"/>
  <c r="BP13" i="14"/>
  <c r="BP12" i="14" s="1"/>
  <c r="CD20" i="13" s="1"/>
  <c r="BF126" i="1"/>
  <c r="BG130" i="1"/>
  <c r="BF127" i="12"/>
  <c r="BQ37" i="7"/>
  <c r="BP46" i="12"/>
  <c r="BO43" i="12"/>
  <c r="BV125" i="12"/>
  <c r="BV114" i="12"/>
  <c r="BX125" i="12"/>
  <c r="BX114" i="12"/>
  <c r="BW125" i="12"/>
  <c r="BW114" i="12"/>
  <c r="BV135" i="12"/>
  <c r="BW135" i="12"/>
  <c r="BX135" i="12"/>
  <c r="BW51" i="6"/>
  <c r="BV34" i="6"/>
  <c r="BV43" i="6" s="1"/>
  <c r="BV78" i="6" s="1"/>
  <c r="BV87" i="6" s="1"/>
  <c r="BW5" i="6"/>
  <c r="BW7" i="6" s="1"/>
  <c r="BW8" i="6" s="1"/>
  <c r="BV5" i="6"/>
  <c r="BV7" i="6" s="1"/>
  <c r="BV8" i="6" s="1"/>
  <c r="BX51" i="5"/>
  <c r="BV51" i="6"/>
  <c r="BX5" i="6"/>
  <c r="BX7" i="6" s="1"/>
  <c r="BX8" i="6" s="1"/>
  <c r="BW55" i="6"/>
  <c r="BW10" i="6" s="1"/>
  <c r="BV55" i="6"/>
  <c r="BV10" i="6" s="1"/>
  <c r="BX5" i="5"/>
  <c r="BX7" i="5" s="1"/>
  <c r="BX8" i="5" s="1"/>
  <c r="BX55" i="6"/>
  <c r="BX55" i="5"/>
  <c r="BX10" i="5" s="1"/>
  <c r="BW51" i="11"/>
  <c r="BW54" i="8"/>
  <c r="BW5" i="5"/>
  <c r="BW7" i="5" s="1"/>
  <c r="BW8" i="5" s="1"/>
  <c r="BW51" i="5"/>
  <c r="BW55" i="5"/>
  <c r="BW10" i="5" s="1"/>
  <c r="BV3" i="7"/>
  <c r="BV43" i="7" s="1"/>
  <c r="BV79" i="7" s="1"/>
  <c r="BV87" i="7" s="1"/>
  <c r="BV4" i="5"/>
  <c r="BV56" i="5"/>
  <c r="BV80" i="5"/>
  <c r="BV82" i="5"/>
  <c r="BV53" i="5"/>
  <c r="BV60" i="5"/>
  <c r="BV83" i="5"/>
  <c r="BV44" i="5"/>
  <c r="BV52" i="5"/>
  <c r="BV59" i="5"/>
  <c r="BV58" i="5"/>
  <c r="BX2" i="6"/>
  <c r="BX34" i="6"/>
  <c r="BX43" i="6" s="1"/>
  <c r="BX78" i="6" s="1"/>
  <c r="BX87" i="6" s="1"/>
  <c r="BX3" i="7"/>
  <c r="BX34" i="7" s="1"/>
  <c r="BW2" i="6"/>
  <c r="BW3" i="7"/>
  <c r="BW34" i="6"/>
  <c r="BW43" i="6" s="1"/>
  <c r="BW78" i="6" s="1"/>
  <c r="BW87" i="6" s="1"/>
  <c r="BV51" i="11"/>
  <c r="BW54" i="11"/>
  <c r="BX51" i="11"/>
  <c r="BV5" i="11"/>
  <c r="BV7" i="11" s="1"/>
  <c r="BX5" i="11"/>
  <c r="BX7" i="11" s="1"/>
  <c r="BW5" i="11"/>
  <c r="BW7" i="11" s="1"/>
  <c r="BV54" i="11"/>
  <c r="BX54" i="11"/>
  <c r="BX5" i="8"/>
  <c r="BX7" i="8" s="1"/>
  <c r="BX54" i="8"/>
  <c r="BV51" i="8"/>
  <c r="BW51" i="8"/>
  <c r="BV5" i="8"/>
  <c r="BV7" i="8" s="1"/>
  <c r="BW5" i="8"/>
  <c r="BW7" i="8" s="1"/>
  <c r="BX51" i="8"/>
  <c r="BV54" i="8"/>
  <c r="AT6" i="22" l="1"/>
  <c r="AT5" i="22" s="1"/>
  <c r="BG130" i="12"/>
  <c r="BG129" i="12" s="1"/>
  <c r="BF126" i="12"/>
  <c r="BG129" i="1"/>
  <c r="BG16" i="1" s="1"/>
  <c r="BG127" i="1"/>
  <c r="BR37" i="7"/>
  <c r="BQ46" i="12"/>
  <c r="BP43" i="12"/>
  <c r="BX163" i="12"/>
  <c r="BX171" i="12" s="1"/>
  <c r="BX158" i="12"/>
  <c r="BW163" i="12"/>
  <c r="BW171" i="12" s="1"/>
  <c r="BW158" i="12"/>
  <c r="BV163" i="12"/>
  <c r="BV171" i="12" s="1"/>
  <c r="BV158" i="12"/>
  <c r="BV51" i="5"/>
  <c r="BX10" i="6"/>
  <c r="BV3" i="8"/>
  <c r="BV2" i="8" s="1"/>
  <c r="BX2" i="7"/>
  <c r="BV2" i="7"/>
  <c r="BV34" i="7"/>
  <c r="BX10" i="11"/>
  <c r="BW10" i="11"/>
  <c r="BV10" i="11"/>
  <c r="BX10" i="8"/>
  <c r="BV10" i="8"/>
  <c r="BW10" i="8"/>
  <c r="BV55" i="5"/>
  <c r="BV10" i="5" s="1"/>
  <c r="BV5" i="5"/>
  <c r="BV7" i="5" s="1"/>
  <c r="BX3" i="8"/>
  <c r="BX2" i="8" s="1"/>
  <c r="BX43" i="7"/>
  <c r="BX79" i="7" s="1"/>
  <c r="BX87" i="7" s="1"/>
  <c r="BW2" i="7"/>
  <c r="BW34" i="7"/>
  <c r="BW43" i="7"/>
  <c r="BW79" i="7" s="1"/>
  <c r="BW87" i="7" s="1"/>
  <c r="BW3" i="8"/>
  <c r="BW8" i="11"/>
  <c r="BV8" i="11"/>
  <c r="BX8" i="11"/>
  <c r="BX8" i="8"/>
  <c r="BV8" i="8"/>
  <c r="BW8" i="8"/>
  <c r="BH130" i="1" l="1"/>
  <c r="BH129" i="1" s="1"/>
  <c r="BH16" i="1" s="1"/>
  <c r="BG126" i="1"/>
  <c r="BG127" i="12"/>
  <c r="BS37" i="7"/>
  <c r="BR46" i="12"/>
  <c r="BQ43" i="12"/>
  <c r="BV34" i="8"/>
  <c r="BV43" i="8" s="1"/>
  <c r="BV79" i="8" s="1"/>
  <c r="BV88" i="8" s="1"/>
  <c r="BX34" i="8"/>
  <c r="BX43" i="8" s="1"/>
  <c r="BX79" i="8" s="1"/>
  <c r="BX88" i="8" s="1"/>
  <c r="BV8" i="5"/>
  <c r="BW2" i="8"/>
  <c r="BW34" i="8"/>
  <c r="BW43" i="8" s="1"/>
  <c r="BW79" i="8" s="1"/>
  <c r="BW88" i="8" s="1"/>
  <c r="BH127" i="1" l="1"/>
  <c r="AU6" i="22"/>
  <c r="AU5" i="22" s="1"/>
  <c r="BG126" i="12"/>
  <c r="BH130" i="12"/>
  <c r="BH129" i="12" s="1"/>
  <c r="BR43" i="12"/>
  <c r="BT37" i="7"/>
  <c r="BS46" i="12"/>
  <c r="BX2" i="11"/>
  <c r="BX34" i="11"/>
  <c r="BX43" i="11" s="1"/>
  <c r="BX79" i="11" s="1"/>
  <c r="BX87" i="11" s="1"/>
  <c r="BV2" i="11"/>
  <c r="BV34" i="11"/>
  <c r="BV43" i="11" s="1"/>
  <c r="BV79" i="11" s="1"/>
  <c r="BV87" i="11" s="1"/>
  <c r="BV39" i="1"/>
  <c r="BV68" i="1" s="1"/>
  <c r="BV103" i="1" s="1"/>
  <c r="BV113" i="1" s="1"/>
  <c r="BV125" i="1" s="1"/>
  <c r="BV137" i="1" s="1"/>
  <c r="BW39" i="1"/>
  <c r="BW68" i="1" s="1"/>
  <c r="BW103" i="1" s="1"/>
  <c r="BW113" i="1" s="1"/>
  <c r="BW125" i="1" s="1"/>
  <c r="BW137" i="1" s="1"/>
  <c r="BX39" i="1"/>
  <c r="BX68" i="1" s="1"/>
  <c r="BX103" i="1" s="1"/>
  <c r="BX113" i="1" s="1"/>
  <c r="BX125" i="1" s="1"/>
  <c r="BX137" i="1" s="1"/>
  <c r="BV2" i="1"/>
  <c r="BW2" i="1"/>
  <c r="BX2" i="1"/>
  <c r="BH126" i="1" l="1"/>
  <c r="BH127" i="12"/>
  <c r="BI130" i="1"/>
  <c r="BU37" i="7"/>
  <c r="BT46" i="12"/>
  <c r="BS43" i="12"/>
  <c r="BW2" i="11"/>
  <c r="BW34" i="11"/>
  <c r="BW43" i="11" s="1"/>
  <c r="BW79" i="11" s="1"/>
  <c r="BW87" i="11" s="1"/>
  <c r="BI130" i="12" l="1"/>
  <c r="BI129" i="12" s="1"/>
  <c r="BH126" i="12"/>
  <c r="AV6" i="22"/>
  <c r="AV5" i="22" s="1"/>
  <c r="BI129" i="1"/>
  <c r="BI16" i="1" s="1"/>
  <c r="BI127" i="1"/>
  <c r="BT43" i="12"/>
  <c r="BV37" i="7"/>
  <c r="BU46" i="12"/>
  <c r="BI126" i="1" l="1"/>
  <c r="BI127" i="12"/>
  <c r="BJ130" i="1"/>
  <c r="BW37" i="7"/>
  <c r="BV46" i="12"/>
  <c r="BV44" i="12" s="1"/>
  <c r="BU43" i="12"/>
  <c r="CM4" i="12"/>
  <c r="CM23" i="1"/>
  <c r="CM24" i="12" s="1"/>
  <c r="CM5" i="1"/>
  <c r="CM6" i="12" s="1"/>
  <c r="CM27" i="1"/>
  <c r="CM28" i="12" s="1"/>
  <c r="I45" i="12"/>
  <c r="G45" i="12"/>
  <c r="H45" i="12"/>
  <c r="BJ129" i="1" l="1"/>
  <c r="BJ16" i="1" s="1"/>
  <c r="BJ127" i="1"/>
  <c r="BJ130" i="12"/>
  <c r="BJ129" i="12" s="1"/>
  <c r="BI126" i="12"/>
  <c r="AW6" i="22"/>
  <c r="AW5" i="22" s="1"/>
  <c r="BV43" i="12"/>
  <c r="BV41" i="12" s="1"/>
  <c r="BV39" i="7"/>
  <c r="BX37" i="7"/>
  <c r="BY37" i="7" s="1"/>
  <c r="BY46" i="12" s="1"/>
  <c r="BY44" i="12" s="1"/>
  <c r="BW46" i="12"/>
  <c r="BW44" i="12" s="1"/>
  <c r="CM7" i="1"/>
  <c r="CM8" i="1" s="1"/>
  <c r="CM11" i="1"/>
  <c r="CM12" i="12" s="1"/>
  <c r="BK130" i="1" l="1"/>
  <c r="BJ126" i="1"/>
  <c r="BJ127" i="12"/>
  <c r="BZ37" i="7"/>
  <c r="BZ46" i="12" s="1"/>
  <c r="BZ44" i="12" s="1"/>
  <c r="BY39" i="7"/>
  <c r="BV45" i="7"/>
  <c r="BV56" i="7"/>
  <c r="BV57" i="7"/>
  <c r="BV55" i="7"/>
  <c r="BV59" i="7"/>
  <c r="BV4" i="7"/>
  <c r="BV60" i="7"/>
  <c r="BV81" i="7"/>
  <c r="BV95" i="12" s="1"/>
  <c r="BV46" i="7"/>
  <c r="BV53" i="7"/>
  <c r="BV52" i="7"/>
  <c r="BV82" i="7"/>
  <c r="BV98" i="12" s="1"/>
  <c r="BX46" i="12"/>
  <c r="BX44" i="12" s="1"/>
  <c r="BW43" i="12"/>
  <c r="BW41" i="12" s="1"/>
  <c r="BW39" i="7"/>
  <c r="D35" i="13"/>
  <c r="BK129" i="1" l="1"/>
  <c r="BK16" i="1" s="1"/>
  <c r="BK127" i="1"/>
  <c r="AX6" i="22"/>
  <c r="AX5" i="22" s="1"/>
  <c r="BK130" i="12"/>
  <c r="BK129" i="12" s="1"/>
  <c r="BJ126" i="12"/>
  <c r="BY60" i="7"/>
  <c r="BY4" i="7"/>
  <c r="BY55" i="7"/>
  <c r="BY56" i="7"/>
  <c r="BY45" i="7"/>
  <c r="BY59" i="7"/>
  <c r="BY46" i="7"/>
  <c r="BY57" i="7"/>
  <c r="BY53" i="7"/>
  <c r="BY82" i="7"/>
  <c r="BY98" i="12" s="1"/>
  <c r="BY52" i="7"/>
  <c r="BY51" i="7" s="1"/>
  <c r="BY62" i="12" s="1"/>
  <c r="BY81" i="7"/>
  <c r="BY95" i="12" s="1"/>
  <c r="CA37" i="7"/>
  <c r="CA46" i="12" s="1"/>
  <c r="BZ39" i="7"/>
  <c r="BV51" i="7"/>
  <c r="BV62" i="12" s="1"/>
  <c r="BV54" i="7"/>
  <c r="BX43" i="12"/>
  <c r="BX41" i="12" s="1"/>
  <c r="BX39" i="7"/>
  <c r="BW45" i="7"/>
  <c r="BW53" i="7"/>
  <c r="BW82" i="7"/>
  <c r="BW98" i="12" s="1"/>
  <c r="BW55" i="7"/>
  <c r="BW56" i="7"/>
  <c r="BW57" i="7"/>
  <c r="BW46" i="7"/>
  <c r="BW59" i="7"/>
  <c r="BW52" i="7"/>
  <c r="BW4" i="7"/>
  <c r="BW60" i="7"/>
  <c r="BW81" i="7"/>
  <c r="BW95" i="12" s="1"/>
  <c r="BV44" i="7"/>
  <c r="CG21" i="14"/>
  <c r="CH21" i="14"/>
  <c r="F106" i="12"/>
  <c r="G106" i="12"/>
  <c r="H106" i="12"/>
  <c r="I106" i="12"/>
  <c r="J106" i="12"/>
  <c r="K106" i="12"/>
  <c r="F107" i="12"/>
  <c r="G107" i="12"/>
  <c r="H107" i="12"/>
  <c r="I107" i="12"/>
  <c r="J107" i="12"/>
  <c r="K107" i="12"/>
  <c r="F89" i="12"/>
  <c r="G89" i="12"/>
  <c r="H89" i="12"/>
  <c r="F94" i="12"/>
  <c r="G94" i="12"/>
  <c r="H94" i="12"/>
  <c r="I94" i="12"/>
  <c r="F97" i="12"/>
  <c r="G97" i="12"/>
  <c r="H97" i="12"/>
  <c r="I97" i="12"/>
  <c r="F42" i="12"/>
  <c r="G42" i="12"/>
  <c r="H42" i="12"/>
  <c r="I42" i="12"/>
  <c r="J45" i="12"/>
  <c r="K45" i="12"/>
  <c r="F47" i="12"/>
  <c r="G47" i="12"/>
  <c r="H47" i="12"/>
  <c r="I47" i="12"/>
  <c r="J47" i="12"/>
  <c r="K47" i="12"/>
  <c r="R94" i="1"/>
  <c r="R66" i="12" s="1"/>
  <c r="G100" i="1"/>
  <c r="H100" i="1"/>
  <c r="I100" i="1"/>
  <c r="J100" i="1"/>
  <c r="K100" i="1"/>
  <c r="L100" i="1"/>
  <c r="M100" i="1"/>
  <c r="N100" i="1"/>
  <c r="O100" i="1"/>
  <c r="F100" i="1"/>
  <c r="K39" i="11"/>
  <c r="F44" i="11"/>
  <c r="F5" i="11" s="1"/>
  <c r="G44" i="11"/>
  <c r="G5" i="11" s="1"/>
  <c r="H44" i="11"/>
  <c r="I44" i="11"/>
  <c r="J44" i="11"/>
  <c r="K44" i="11"/>
  <c r="F48" i="11"/>
  <c r="G48" i="11"/>
  <c r="H48" i="11"/>
  <c r="I48" i="11"/>
  <c r="J48" i="11"/>
  <c r="K48" i="11"/>
  <c r="F51" i="11"/>
  <c r="G51" i="11"/>
  <c r="H51" i="11"/>
  <c r="I51" i="11"/>
  <c r="J51" i="11"/>
  <c r="K51" i="11"/>
  <c r="F54" i="11"/>
  <c r="G54" i="11"/>
  <c r="H54" i="11"/>
  <c r="I54" i="11"/>
  <c r="J54" i="11"/>
  <c r="K54" i="11"/>
  <c r="F61" i="11"/>
  <c r="G61" i="11"/>
  <c r="H61" i="11"/>
  <c r="I61" i="11"/>
  <c r="J61" i="11"/>
  <c r="K61" i="11"/>
  <c r="F91" i="11"/>
  <c r="G91" i="11"/>
  <c r="H91" i="11"/>
  <c r="I91" i="11"/>
  <c r="J91" i="11"/>
  <c r="K91" i="11"/>
  <c r="F39" i="8"/>
  <c r="G39" i="8"/>
  <c r="I39" i="8"/>
  <c r="I4" i="8" s="1"/>
  <c r="F44" i="8"/>
  <c r="F5" i="8" s="1"/>
  <c r="G44" i="8"/>
  <c r="H44" i="8"/>
  <c r="H5" i="8" s="1"/>
  <c r="I44" i="8"/>
  <c r="I5" i="8" s="1"/>
  <c r="J44" i="8"/>
  <c r="K44" i="8"/>
  <c r="F48" i="8"/>
  <c r="G48" i="8"/>
  <c r="H48" i="8"/>
  <c r="I48" i="8"/>
  <c r="J48" i="8"/>
  <c r="K48" i="8"/>
  <c r="F51" i="8"/>
  <c r="G51" i="8"/>
  <c r="H51" i="8"/>
  <c r="I51" i="8"/>
  <c r="J51" i="8"/>
  <c r="K51" i="8"/>
  <c r="F54" i="8"/>
  <c r="G54" i="8"/>
  <c r="H54" i="8"/>
  <c r="I54" i="8"/>
  <c r="J54" i="8"/>
  <c r="K54" i="8"/>
  <c r="F61" i="8"/>
  <c r="G61" i="8"/>
  <c r="H61" i="8"/>
  <c r="I61" i="8"/>
  <c r="J61" i="8"/>
  <c r="K61" i="8"/>
  <c r="F91" i="8"/>
  <c r="G91" i="8"/>
  <c r="H91" i="8"/>
  <c r="I91" i="8"/>
  <c r="J91" i="8"/>
  <c r="K91" i="8"/>
  <c r="CM34" i="7"/>
  <c r="F44" i="7"/>
  <c r="F5" i="7" s="1"/>
  <c r="G44" i="7"/>
  <c r="G5" i="7" s="1"/>
  <c r="H44" i="7"/>
  <c r="I44" i="7"/>
  <c r="J44" i="7"/>
  <c r="K44" i="7"/>
  <c r="F48" i="7"/>
  <c r="G48" i="7"/>
  <c r="H48" i="7"/>
  <c r="I48" i="7"/>
  <c r="J48" i="7"/>
  <c r="K48" i="7"/>
  <c r="F51" i="7"/>
  <c r="G51" i="7"/>
  <c r="H51" i="7"/>
  <c r="I51" i="7"/>
  <c r="J51" i="7"/>
  <c r="K51" i="7"/>
  <c r="F54" i="7"/>
  <c r="G54" i="7"/>
  <c r="H54" i="7"/>
  <c r="I54" i="7"/>
  <c r="J54" i="7"/>
  <c r="K54" i="7"/>
  <c r="F61" i="7"/>
  <c r="G61" i="7"/>
  <c r="H61" i="7"/>
  <c r="I61" i="7"/>
  <c r="J61" i="7"/>
  <c r="K61" i="7"/>
  <c r="F90" i="7"/>
  <c r="G90" i="7"/>
  <c r="H90" i="7"/>
  <c r="I90" i="7"/>
  <c r="J90" i="7"/>
  <c r="K90" i="7"/>
  <c r="J39" i="6"/>
  <c r="K39" i="6"/>
  <c r="F44" i="6"/>
  <c r="G44" i="6"/>
  <c r="H44" i="6"/>
  <c r="I44" i="6"/>
  <c r="J44" i="6"/>
  <c r="K44" i="6"/>
  <c r="F48" i="6"/>
  <c r="G48" i="6"/>
  <c r="H48" i="6"/>
  <c r="I48" i="6"/>
  <c r="J48" i="6"/>
  <c r="K48" i="6"/>
  <c r="F51" i="6"/>
  <c r="G51" i="6"/>
  <c r="H51" i="6"/>
  <c r="I51" i="6"/>
  <c r="J51" i="6"/>
  <c r="K51" i="6"/>
  <c r="F55" i="6"/>
  <c r="G55" i="6"/>
  <c r="H55" i="6"/>
  <c r="I55" i="6"/>
  <c r="J55" i="6"/>
  <c r="K55" i="6"/>
  <c r="F60" i="6"/>
  <c r="G60" i="6"/>
  <c r="H60" i="6"/>
  <c r="I60" i="6"/>
  <c r="J60" i="6"/>
  <c r="K60" i="6"/>
  <c r="F90" i="6"/>
  <c r="G90" i="6"/>
  <c r="H90" i="6"/>
  <c r="I90" i="6"/>
  <c r="J90" i="6"/>
  <c r="K90" i="6"/>
  <c r="F44" i="5"/>
  <c r="G44" i="5"/>
  <c r="H44" i="5"/>
  <c r="I44" i="5"/>
  <c r="J44" i="5"/>
  <c r="K44" i="5"/>
  <c r="F48" i="5"/>
  <c r="G48" i="5"/>
  <c r="H48" i="5"/>
  <c r="I48" i="5"/>
  <c r="J48" i="5"/>
  <c r="K48" i="5"/>
  <c r="F51" i="5"/>
  <c r="G51" i="5"/>
  <c r="H51" i="5"/>
  <c r="I51" i="5"/>
  <c r="J51" i="5"/>
  <c r="K51" i="5"/>
  <c r="F55" i="5"/>
  <c r="G55" i="5"/>
  <c r="H55" i="5"/>
  <c r="I55" i="5"/>
  <c r="J55" i="5"/>
  <c r="K55" i="5"/>
  <c r="F61" i="5"/>
  <c r="G61" i="5"/>
  <c r="H61" i="5"/>
  <c r="I61" i="5"/>
  <c r="J61" i="5"/>
  <c r="K61" i="5"/>
  <c r="F91" i="5"/>
  <c r="F108" i="12" s="1"/>
  <c r="G91" i="5"/>
  <c r="G108" i="12" s="1"/>
  <c r="H91" i="5"/>
  <c r="H108" i="12" s="1"/>
  <c r="I91" i="5"/>
  <c r="I108" i="12" s="1"/>
  <c r="J91" i="5"/>
  <c r="J108" i="12" s="1"/>
  <c r="K91" i="5"/>
  <c r="K108" i="12" s="1"/>
  <c r="F39" i="5"/>
  <c r="G39" i="5"/>
  <c r="G4" i="5" s="1"/>
  <c r="F3" i="12"/>
  <c r="N3" i="13" s="1"/>
  <c r="G3" i="12"/>
  <c r="G2" i="12" s="1"/>
  <c r="H3" i="12"/>
  <c r="H2" i="12" s="1"/>
  <c r="I3" i="12"/>
  <c r="I40" i="12" s="1"/>
  <c r="I52" i="12" s="1"/>
  <c r="J3" i="12"/>
  <c r="K3" i="12"/>
  <c r="L3" i="12"/>
  <c r="M3" i="12"/>
  <c r="N3" i="12"/>
  <c r="O3" i="12"/>
  <c r="P3" i="12"/>
  <c r="Q3" i="12"/>
  <c r="R3" i="12"/>
  <c r="S3" i="12"/>
  <c r="T3" i="12"/>
  <c r="U3" i="12"/>
  <c r="V3" i="12"/>
  <c r="W3" i="12"/>
  <c r="X3" i="12"/>
  <c r="Y3" i="12"/>
  <c r="Z3" i="12"/>
  <c r="AA3" i="12"/>
  <c r="AB3" i="12"/>
  <c r="AC3" i="12"/>
  <c r="AD3" i="12"/>
  <c r="AE3" i="12"/>
  <c r="AF3" i="12"/>
  <c r="AG3" i="12"/>
  <c r="AH3" i="12"/>
  <c r="AI3" i="12"/>
  <c r="AJ3" i="12"/>
  <c r="AK3" i="12"/>
  <c r="AL3" i="12"/>
  <c r="AM3" i="12"/>
  <c r="AN3" i="12"/>
  <c r="AO3" i="12"/>
  <c r="AP3" i="12"/>
  <c r="AQ3" i="12"/>
  <c r="AR3" i="12"/>
  <c r="AS3" i="12"/>
  <c r="AT3" i="12"/>
  <c r="AU3" i="12"/>
  <c r="AV3" i="12"/>
  <c r="AW3" i="12"/>
  <c r="AX3" i="12"/>
  <c r="AY3" i="12"/>
  <c r="AZ3" i="12"/>
  <c r="BA3" i="12"/>
  <c r="BB3" i="12"/>
  <c r="BC3" i="12"/>
  <c r="BD3" i="12"/>
  <c r="BE3" i="12"/>
  <c r="BF3" i="12"/>
  <c r="BG3" i="12"/>
  <c r="BH3" i="12"/>
  <c r="BI3" i="12"/>
  <c r="BJ3" i="12"/>
  <c r="BK3" i="12"/>
  <c r="BL3" i="12"/>
  <c r="BM3" i="12"/>
  <c r="BN3" i="12"/>
  <c r="BO3" i="12"/>
  <c r="BP3" i="12"/>
  <c r="BQ3" i="12"/>
  <c r="BR3" i="12"/>
  <c r="BS3" i="12"/>
  <c r="CA3" i="13" s="1"/>
  <c r="CA2" i="13" s="1"/>
  <c r="BT3" i="12"/>
  <c r="CB3" i="13" s="1"/>
  <c r="CB2" i="13" s="1"/>
  <c r="BU3" i="12"/>
  <c r="CC3" i="13" s="1"/>
  <c r="CC2" i="13" s="1"/>
  <c r="F94" i="1"/>
  <c r="F66" i="12" s="1"/>
  <c r="G94" i="1"/>
  <c r="G66" i="12" s="1"/>
  <c r="H94" i="1"/>
  <c r="H66" i="12" s="1"/>
  <c r="I94" i="1"/>
  <c r="I66" i="12" s="1"/>
  <c r="J94" i="1"/>
  <c r="J66" i="12" s="1"/>
  <c r="K94" i="1"/>
  <c r="K66" i="12" s="1"/>
  <c r="L94" i="1"/>
  <c r="L66" i="12" s="1"/>
  <c r="M94" i="1"/>
  <c r="M66" i="12" s="1"/>
  <c r="N94" i="1"/>
  <c r="N66" i="12" s="1"/>
  <c r="O94" i="1"/>
  <c r="O66" i="12" s="1"/>
  <c r="P94" i="1"/>
  <c r="P66" i="12" s="1"/>
  <c r="Q94" i="1"/>
  <c r="Q66" i="12" s="1"/>
  <c r="G47" i="1"/>
  <c r="H47" i="1"/>
  <c r="I47" i="1"/>
  <c r="BK126" i="1" l="1"/>
  <c r="BL130" i="1"/>
  <c r="BK127" i="12"/>
  <c r="BY44" i="7"/>
  <c r="BY54" i="7"/>
  <c r="BZ57" i="7"/>
  <c r="BZ55" i="7"/>
  <c r="BZ46" i="7"/>
  <c r="BZ59" i="7"/>
  <c r="BZ4" i="7"/>
  <c r="BZ45" i="7"/>
  <c r="BZ52" i="7"/>
  <c r="BZ81" i="7"/>
  <c r="BZ95" i="12" s="1"/>
  <c r="BZ53" i="7"/>
  <c r="BZ82" i="7"/>
  <c r="BZ98" i="12" s="1"/>
  <c r="BZ56" i="7"/>
  <c r="BZ60" i="7"/>
  <c r="G65" i="12"/>
  <c r="CB37" i="7"/>
  <c r="CB46" i="12" s="1"/>
  <c r="CA39" i="7"/>
  <c r="F59" i="12"/>
  <c r="I4" i="1"/>
  <c r="I36" i="1"/>
  <c r="H4" i="1"/>
  <c r="H36" i="1"/>
  <c r="G4" i="1"/>
  <c r="H65" i="12"/>
  <c r="F65" i="12"/>
  <c r="I59" i="12"/>
  <c r="H59" i="12"/>
  <c r="I65" i="12"/>
  <c r="K62" i="12"/>
  <c r="K5" i="5"/>
  <c r="K55" i="12"/>
  <c r="J62" i="12"/>
  <c r="J5" i="5"/>
  <c r="J55" i="12"/>
  <c r="G59" i="12"/>
  <c r="I55" i="12"/>
  <c r="H62" i="12"/>
  <c r="H55" i="12"/>
  <c r="I62" i="12"/>
  <c r="G62" i="12"/>
  <c r="G55" i="12"/>
  <c r="BW44" i="7"/>
  <c r="BW55" i="12" s="1"/>
  <c r="F62" i="12"/>
  <c r="K65" i="12"/>
  <c r="K59" i="12"/>
  <c r="F55" i="12"/>
  <c r="J65" i="12"/>
  <c r="J59" i="12"/>
  <c r="BW54" i="7"/>
  <c r="BW65" i="12" s="1"/>
  <c r="BW51" i="7"/>
  <c r="BW62" i="12" s="1"/>
  <c r="BX45" i="7"/>
  <c r="BX57" i="7"/>
  <c r="BX59" i="7"/>
  <c r="BX4" i="7"/>
  <c r="BX60" i="7"/>
  <c r="BX56" i="7"/>
  <c r="BX46" i="7"/>
  <c r="BX81" i="7"/>
  <c r="BX95" i="12" s="1"/>
  <c r="BX52" i="7"/>
  <c r="BX82" i="7"/>
  <c r="BX98" i="12" s="1"/>
  <c r="BX55" i="7"/>
  <c r="BX53" i="7"/>
  <c r="BV55" i="12"/>
  <c r="BV5" i="7"/>
  <c r="BV7" i="7" s="1"/>
  <c r="BV8" i="7" s="1"/>
  <c r="BV65" i="12"/>
  <c r="BV10" i="7"/>
  <c r="J110" i="12"/>
  <c r="J117" i="12" s="1"/>
  <c r="F110" i="12"/>
  <c r="F117" i="12" s="1"/>
  <c r="G110" i="12"/>
  <c r="G117" i="12" s="1"/>
  <c r="I110" i="12"/>
  <c r="I117" i="12" s="1"/>
  <c r="H110" i="12"/>
  <c r="H117" i="12" s="1"/>
  <c r="K110" i="12"/>
  <c r="K117" i="12" s="1"/>
  <c r="G5" i="8"/>
  <c r="J5" i="8"/>
  <c r="H5" i="11"/>
  <c r="I5" i="6"/>
  <c r="N2" i="13"/>
  <c r="I5" i="7"/>
  <c r="H5" i="5"/>
  <c r="G40" i="12"/>
  <c r="G52" i="12" s="1"/>
  <c r="F11" i="8"/>
  <c r="J39" i="7"/>
  <c r="J4" i="7" s="1"/>
  <c r="F39" i="7"/>
  <c r="F4" i="7" s="1"/>
  <c r="F7" i="7" s="1"/>
  <c r="F8" i="7" s="1"/>
  <c r="I39" i="5"/>
  <c r="I4" i="5" s="1"/>
  <c r="K39" i="7"/>
  <c r="K4" i="7" s="1"/>
  <c r="I11" i="7"/>
  <c r="J39" i="8"/>
  <c r="J83" i="8" s="1"/>
  <c r="J10" i="8" s="1"/>
  <c r="H11" i="11"/>
  <c r="N12" i="13"/>
  <c r="F83" i="5"/>
  <c r="F4" i="5"/>
  <c r="I39" i="6"/>
  <c r="H11" i="7"/>
  <c r="K11" i="5"/>
  <c r="H11" i="6"/>
  <c r="J47" i="7"/>
  <c r="J75" i="7" s="1"/>
  <c r="J11" i="8"/>
  <c r="J39" i="11"/>
  <c r="J4" i="11" s="1"/>
  <c r="F11" i="5"/>
  <c r="F5" i="6"/>
  <c r="G11" i="6"/>
  <c r="J47" i="11"/>
  <c r="J75" i="11" s="1"/>
  <c r="F39" i="11"/>
  <c r="F4" i="8"/>
  <c r="F7" i="8" s="1"/>
  <c r="F8" i="8" s="1"/>
  <c r="F83" i="8"/>
  <c r="H11" i="5"/>
  <c r="I5" i="5"/>
  <c r="H39" i="5"/>
  <c r="F11" i="6"/>
  <c r="I39" i="7"/>
  <c r="I41" i="12"/>
  <c r="I47" i="7"/>
  <c r="I75" i="7" s="1"/>
  <c r="G47" i="7"/>
  <c r="G75" i="7" s="1"/>
  <c r="I83" i="8"/>
  <c r="H47" i="8"/>
  <c r="H75" i="8" s="1"/>
  <c r="P3" i="13"/>
  <c r="P2" i="13" s="1"/>
  <c r="H39" i="6"/>
  <c r="H5" i="7"/>
  <c r="H39" i="7"/>
  <c r="H41" i="12"/>
  <c r="H47" i="7"/>
  <c r="H75" i="7" s="1"/>
  <c r="F47" i="7"/>
  <c r="F75" i="7" s="1"/>
  <c r="I5" i="11"/>
  <c r="O3" i="13"/>
  <c r="O2" i="13" s="1"/>
  <c r="F5" i="5"/>
  <c r="K39" i="5"/>
  <c r="K5" i="7"/>
  <c r="F47" i="8"/>
  <c r="F75" i="8" s="1"/>
  <c r="F93" i="8" s="1"/>
  <c r="I7" i="8"/>
  <c r="I8" i="8" s="1"/>
  <c r="J47" i="5"/>
  <c r="J75" i="5" s="1"/>
  <c r="K5" i="6"/>
  <c r="F47" i="6"/>
  <c r="F74" i="6" s="1"/>
  <c r="J5" i="7"/>
  <c r="G47" i="8"/>
  <c r="G75" i="8" s="1"/>
  <c r="G93" i="8" s="1"/>
  <c r="H39" i="8"/>
  <c r="K11" i="11"/>
  <c r="K47" i="11"/>
  <c r="K75" i="11" s="1"/>
  <c r="K93" i="11" s="1"/>
  <c r="I47" i="11"/>
  <c r="I75" i="11" s="1"/>
  <c r="H40" i="12"/>
  <c r="H52" i="12" s="1"/>
  <c r="G5" i="5"/>
  <c r="G7" i="5" s="1"/>
  <c r="G8" i="5" s="1"/>
  <c r="J5" i="6"/>
  <c r="G39" i="7"/>
  <c r="K47" i="7"/>
  <c r="K75" i="7" s="1"/>
  <c r="K11" i="8"/>
  <c r="J11" i="11"/>
  <c r="J5" i="11"/>
  <c r="H47" i="11"/>
  <c r="H75" i="11" s="1"/>
  <c r="K39" i="8"/>
  <c r="K4" i="8" s="1"/>
  <c r="G39" i="11"/>
  <c r="G4" i="11" s="1"/>
  <c r="G7" i="11" s="1"/>
  <c r="K86" i="12"/>
  <c r="K104" i="12" s="1"/>
  <c r="S3" i="13"/>
  <c r="S2" i="13" s="1"/>
  <c r="J2" i="12"/>
  <c r="R3" i="13"/>
  <c r="R2" i="13" s="1"/>
  <c r="J39" i="5"/>
  <c r="G83" i="5"/>
  <c r="I11" i="5"/>
  <c r="G11" i="5"/>
  <c r="J11" i="6"/>
  <c r="H5" i="6"/>
  <c r="K11" i="6"/>
  <c r="I47" i="6"/>
  <c r="I74" i="6" s="1"/>
  <c r="G39" i="6"/>
  <c r="G82" i="6" s="1"/>
  <c r="H11" i="8"/>
  <c r="K5" i="8"/>
  <c r="J47" i="8"/>
  <c r="J75" i="8" s="1"/>
  <c r="G11" i="11"/>
  <c r="F47" i="11"/>
  <c r="F75" i="11" s="1"/>
  <c r="I39" i="11"/>
  <c r="J11" i="5"/>
  <c r="H47" i="5"/>
  <c r="H75" i="5" s="1"/>
  <c r="F47" i="5"/>
  <c r="F75" i="5" s="1"/>
  <c r="F93" i="5" s="1"/>
  <c r="G5" i="6"/>
  <c r="J47" i="6"/>
  <c r="J74" i="6" s="1"/>
  <c r="J92" i="6" s="1"/>
  <c r="H47" i="6"/>
  <c r="H74" i="6" s="1"/>
  <c r="F39" i="6"/>
  <c r="F82" i="6" s="1"/>
  <c r="G11" i="8"/>
  <c r="K47" i="8"/>
  <c r="K75" i="8" s="1"/>
  <c r="I47" i="8"/>
  <c r="I75" i="8" s="1"/>
  <c r="I93" i="8" s="1"/>
  <c r="F11" i="11"/>
  <c r="G47" i="11"/>
  <c r="G75" i="11" s="1"/>
  <c r="K5" i="11"/>
  <c r="H39" i="11"/>
  <c r="Q3" i="13"/>
  <c r="Q2" i="13" s="1"/>
  <c r="J86" i="12"/>
  <c r="J104" i="12" s="1"/>
  <c r="I90" i="12"/>
  <c r="F40" i="12"/>
  <c r="F52" i="12" s="1"/>
  <c r="F86" i="12"/>
  <c r="F104" i="12" s="1"/>
  <c r="S94" i="1"/>
  <c r="S66" i="12" s="1"/>
  <c r="G90" i="12"/>
  <c r="J90" i="12"/>
  <c r="F90" i="12"/>
  <c r="I86" i="12"/>
  <c r="I104" i="12" s="1"/>
  <c r="I93" i="12"/>
  <c r="G93" i="12"/>
  <c r="H86" i="12"/>
  <c r="H104" i="12" s="1"/>
  <c r="K90" i="12"/>
  <c r="H93" i="12"/>
  <c r="F93" i="12"/>
  <c r="G86" i="12"/>
  <c r="G104" i="12" s="1"/>
  <c r="H90" i="12"/>
  <c r="I44" i="12"/>
  <c r="K44" i="12"/>
  <c r="G44" i="12"/>
  <c r="H44" i="12"/>
  <c r="J44" i="12"/>
  <c r="I3" i="6"/>
  <c r="I34" i="6" s="1"/>
  <c r="I43" i="6" s="1"/>
  <c r="I78" i="6" s="1"/>
  <c r="I87" i="6" s="1"/>
  <c r="H3" i="6"/>
  <c r="H3" i="7" s="1"/>
  <c r="K2" i="12"/>
  <c r="K40" i="12"/>
  <c r="K52" i="12" s="1"/>
  <c r="K82" i="11"/>
  <c r="K4" i="11"/>
  <c r="I11" i="11"/>
  <c r="G4" i="8"/>
  <c r="G83" i="8"/>
  <c r="I11" i="8"/>
  <c r="K11" i="7"/>
  <c r="G11" i="7"/>
  <c r="J11" i="7"/>
  <c r="F11" i="7"/>
  <c r="J82" i="6"/>
  <c r="J4" i="6"/>
  <c r="K4" i="6"/>
  <c r="K82" i="6"/>
  <c r="K47" i="6"/>
  <c r="K74" i="6" s="1"/>
  <c r="K92" i="6" s="1"/>
  <c r="I11" i="6"/>
  <c r="G47" i="6"/>
  <c r="G74" i="6" s="1"/>
  <c r="I47" i="5"/>
  <c r="I75" i="5" s="1"/>
  <c r="K47" i="5"/>
  <c r="K75" i="5" s="1"/>
  <c r="G47" i="5"/>
  <c r="G75" i="5" s="1"/>
  <c r="G93" i="5" s="1"/>
  <c r="J40" i="12"/>
  <c r="J52" i="12" s="1"/>
  <c r="F2" i="12"/>
  <c r="I2" i="12"/>
  <c r="BY10" i="7" l="1"/>
  <c r="BY65" i="12"/>
  <c r="BY5" i="7"/>
  <c r="BY7" i="7" s="1"/>
  <c r="BY8" i="7" s="1"/>
  <c r="BY55" i="12"/>
  <c r="BZ44" i="7"/>
  <c r="AY6" i="22"/>
  <c r="AY5" i="22" s="1"/>
  <c r="BL130" i="12"/>
  <c r="BL129" i="12" s="1"/>
  <c r="BK126" i="12"/>
  <c r="BL129" i="1"/>
  <c r="BL16" i="1" s="1"/>
  <c r="BL127" i="1"/>
  <c r="BZ51" i="7"/>
  <c r="BZ62" i="12" s="1"/>
  <c r="CA45" i="7"/>
  <c r="CA46" i="7"/>
  <c r="CA60" i="7"/>
  <c r="CA4" i="7"/>
  <c r="CA56" i="7"/>
  <c r="CA55" i="7"/>
  <c r="CA57" i="7"/>
  <c r="CA52" i="7"/>
  <c r="CA81" i="7"/>
  <c r="CA95" i="12" s="1"/>
  <c r="CA59" i="7"/>
  <c r="CA82" i="7"/>
  <c r="CA98" i="12" s="1"/>
  <c r="CA53" i="7"/>
  <c r="CC37" i="7"/>
  <c r="CC46" i="12" s="1"/>
  <c r="CB39" i="7"/>
  <c r="BZ54" i="7"/>
  <c r="BW10" i="7"/>
  <c r="BX51" i="7"/>
  <c r="BX62" i="12" s="1"/>
  <c r="BW5" i="7"/>
  <c r="BW7" i="7" s="1"/>
  <c r="BW8" i="7" s="1"/>
  <c r="F10" i="5"/>
  <c r="G10" i="5"/>
  <c r="BX44" i="7"/>
  <c r="BX5" i="7" s="1"/>
  <c r="BX7" i="7" s="1"/>
  <c r="BX8" i="7" s="1"/>
  <c r="BX54" i="7"/>
  <c r="BX65" i="12" s="1"/>
  <c r="I125" i="12"/>
  <c r="I114" i="12"/>
  <c r="K125" i="12"/>
  <c r="K114" i="12"/>
  <c r="F125" i="12"/>
  <c r="F114" i="12"/>
  <c r="H125" i="12"/>
  <c r="H114" i="12"/>
  <c r="G125" i="12"/>
  <c r="G114" i="12"/>
  <c r="J125" i="12"/>
  <c r="J114" i="12"/>
  <c r="J135" i="12"/>
  <c r="K135" i="12"/>
  <c r="H135" i="12"/>
  <c r="I135" i="12"/>
  <c r="G135" i="12"/>
  <c r="F135" i="12"/>
  <c r="H92" i="6"/>
  <c r="G7" i="8"/>
  <c r="G8" i="8" s="1"/>
  <c r="J7" i="11"/>
  <c r="J8" i="11" s="1"/>
  <c r="J93" i="11"/>
  <c r="J82" i="11"/>
  <c r="J83" i="11" s="1"/>
  <c r="J12" i="11" s="1"/>
  <c r="H48" i="12"/>
  <c r="I48" i="12"/>
  <c r="I92" i="6"/>
  <c r="K7" i="6"/>
  <c r="K8" i="6" s="1"/>
  <c r="G4" i="6"/>
  <c r="G7" i="6" s="1"/>
  <c r="G8" i="6" s="1"/>
  <c r="H93" i="5"/>
  <c r="K82" i="7"/>
  <c r="K83" i="7" s="1"/>
  <c r="K12" i="7" s="1"/>
  <c r="J7" i="7"/>
  <c r="J8" i="7" s="1"/>
  <c r="J82" i="7"/>
  <c r="J10" i="7" s="1"/>
  <c r="J92" i="7"/>
  <c r="F92" i="6"/>
  <c r="I7" i="5"/>
  <c r="I8" i="5" s="1"/>
  <c r="I83" i="5"/>
  <c r="F84" i="5"/>
  <c r="F12" i="5" s="1"/>
  <c r="G93" i="11"/>
  <c r="G82" i="11"/>
  <c r="F93" i="11"/>
  <c r="J4" i="8"/>
  <c r="J7" i="8" s="1"/>
  <c r="J84" i="8"/>
  <c r="J12" i="8" s="1"/>
  <c r="K93" i="8"/>
  <c r="J93" i="8"/>
  <c r="K7" i="7"/>
  <c r="K8" i="7" s="1"/>
  <c r="F92" i="7"/>
  <c r="K92" i="7"/>
  <c r="F82" i="7"/>
  <c r="F10" i="7" s="1"/>
  <c r="F4" i="6"/>
  <c r="F7" i="6" s="1"/>
  <c r="F8" i="6" s="1"/>
  <c r="K93" i="5"/>
  <c r="I93" i="5"/>
  <c r="F7" i="5"/>
  <c r="F8" i="5" s="1"/>
  <c r="I34" i="5"/>
  <c r="I43" i="5" s="1"/>
  <c r="I79" i="5" s="1"/>
  <c r="I88" i="5" s="1"/>
  <c r="I3" i="7"/>
  <c r="I34" i="7" s="1"/>
  <c r="K7" i="8"/>
  <c r="K8" i="8" s="1"/>
  <c r="J93" i="5"/>
  <c r="G41" i="12"/>
  <c r="G48" i="12" s="1"/>
  <c r="I2" i="6"/>
  <c r="I92" i="7"/>
  <c r="H93" i="8"/>
  <c r="F82" i="11"/>
  <c r="F4" i="11"/>
  <c r="F7" i="11" s="1"/>
  <c r="F8" i="11" s="1"/>
  <c r="K7" i="11"/>
  <c r="K8" i="11" s="1"/>
  <c r="F41" i="12"/>
  <c r="I4" i="6"/>
  <c r="I7" i="6" s="1"/>
  <c r="I8" i="6" s="1"/>
  <c r="I82" i="6"/>
  <c r="G4" i="7"/>
  <c r="G7" i="7" s="1"/>
  <c r="G82" i="7"/>
  <c r="G98" i="12" s="1"/>
  <c r="H4" i="7"/>
  <c r="H7" i="7" s="1"/>
  <c r="H82" i="7"/>
  <c r="G92" i="6"/>
  <c r="I4" i="11"/>
  <c r="I7" i="11" s="1"/>
  <c r="I82" i="11"/>
  <c r="H82" i="6"/>
  <c r="H4" i="6"/>
  <c r="H7" i="6" s="1"/>
  <c r="I84" i="8"/>
  <c r="I12" i="8" s="1"/>
  <c r="I10" i="8"/>
  <c r="H93" i="11"/>
  <c r="K4" i="5"/>
  <c r="K7" i="5" s="1"/>
  <c r="K83" i="5"/>
  <c r="G92" i="7"/>
  <c r="H83" i="5"/>
  <c r="H4" i="5"/>
  <c r="H7" i="5" s="1"/>
  <c r="K83" i="8"/>
  <c r="G84" i="5"/>
  <c r="G12" i="5" s="1"/>
  <c r="I93" i="11"/>
  <c r="H92" i="7"/>
  <c r="F84" i="8"/>
  <c r="F12" i="8" s="1"/>
  <c r="F10" i="8"/>
  <c r="H82" i="11"/>
  <c r="H4" i="11"/>
  <c r="H7" i="11" s="1"/>
  <c r="J7" i="6"/>
  <c r="J8" i="6" s="1"/>
  <c r="J83" i="5"/>
  <c r="J4" i="5"/>
  <c r="J7" i="5" s="1"/>
  <c r="H4" i="8"/>
  <c r="H7" i="8" s="1"/>
  <c r="H83" i="8"/>
  <c r="I4" i="7"/>
  <c r="I7" i="7" s="1"/>
  <c r="I82" i="7"/>
  <c r="T94" i="1"/>
  <c r="T66" i="12" s="1"/>
  <c r="H34" i="5"/>
  <c r="H43" i="5" s="1"/>
  <c r="H79" i="5" s="1"/>
  <c r="H88" i="5" s="1"/>
  <c r="H2" i="6"/>
  <c r="H34" i="6"/>
  <c r="H43" i="6" s="1"/>
  <c r="H78" i="6" s="1"/>
  <c r="H87" i="6" s="1"/>
  <c r="F34" i="5"/>
  <c r="F43" i="5" s="1"/>
  <c r="F79" i="5" s="1"/>
  <c r="F88" i="5" s="1"/>
  <c r="F3" i="6"/>
  <c r="K3" i="6"/>
  <c r="K34" i="5"/>
  <c r="K43" i="5" s="1"/>
  <c r="K79" i="5" s="1"/>
  <c r="K88" i="5" s="1"/>
  <c r="H34" i="7"/>
  <c r="H3" i="8"/>
  <c r="H43" i="7"/>
  <c r="H79" i="7" s="1"/>
  <c r="H87" i="7" s="1"/>
  <c r="H2" i="7"/>
  <c r="J34" i="5"/>
  <c r="J43" i="5" s="1"/>
  <c r="J79" i="5" s="1"/>
  <c r="J88" i="5" s="1"/>
  <c r="J3" i="6"/>
  <c r="G3" i="6"/>
  <c r="G34" i="5"/>
  <c r="G43" i="5" s="1"/>
  <c r="G79" i="5" s="1"/>
  <c r="G88" i="5" s="1"/>
  <c r="G8" i="11"/>
  <c r="K83" i="11"/>
  <c r="K12" i="11" s="1"/>
  <c r="K10" i="11"/>
  <c r="G10" i="8"/>
  <c r="G84" i="8"/>
  <c r="G12" i="8" s="1"/>
  <c r="F10" i="6"/>
  <c r="F83" i="6"/>
  <c r="F12" i="6" s="1"/>
  <c r="K83" i="6"/>
  <c r="K12" i="6" s="1"/>
  <c r="K10" i="6"/>
  <c r="G83" i="6"/>
  <c r="G12" i="6" s="1"/>
  <c r="G10" i="6"/>
  <c r="J10" i="6"/>
  <c r="J83" i="6"/>
  <c r="J12" i="6" s="1"/>
  <c r="BZ5" i="7" l="1"/>
  <c r="BZ7" i="7" s="1"/>
  <c r="BZ55" i="12"/>
  <c r="CA51" i="7"/>
  <c r="CA62" i="12" s="1"/>
  <c r="BZ10" i="7"/>
  <c r="BZ65" i="12"/>
  <c r="BL126" i="1"/>
  <c r="BM130" i="1"/>
  <c r="BL127" i="12"/>
  <c r="CA54" i="7"/>
  <c r="CB60" i="7"/>
  <c r="CB81" i="7"/>
  <c r="CB95" i="12" s="1"/>
  <c r="CB59" i="7"/>
  <c r="CB53" i="7"/>
  <c r="CB82" i="7"/>
  <c r="CB98" i="12" s="1"/>
  <c r="CB55" i="7"/>
  <c r="CB57" i="7"/>
  <c r="CB45" i="7"/>
  <c r="CB46" i="7"/>
  <c r="CB56" i="7"/>
  <c r="CB4" i="7"/>
  <c r="CB52" i="7"/>
  <c r="CD37" i="7"/>
  <c r="CD46" i="12" s="1"/>
  <c r="CD44" i="12" s="1"/>
  <c r="CC39" i="7"/>
  <c r="CA44" i="7"/>
  <c r="CA55" i="12" s="1"/>
  <c r="BZ8" i="7"/>
  <c r="G14" i="5"/>
  <c r="G18" i="5" s="1"/>
  <c r="G22" i="5" s="1"/>
  <c r="BX55" i="12"/>
  <c r="K98" i="12"/>
  <c r="BX10" i="7"/>
  <c r="H98" i="12"/>
  <c r="F98" i="12"/>
  <c r="I10" i="5"/>
  <c r="I98" i="12"/>
  <c r="J98" i="12"/>
  <c r="I115" i="12"/>
  <c r="G115" i="12"/>
  <c r="G4" i="12" s="1"/>
  <c r="O4" i="13" s="1"/>
  <c r="H115" i="12"/>
  <c r="H4" i="12" s="1"/>
  <c r="P4" i="13" s="1"/>
  <c r="F163" i="12"/>
  <c r="F171" i="12" s="1"/>
  <c r="F158" i="12"/>
  <c r="I163" i="12"/>
  <c r="I171" i="12" s="1"/>
  <c r="I158" i="12"/>
  <c r="H163" i="12"/>
  <c r="H171" i="12" s="1"/>
  <c r="H158" i="12"/>
  <c r="G163" i="12"/>
  <c r="G171" i="12" s="1"/>
  <c r="G158" i="12"/>
  <c r="K163" i="12"/>
  <c r="K171" i="12" s="1"/>
  <c r="K158" i="12"/>
  <c r="J163" i="12"/>
  <c r="J171" i="12" s="1"/>
  <c r="J158" i="12"/>
  <c r="J10" i="11"/>
  <c r="J14" i="11" s="1"/>
  <c r="J18" i="11" s="1"/>
  <c r="J22" i="11" s="1"/>
  <c r="K10" i="7"/>
  <c r="K14" i="7" s="1"/>
  <c r="K18" i="7" s="1"/>
  <c r="K22" i="7" s="1"/>
  <c r="K24" i="7" s="1"/>
  <c r="K26" i="7" s="1"/>
  <c r="G24" i="5"/>
  <c r="G26" i="5" s="1"/>
  <c r="K84" i="8"/>
  <c r="K12" i="8" s="1"/>
  <c r="K10" i="8"/>
  <c r="F14" i="5"/>
  <c r="F18" i="5" s="1"/>
  <c r="F22" i="5" s="1"/>
  <c r="J83" i="7"/>
  <c r="J12" i="7" s="1"/>
  <c r="J14" i="7" s="1"/>
  <c r="J18" i="7" s="1"/>
  <c r="J22" i="7" s="1"/>
  <c r="J24" i="7" s="1"/>
  <c r="J26" i="7" s="1"/>
  <c r="I84" i="5"/>
  <c r="I12" i="5" s="1"/>
  <c r="G83" i="11"/>
  <c r="G12" i="11" s="1"/>
  <c r="G10" i="11"/>
  <c r="G14" i="11" s="1"/>
  <c r="G18" i="11" s="1"/>
  <c r="G22" i="11" s="1"/>
  <c r="J14" i="8"/>
  <c r="J18" i="8" s="1"/>
  <c r="J22" i="8" s="1"/>
  <c r="J24" i="8" s="1"/>
  <c r="J26" i="8" s="1"/>
  <c r="J8" i="8"/>
  <c r="F83" i="7"/>
  <c r="F12" i="7" s="1"/>
  <c r="F14" i="7" s="1"/>
  <c r="F18" i="7" s="1"/>
  <c r="F22" i="7" s="1"/>
  <c r="F24" i="7" s="1"/>
  <c r="F26" i="7" s="1"/>
  <c r="I2" i="7"/>
  <c r="I14" i="8"/>
  <c r="I18" i="8" s="1"/>
  <c r="I22" i="8" s="1"/>
  <c r="I24" i="8" s="1"/>
  <c r="F14" i="8"/>
  <c r="F18" i="8" s="1"/>
  <c r="F22" i="8" s="1"/>
  <c r="F24" i="8" s="1"/>
  <c r="F26" i="8" s="1"/>
  <c r="I3" i="8"/>
  <c r="I34" i="8" s="1"/>
  <c r="I43" i="8" s="1"/>
  <c r="I79" i="8" s="1"/>
  <c r="I88" i="8" s="1"/>
  <c r="I43" i="7"/>
  <c r="I79" i="7" s="1"/>
  <c r="I87" i="7" s="1"/>
  <c r="I10" i="6"/>
  <c r="I83" i="6"/>
  <c r="I12" i="6" s="1"/>
  <c r="F10" i="11"/>
  <c r="F83" i="11"/>
  <c r="F12" i="11" s="1"/>
  <c r="G14" i="8"/>
  <c r="G18" i="8" s="1"/>
  <c r="G22" i="8" s="1"/>
  <c r="G24" i="8" s="1"/>
  <c r="G26" i="8" s="1"/>
  <c r="G14" i="6"/>
  <c r="G18" i="6" s="1"/>
  <c r="G22" i="6" s="1"/>
  <c r="F14" i="6"/>
  <c r="F18" i="6" s="1"/>
  <c r="F22" i="6" s="1"/>
  <c r="K14" i="11"/>
  <c r="K18" i="11" s="1"/>
  <c r="K22" i="11" s="1"/>
  <c r="I83" i="7"/>
  <c r="I12" i="7" s="1"/>
  <c r="I10" i="7"/>
  <c r="H8" i="7"/>
  <c r="K8" i="5"/>
  <c r="H8" i="5"/>
  <c r="G83" i="7"/>
  <c r="G12" i="7" s="1"/>
  <c r="G10" i="7"/>
  <c r="H8" i="8"/>
  <c r="I8" i="7"/>
  <c r="K14" i="6"/>
  <c r="K18" i="6" s="1"/>
  <c r="K22" i="6" s="1"/>
  <c r="H8" i="11"/>
  <c r="H84" i="5"/>
  <c r="H12" i="5" s="1"/>
  <c r="H10" i="5"/>
  <c r="H8" i="6"/>
  <c r="G8" i="7"/>
  <c r="J8" i="5"/>
  <c r="I8" i="11"/>
  <c r="H84" i="8"/>
  <c r="H12" i="8" s="1"/>
  <c r="H10" i="8"/>
  <c r="K84" i="5"/>
  <c r="K12" i="5" s="1"/>
  <c r="K10" i="5"/>
  <c r="H10" i="11"/>
  <c r="H83" i="11"/>
  <c r="H12" i="11" s="1"/>
  <c r="H83" i="6"/>
  <c r="H12" i="6" s="1"/>
  <c r="H10" i="6"/>
  <c r="I83" i="11"/>
  <c r="I12" i="11" s="1"/>
  <c r="I10" i="11"/>
  <c r="J14" i="6"/>
  <c r="J18" i="6" s="1"/>
  <c r="J22" i="6" s="1"/>
  <c r="J84" i="5"/>
  <c r="J12" i="5" s="1"/>
  <c r="J10" i="5"/>
  <c r="H10" i="7"/>
  <c r="H83" i="7"/>
  <c r="H12" i="7" s="1"/>
  <c r="U94" i="1"/>
  <c r="U66" i="12" s="1"/>
  <c r="K2" i="6"/>
  <c r="K3" i="7"/>
  <c r="K34" i="6"/>
  <c r="K43" i="6" s="1"/>
  <c r="K78" i="6" s="1"/>
  <c r="K87" i="6" s="1"/>
  <c r="J2" i="6"/>
  <c r="J3" i="7"/>
  <c r="J34" i="6"/>
  <c r="J43" i="6" s="1"/>
  <c r="J78" i="6" s="1"/>
  <c r="J87" i="6" s="1"/>
  <c r="H2" i="8"/>
  <c r="H34" i="8"/>
  <c r="H43" i="8" s="1"/>
  <c r="H79" i="8" s="1"/>
  <c r="H88" i="8" s="1"/>
  <c r="F2" i="6"/>
  <c r="F3" i="7"/>
  <c r="F34" i="6"/>
  <c r="F43" i="6" s="1"/>
  <c r="F78" i="6" s="1"/>
  <c r="F87" i="6" s="1"/>
  <c r="G2" i="6"/>
  <c r="G3" i="7"/>
  <c r="G34" i="6"/>
  <c r="G43" i="6" s="1"/>
  <c r="G78" i="6" s="1"/>
  <c r="G87" i="6" s="1"/>
  <c r="CA10" i="7" l="1"/>
  <c r="CA65" i="12"/>
  <c r="BM129" i="1"/>
  <c r="BM16" i="1" s="1"/>
  <c r="BM127" i="1"/>
  <c r="AZ6" i="22"/>
  <c r="AZ5" i="22" s="1"/>
  <c r="BM130" i="12"/>
  <c r="BM129" i="12" s="1"/>
  <c r="BL126" i="12"/>
  <c r="CB44" i="7"/>
  <c r="CB54" i="7"/>
  <c r="CC55" i="7"/>
  <c r="CC52" i="7"/>
  <c r="CC81" i="7"/>
  <c r="CC95" i="12" s="1"/>
  <c r="CC56" i="7"/>
  <c r="CC57" i="7"/>
  <c r="CC45" i="7"/>
  <c r="CC46" i="7"/>
  <c r="CC59" i="7"/>
  <c r="CC82" i="7"/>
  <c r="CC98" i="12" s="1"/>
  <c r="CC60" i="7"/>
  <c r="CC4" i="7"/>
  <c r="CC53" i="7"/>
  <c r="CE37" i="7"/>
  <c r="CE46" i="12" s="1"/>
  <c r="CE44" i="12" s="1"/>
  <c r="CD39" i="7"/>
  <c r="CA5" i="7"/>
  <c r="CA7" i="7" s="1"/>
  <c r="CB51" i="7"/>
  <c r="CB62" i="12" s="1"/>
  <c r="I14" i="5"/>
  <c r="I18" i="5" s="1"/>
  <c r="I22" i="5" s="1"/>
  <c r="K14" i="8"/>
  <c r="K18" i="8" s="1"/>
  <c r="K22" i="8" s="1"/>
  <c r="K24" i="8" s="1"/>
  <c r="K26" i="8" s="1"/>
  <c r="I4" i="12"/>
  <c r="Q4" i="13" s="1"/>
  <c r="J24" i="6"/>
  <c r="F24" i="5"/>
  <c r="F26" i="5" s="1"/>
  <c r="J24" i="11"/>
  <c r="J26" i="11" s="1"/>
  <c r="F24" i="6"/>
  <c r="N15" i="13" s="1"/>
  <c r="G24" i="11"/>
  <c r="G26" i="11" s="1"/>
  <c r="K24" i="11"/>
  <c r="K26" i="11" s="1"/>
  <c r="K24" i="6"/>
  <c r="G24" i="6"/>
  <c r="I24" i="5"/>
  <c r="I26" i="5" s="1"/>
  <c r="I26" i="8"/>
  <c r="H14" i="7"/>
  <c r="H18" i="7" s="1"/>
  <c r="H22" i="7" s="1"/>
  <c r="H24" i="7" s="1"/>
  <c r="H26" i="7" s="1"/>
  <c r="G96" i="12"/>
  <c r="F96" i="12"/>
  <c r="I2" i="8"/>
  <c r="H14" i="8"/>
  <c r="H18" i="8" s="1"/>
  <c r="H22" i="8" s="1"/>
  <c r="H24" i="8" s="1"/>
  <c r="H26" i="8" s="1"/>
  <c r="K14" i="5"/>
  <c r="K18" i="5" s="1"/>
  <c r="K22" i="5" s="1"/>
  <c r="H14" i="5"/>
  <c r="H18" i="5" s="1"/>
  <c r="H22" i="5" s="1"/>
  <c r="G14" i="7"/>
  <c r="G18" i="7" s="1"/>
  <c r="G22" i="7" s="1"/>
  <c r="G24" i="7" s="1"/>
  <c r="G26" i="7" s="1"/>
  <c r="H14" i="6"/>
  <c r="H18" i="6" s="1"/>
  <c r="H22" i="6" s="1"/>
  <c r="H14" i="11"/>
  <c r="H18" i="11" s="1"/>
  <c r="H22" i="11" s="1"/>
  <c r="I14" i="7"/>
  <c r="I18" i="7" s="1"/>
  <c r="I22" i="7" s="1"/>
  <c r="I24" i="7" s="1"/>
  <c r="I26" i="7" s="1"/>
  <c r="I96" i="12"/>
  <c r="I14" i="11"/>
  <c r="I18" i="11" s="1"/>
  <c r="I22" i="11" s="1"/>
  <c r="J14" i="5"/>
  <c r="J18" i="5" s="1"/>
  <c r="J22" i="5" s="1"/>
  <c r="F14" i="11"/>
  <c r="F18" i="11" s="1"/>
  <c r="F22" i="11" s="1"/>
  <c r="F24" i="11" s="1"/>
  <c r="I14" i="6"/>
  <c r="I18" i="6" s="1"/>
  <c r="I22" i="6" s="1"/>
  <c r="H96" i="12"/>
  <c r="V66" i="12"/>
  <c r="F2" i="7"/>
  <c r="F34" i="7"/>
  <c r="F3" i="8"/>
  <c r="F43" i="7"/>
  <c r="F79" i="7" s="1"/>
  <c r="F87" i="7" s="1"/>
  <c r="G3" i="8"/>
  <c r="G43" i="7"/>
  <c r="G79" i="7" s="1"/>
  <c r="G87" i="7" s="1"/>
  <c r="G2" i="7"/>
  <c r="G34" i="7"/>
  <c r="K3" i="8"/>
  <c r="K43" i="7"/>
  <c r="K79" i="7" s="1"/>
  <c r="K87" i="7" s="1"/>
  <c r="K2" i="7"/>
  <c r="K34" i="7"/>
  <c r="J2" i="7"/>
  <c r="J34" i="7"/>
  <c r="J3" i="8"/>
  <c r="J43" i="7"/>
  <c r="J79" i="7" s="1"/>
  <c r="J87" i="7" s="1"/>
  <c r="M47" i="12"/>
  <c r="N47" i="12"/>
  <c r="O47" i="12"/>
  <c r="P47" i="12"/>
  <c r="Q47" i="12"/>
  <c r="R47" i="12"/>
  <c r="S47" i="12"/>
  <c r="L47" i="12"/>
  <c r="Q100" i="1"/>
  <c r="R100" i="1"/>
  <c r="S100" i="1"/>
  <c r="T100" i="1"/>
  <c r="U100" i="1"/>
  <c r="X78" i="1"/>
  <c r="Y78" i="1"/>
  <c r="Z78" i="1"/>
  <c r="AA78" i="1"/>
  <c r="AB78" i="1"/>
  <c r="AC78" i="1"/>
  <c r="AD78" i="1" s="1"/>
  <c r="AE78" i="1" s="1"/>
  <c r="AF78" i="1" s="1"/>
  <c r="AG78" i="1" s="1"/>
  <c r="AH78" i="1" s="1"/>
  <c r="AI78" i="1" s="1"/>
  <c r="AJ78" i="1" s="1"/>
  <c r="AK78" i="1" s="1"/>
  <c r="AL78" i="1" s="1"/>
  <c r="AM78" i="1" s="1"/>
  <c r="AN78" i="1" s="1"/>
  <c r="AO78" i="1" s="1"/>
  <c r="AP78" i="1" s="1"/>
  <c r="AQ78" i="1" s="1"/>
  <c r="AR78" i="1" s="1"/>
  <c r="AS78" i="1" s="1"/>
  <c r="AT78" i="1" s="1"/>
  <c r="AU78" i="1" s="1"/>
  <c r="AV78" i="1" s="1"/>
  <c r="AW78" i="1" s="1"/>
  <c r="AX78" i="1" s="1"/>
  <c r="AY78" i="1" s="1"/>
  <c r="AZ78" i="1" s="1"/>
  <c r="BA78" i="1" s="1"/>
  <c r="BB78" i="1" s="1"/>
  <c r="BC78" i="1" s="1"/>
  <c r="BD78" i="1" s="1"/>
  <c r="BE78" i="1" s="1"/>
  <c r="BF78" i="1" s="1"/>
  <c r="BG78" i="1" s="1"/>
  <c r="BH78" i="1" s="1"/>
  <c r="BI78" i="1" s="1"/>
  <c r="BJ78" i="1" s="1"/>
  <c r="BK78" i="1" s="1"/>
  <c r="BL78" i="1" s="1"/>
  <c r="BM78" i="1" s="1"/>
  <c r="BN78" i="1" s="1"/>
  <c r="BO78" i="1" s="1"/>
  <c r="BP78" i="1" s="1"/>
  <c r="BQ78" i="1" s="1"/>
  <c r="BR78" i="1" s="1"/>
  <c r="BS78" i="1" s="1"/>
  <c r="BT78" i="1" s="1"/>
  <c r="BU78" i="1" s="1"/>
  <c r="BV78" i="1" s="1"/>
  <c r="P100" i="1"/>
  <c r="CC44" i="7" l="1"/>
  <c r="CB5" i="7"/>
  <c r="CB7" i="7" s="1"/>
  <c r="CB55" i="12"/>
  <c r="CC51" i="7"/>
  <c r="CC62" i="12" s="1"/>
  <c r="CB10" i="7"/>
  <c r="CB65" i="12"/>
  <c r="BM127" i="12"/>
  <c r="BN130" i="1"/>
  <c r="BN129" i="1" s="1"/>
  <c r="BN16" i="1" s="1"/>
  <c r="BM126" i="1"/>
  <c r="CF37" i="7"/>
  <c r="CF46" i="12" s="1"/>
  <c r="CF44" i="12" s="1"/>
  <c r="CE39" i="7"/>
  <c r="CC54" i="7"/>
  <c r="CA8" i="7"/>
  <c r="CD55" i="7"/>
  <c r="CD56" i="7"/>
  <c r="CD57" i="7"/>
  <c r="CD45" i="7"/>
  <c r="CD46" i="7"/>
  <c r="CD59" i="7"/>
  <c r="CD60" i="7"/>
  <c r="CD52" i="7"/>
  <c r="CD53" i="7"/>
  <c r="CD4" i="7"/>
  <c r="CD82" i="7"/>
  <c r="CD98" i="12" s="1"/>
  <c r="CD81" i="7"/>
  <c r="CD95" i="12" s="1"/>
  <c r="CB8" i="7"/>
  <c r="F100" i="12"/>
  <c r="G100" i="12"/>
  <c r="H100" i="12"/>
  <c r="H24" i="11"/>
  <c r="H26" i="11" s="1"/>
  <c r="I24" i="6"/>
  <c r="O15" i="13"/>
  <c r="K24" i="5"/>
  <c r="J24" i="5"/>
  <c r="G26" i="6"/>
  <c r="H24" i="6"/>
  <c r="P15" i="13" s="1"/>
  <c r="F26" i="6"/>
  <c r="I24" i="11"/>
  <c r="I26" i="11" s="1"/>
  <c r="H24" i="5"/>
  <c r="H26" i="5" s="1"/>
  <c r="K26" i="6"/>
  <c r="J26" i="6"/>
  <c r="BW78" i="1"/>
  <c r="V100" i="1"/>
  <c r="F47" i="1"/>
  <c r="F45" i="12"/>
  <c r="F44" i="12" s="1"/>
  <c r="F26" i="11"/>
  <c r="W94" i="1"/>
  <c r="T47" i="12"/>
  <c r="F2" i="8"/>
  <c r="F34" i="8"/>
  <c r="F43" i="8" s="1"/>
  <c r="F79" i="8" s="1"/>
  <c r="F88" i="8" s="1"/>
  <c r="J2" i="8"/>
  <c r="J34" i="8"/>
  <c r="J43" i="8" s="1"/>
  <c r="J79" i="8" s="1"/>
  <c r="J88" i="8" s="1"/>
  <c r="K34" i="8"/>
  <c r="K43" i="8" s="1"/>
  <c r="K79" i="8" s="1"/>
  <c r="K88" i="8" s="1"/>
  <c r="K2" i="8"/>
  <c r="G2" i="8"/>
  <c r="G34" i="8"/>
  <c r="G43" i="8" s="1"/>
  <c r="G79" i="8" s="1"/>
  <c r="G88" i="8" s="1"/>
  <c r="U47" i="12"/>
  <c r="E3" i="13"/>
  <c r="CN23" i="12"/>
  <c r="CN4" i="12"/>
  <c r="CD51" i="7" l="1"/>
  <c r="CD62" i="12" s="1"/>
  <c r="CC10" i="7"/>
  <c r="CC65" i="12"/>
  <c r="CD44" i="7"/>
  <c r="CD55" i="12" s="1"/>
  <c r="CC5" i="7"/>
  <c r="CC7" i="7" s="1"/>
  <c r="CC8" i="7" s="1"/>
  <c r="CC55" i="12"/>
  <c r="BN127" i="1"/>
  <c r="CS127" i="12"/>
  <c r="CS126" i="12" s="1"/>
  <c r="BN130" i="12"/>
  <c r="BN129" i="12" s="1"/>
  <c r="BA6" i="22"/>
  <c r="BA5" i="22" s="1"/>
  <c r="CU127" i="12"/>
  <c r="CU126" i="12" s="1"/>
  <c r="BM126" i="12"/>
  <c r="CT127" i="12"/>
  <c r="CT126" i="12" s="1"/>
  <c r="CD5" i="7"/>
  <c r="CD7" i="7" s="1"/>
  <c r="CD54" i="7"/>
  <c r="CE4" i="7"/>
  <c r="CE55" i="7"/>
  <c r="CE60" i="7"/>
  <c r="CE53" i="7"/>
  <c r="CE57" i="7"/>
  <c r="CE45" i="7"/>
  <c r="CE82" i="7"/>
  <c r="CE98" i="12" s="1"/>
  <c r="CE46" i="7"/>
  <c r="CE56" i="7"/>
  <c r="CE59" i="7"/>
  <c r="CE81" i="7"/>
  <c r="CE95" i="12" s="1"/>
  <c r="CE52" i="7"/>
  <c r="CG37" i="7"/>
  <c r="CG46" i="12" s="1"/>
  <c r="CG44" i="12" s="1"/>
  <c r="CF39" i="7"/>
  <c r="F4" i="1"/>
  <c r="G36" i="1"/>
  <c r="W66" i="12"/>
  <c r="N8" i="13"/>
  <c r="P8" i="13"/>
  <c r="O8" i="13"/>
  <c r="H26" i="6"/>
  <c r="F48" i="12"/>
  <c r="J26" i="5"/>
  <c r="K26" i="5"/>
  <c r="I26" i="6"/>
  <c r="BX78" i="1"/>
  <c r="BY78" i="1" s="1"/>
  <c r="BZ78" i="1" s="1"/>
  <c r="CA78" i="1" s="1"/>
  <c r="CB78" i="1" s="1"/>
  <c r="CC78" i="1" s="1"/>
  <c r="CD78" i="1" s="1"/>
  <c r="CE78" i="1" s="1"/>
  <c r="CF78" i="1" s="1"/>
  <c r="CG78" i="1" s="1"/>
  <c r="CH78" i="1" s="1"/>
  <c r="CI78" i="1" s="1"/>
  <c r="CJ78" i="1" s="1"/>
  <c r="CK78" i="1" s="1"/>
  <c r="C4" i="13"/>
  <c r="CN5" i="12"/>
  <c r="F3" i="13"/>
  <c r="G42" i="13"/>
  <c r="H42" i="13" s="1"/>
  <c r="I42" i="13" s="1"/>
  <c r="J42" i="13" s="1"/>
  <c r="W100" i="1"/>
  <c r="X95" i="1"/>
  <c r="X94" i="1" s="1"/>
  <c r="H2" i="11"/>
  <c r="H34" i="11"/>
  <c r="H43" i="11" s="1"/>
  <c r="H79" i="11" s="1"/>
  <c r="H87" i="11" s="1"/>
  <c r="I34" i="11"/>
  <c r="I43" i="11" s="1"/>
  <c r="I79" i="11" s="1"/>
  <c r="I87" i="11" s="1"/>
  <c r="I2" i="11"/>
  <c r="V47" i="12"/>
  <c r="H74" i="1"/>
  <c r="H58" i="12" s="1"/>
  <c r="H57" i="12" s="1"/>
  <c r="G74" i="1"/>
  <c r="G58" i="12" s="1"/>
  <c r="G57" i="12" s="1"/>
  <c r="I74" i="1"/>
  <c r="I58" i="12" s="1"/>
  <c r="I57" i="12" s="1"/>
  <c r="F74" i="1"/>
  <c r="F118" i="1"/>
  <c r="G118" i="1"/>
  <c r="H118" i="1"/>
  <c r="I118" i="1"/>
  <c r="J118" i="1"/>
  <c r="K118" i="1"/>
  <c r="J42" i="12"/>
  <c r="K42" i="12"/>
  <c r="F39" i="1"/>
  <c r="F68" i="1" s="1"/>
  <c r="F103" i="1" s="1"/>
  <c r="F113" i="1" s="1"/>
  <c r="F125" i="1" s="1"/>
  <c r="F137" i="1" s="1"/>
  <c r="G39" i="1"/>
  <c r="G68" i="1" s="1"/>
  <c r="G103" i="1" s="1"/>
  <c r="G113" i="1" s="1"/>
  <c r="G125" i="1" s="1"/>
  <c r="G137" i="1" s="1"/>
  <c r="H39" i="1"/>
  <c r="H68" i="1" s="1"/>
  <c r="H103" i="1" s="1"/>
  <c r="H113" i="1" s="1"/>
  <c r="H125" i="1" s="1"/>
  <c r="H137" i="1" s="1"/>
  <c r="I39" i="1"/>
  <c r="I68" i="1" s="1"/>
  <c r="I103" i="1" s="1"/>
  <c r="I113" i="1" s="1"/>
  <c r="I125" i="1" s="1"/>
  <c r="I137" i="1" s="1"/>
  <c r="J39" i="1"/>
  <c r="J68" i="1" s="1"/>
  <c r="J103" i="1" s="1"/>
  <c r="J113" i="1" s="1"/>
  <c r="J125" i="1" s="1"/>
  <c r="J137" i="1" s="1"/>
  <c r="K39" i="1"/>
  <c r="K68" i="1" s="1"/>
  <c r="K103" i="1" s="1"/>
  <c r="K113" i="1" s="1"/>
  <c r="K125" i="1" s="1"/>
  <c r="K137" i="1" s="1"/>
  <c r="CH20" i="14"/>
  <c r="CH16" i="14"/>
  <c r="CH12" i="14" s="1"/>
  <c r="CH9" i="14"/>
  <c r="CH8" i="14"/>
  <c r="CH7" i="14"/>
  <c r="CH6" i="14"/>
  <c r="CO103" i="1"/>
  <c r="CO113" i="1" s="1"/>
  <c r="CN23" i="1"/>
  <c r="CN27" i="1"/>
  <c r="CN28" i="12" s="1"/>
  <c r="C15" i="13" s="1"/>
  <c r="CN20" i="1"/>
  <c r="CN22" i="12" s="1"/>
  <c r="C12" i="13" s="1"/>
  <c r="CN11" i="1"/>
  <c r="CN12" i="12" s="1"/>
  <c r="C7" i="13" s="1"/>
  <c r="CN5" i="1"/>
  <c r="CN6" i="12" s="1"/>
  <c r="C5" i="13" s="1"/>
  <c r="F2" i="1"/>
  <c r="G2" i="1"/>
  <c r="H2" i="1"/>
  <c r="I2" i="1"/>
  <c r="J2" i="1"/>
  <c r="K2" i="1"/>
  <c r="F18" i="12"/>
  <c r="G18" i="12"/>
  <c r="O10" i="13" s="1"/>
  <c r="H18" i="12"/>
  <c r="P10" i="13" s="1"/>
  <c r="I18" i="12"/>
  <c r="Q10" i="13" s="1"/>
  <c r="J18" i="12"/>
  <c r="R10" i="13" s="1"/>
  <c r="K18" i="12"/>
  <c r="S10" i="13" s="1"/>
  <c r="AO107" i="1"/>
  <c r="AP107" i="1" s="1"/>
  <c r="AQ107" i="1" s="1"/>
  <c r="AR107" i="1" s="1"/>
  <c r="AS107" i="1" s="1"/>
  <c r="AT107" i="1" s="1"/>
  <c r="AU107" i="1" s="1"/>
  <c r="AV107" i="1" s="1"/>
  <c r="AW107" i="1" s="1"/>
  <c r="AX107" i="1" s="1"/>
  <c r="AY107" i="1" s="1"/>
  <c r="AZ107" i="1" s="1"/>
  <c r="BA107" i="1" s="1"/>
  <c r="BB107" i="1" s="1"/>
  <c r="BC107" i="1" s="1"/>
  <c r="BD107" i="1" s="1"/>
  <c r="BE107" i="1" s="1"/>
  <c r="BF107" i="1" s="1"/>
  <c r="BG107" i="1" s="1"/>
  <c r="BH107" i="1" s="1"/>
  <c r="BI107" i="1" s="1"/>
  <c r="BJ107" i="1" s="1"/>
  <c r="BK107" i="1" s="1"/>
  <c r="BL107" i="1" s="1"/>
  <c r="BM107" i="1" s="1"/>
  <c r="CD10" i="7" l="1"/>
  <c r="CD65" i="12"/>
  <c r="BO130" i="1"/>
  <c r="BO129" i="1" s="1"/>
  <c r="BO16" i="1" s="1"/>
  <c r="BN127" i="12"/>
  <c r="BN126" i="1"/>
  <c r="CF81" i="7"/>
  <c r="CF95" i="12" s="1"/>
  <c r="CF55" i="7"/>
  <c r="CF57" i="7"/>
  <c r="CF46" i="7"/>
  <c r="CF52" i="7"/>
  <c r="CF53" i="7"/>
  <c r="CF45" i="7"/>
  <c r="CF44" i="7" s="1"/>
  <c r="CF60" i="7"/>
  <c r="CF56" i="7"/>
  <c r="CF59" i="7"/>
  <c r="CF4" i="7"/>
  <c r="CF82" i="7"/>
  <c r="CF98" i="12" s="1"/>
  <c r="CD8" i="7"/>
  <c r="CE44" i="7"/>
  <c r="CE54" i="7"/>
  <c r="CH37" i="7"/>
  <c r="CH46" i="12" s="1"/>
  <c r="CH44" i="12" s="1"/>
  <c r="CG39" i="7"/>
  <c r="CE51" i="7"/>
  <c r="CE62" i="12" s="1"/>
  <c r="F115" i="12"/>
  <c r="F23" i="22"/>
  <c r="F58" i="12"/>
  <c r="F57" i="12" s="1"/>
  <c r="G3" i="13"/>
  <c r="X66" i="12"/>
  <c r="N10" i="13"/>
  <c r="X100" i="1"/>
  <c r="Y95" i="1"/>
  <c r="Y94" i="1" s="1"/>
  <c r="K47" i="1"/>
  <c r="K41" i="12"/>
  <c r="J47" i="1"/>
  <c r="J41" i="12"/>
  <c r="J48" i="12" s="1"/>
  <c r="W47" i="12"/>
  <c r="D92" i="1"/>
  <c r="D93" i="1"/>
  <c r="G81" i="1"/>
  <c r="K97" i="12"/>
  <c r="K96" i="12" s="1"/>
  <c r="F81" i="1"/>
  <c r="F11" i="1" s="1"/>
  <c r="G69" i="1"/>
  <c r="G5" i="1" s="1"/>
  <c r="I81" i="1"/>
  <c r="I69" i="1"/>
  <c r="I5" i="1" s="1"/>
  <c r="CE10" i="7" l="1"/>
  <c r="CE65" i="12"/>
  <c r="CF5" i="7"/>
  <c r="CF55" i="12"/>
  <c r="CE5" i="7"/>
  <c r="CE7" i="7" s="1"/>
  <c r="CE8" i="7" s="1"/>
  <c r="CE55" i="12"/>
  <c r="BO127" i="1"/>
  <c r="BN126" i="12"/>
  <c r="BO130" i="12"/>
  <c r="BO129" i="12" s="1"/>
  <c r="BB6" i="22"/>
  <c r="BB5" i="22" s="1"/>
  <c r="CF7" i="7"/>
  <c r="CI37" i="7"/>
  <c r="CI46" i="12" s="1"/>
  <c r="CI44" i="12" s="1"/>
  <c r="CH39" i="7"/>
  <c r="CF51" i="7"/>
  <c r="CF62" i="12" s="1"/>
  <c r="CF54" i="7"/>
  <c r="CG60" i="7"/>
  <c r="CG52" i="7"/>
  <c r="CG81" i="7"/>
  <c r="CG95" i="12" s="1"/>
  <c r="CG53" i="7"/>
  <c r="CG82" i="7"/>
  <c r="CG98" i="12" s="1"/>
  <c r="CG56" i="7"/>
  <c r="CG57" i="7"/>
  <c r="CG45" i="7"/>
  <c r="CG46" i="7"/>
  <c r="CG55" i="7"/>
  <c r="CG4" i="7"/>
  <c r="CG59" i="7"/>
  <c r="K4" i="1"/>
  <c r="K36" i="1"/>
  <c r="J4" i="1"/>
  <c r="J36" i="1"/>
  <c r="J115" i="12"/>
  <c r="J4" i="12" s="1"/>
  <c r="R4" i="13" s="1"/>
  <c r="F4" i="12"/>
  <c r="N4" i="13" s="1"/>
  <c r="G23" i="22"/>
  <c r="H3" i="13"/>
  <c r="I3" i="13" s="1"/>
  <c r="Y66" i="12"/>
  <c r="I54" i="12"/>
  <c r="I53" i="12" s="1"/>
  <c r="K48" i="12"/>
  <c r="K89" i="12"/>
  <c r="K69" i="1"/>
  <c r="K5" i="1" s="1"/>
  <c r="K81" i="1"/>
  <c r="K61" i="12" s="1"/>
  <c r="K60" i="12" s="1"/>
  <c r="K74" i="1"/>
  <c r="K58" i="12" s="1"/>
  <c r="K57" i="12" s="1"/>
  <c r="K94" i="12"/>
  <c r="K93" i="12" s="1"/>
  <c r="Y100" i="1"/>
  <c r="G11" i="1"/>
  <c r="G61" i="12"/>
  <c r="G60" i="12" s="1"/>
  <c r="I11" i="1"/>
  <c r="I61" i="12"/>
  <c r="I60" i="12" s="1"/>
  <c r="F61" i="12"/>
  <c r="F60" i="12" s="1"/>
  <c r="G7" i="1"/>
  <c r="G8" i="1" s="1"/>
  <c r="G54" i="12"/>
  <c r="G53" i="12" s="1"/>
  <c r="J89" i="12"/>
  <c r="Z95" i="1"/>
  <c r="Z94" i="1" s="1"/>
  <c r="J94" i="12"/>
  <c r="J93" i="12" s="1"/>
  <c r="J74" i="1"/>
  <c r="J58" i="12" s="1"/>
  <c r="J57" i="12" s="1"/>
  <c r="J81" i="1"/>
  <c r="J61" i="12" s="1"/>
  <c r="J60" i="12" s="1"/>
  <c r="J2" i="11"/>
  <c r="J34" i="11"/>
  <c r="J43" i="11" s="1"/>
  <c r="J79" i="11" s="1"/>
  <c r="J87" i="11" s="1"/>
  <c r="G2" i="11"/>
  <c r="G34" i="11"/>
  <c r="G43" i="11" s="1"/>
  <c r="G79" i="11" s="1"/>
  <c r="G87" i="11" s="1"/>
  <c r="F2" i="11"/>
  <c r="F34" i="11"/>
  <c r="F43" i="11" s="1"/>
  <c r="F79" i="11" s="1"/>
  <c r="F87" i="11" s="1"/>
  <c r="J69" i="1"/>
  <c r="J97" i="12"/>
  <c r="J96" i="12" s="1"/>
  <c r="K2" i="11"/>
  <c r="K34" i="11"/>
  <c r="K43" i="11" s="1"/>
  <c r="K79" i="11" s="1"/>
  <c r="K87" i="11" s="1"/>
  <c r="X47" i="12"/>
  <c r="G85" i="1"/>
  <c r="G64" i="12" s="1"/>
  <c r="G63" i="12" s="1"/>
  <c r="G11" i="12" s="1"/>
  <c r="I85" i="1"/>
  <c r="F69" i="1"/>
  <c r="F5" i="1" s="1"/>
  <c r="H69" i="1"/>
  <c r="F109" i="1"/>
  <c r="H81" i="1"/>
  <c r="H61" i="12" s="1"/>
  <c r="H60" i="12" s="1"/>
  <c r="F85" i="1"/>
  <c r="G109" i="1"/>
  <c r="CF10" i="7" l="1"/>
  <c r="CF65" i="12"/>
  <c r="J3" i="13"/>
  <c r="BP130" i="1"/>
  <c r="BP129" i="1" s="1"/>
  <c r="BP16" i="1" s="1"/>
  <c r="BO127" i="12"/>
  <c r="BO126" i="1"/>
  <c r="CJ37" i="7"/>
  <c r="CJ46" i="12" s="1"/>
  <c r="CJ44" i="12" s="1"/>
  <c r="CI39" i="7"/>
  <c r="CG44" i="7"/>
  <c r="CG55" i="12" s="1"/>
  <c r="CF8" i="7"/>
  <c r="CG51" i="7"/>
  <c r="CG62" i="12" s="1"/>
  <c r="CG54" i="7"/>
  <c r="CH45" i="7"/>
  <c r="CH4" i="7"/>
  <c r="CH46" i="7"/>
  <c r="CH55" i="7"/>
  <c r="CH59" i="7"/>
  <c r="CH60" i="7"/>
  <c r="CH81" i="7"/>
  <c r="CH95" i="12" s="1"/>
  <c r="CH52" i="7"/>
  <c r="CH53" i="7"/>
  <c r="CH82" i="7"/>
  <c r="CH98" i="12" s="1"/>
  <c r="CH56" i="7"/>
  <c r="CH57" i="7"/>
  <c r="K115" i="12"/>
  <c r="H23" i="22"/>
  <c r="Z66" i="12"/>
  <c r="H54" i="12"/>
  <c r="H53" i="12" s="1"/>
  <c r="H5" i="1"/>
  <c r="H7" i="1" s="1"/>
  <c r="H8" i="1" s="1"/>
  <c r="J54" i="12"/>
  <c r="J53" i="12" s="1"/>
  <c r="J5" i="1"/>
  <c r="G6" i="12"/>
  <c r="J12" i="12"/>
  <c r="K12" i="12"/>
  <c r="G56" i="12"/>
  <c r="G116" i="12" s="1"/>
  <c r="G118" i="12" s="1"/>
  <c r="K85" i="1"/>
  <c r="K10" i="1" s="1"/>
  <c r="K100" i="12"/>
  <c r="S8" i="13" s="1"/>
  <c r="K109" i="1"/>
  <c r="I10" i="1"/>
  <c r="I64" i="12"/>
  <c r="I63" i="12" s="1"/>
  <c r="I11" i="12" s="1"/>
  <c r="F12" i="12"/>
  <c r="F73" i="1"/>
  <c r="F64" i="12"/>
  <c r="F63" i="12" s="1"/>
  <c r="F11" i="12" s="1"/>
  <c r="I109" i="1"/>
  <c r="I89" i="12"/>
  <c r="I6" i="12" s="1"/>
  <c r="AA94" i="1"/>
  <c r="H12" i="12"/>
  <c r="I12" i="12"/>
  <c r="G12" i="12"/>
  <c r="O7" i="13" s="1"/>
  <c r="F54" i="12"/>
  <c r="F53" i="12" s="1"/>
  <c r="K7" i="1"/>
  <c r="K8" i="1" s="1"/>
  <c r="K54" i="12"/>
  <c r="K53" i="12" s="1"/>
  <c r="J100" i="12"/>
  <c r="R8" i="13" s="1"/>
  <c r="Z100" i="1"/>
  <c r="J109" i="1"/>
  <c r="J85" i="1"/>
  <c r="J11" i="1"/>
  <c r="K11" i="1"/>
  <c r="Y47" i="12"/>
  <c r="H11" i="1"/>
  <c r="I73" i="1"/>
  <c r="I98" i="1" s="1"/>
  <c r="F10" i="1"/>
  <c r="G10" i="1"/>
  <c r="G14" i="1" s="1"/>
  <c r="G18" i="1" s="1"/>
  <c r="G25" i="1" s="1"/>
  <c r="G73" i="1"/>
  <c r="G98" i="1" s="1"/>
  <c r="I7" i="1"/>
  <c r="I8" i="1" s="1"/>
  <c r="H109" i="1"/>
  <c r="H85" i="1"/>
  <c r="CG10" i="7" l="1"/>
  <c r="CG65" i="12"/>
  <c r="CH54" i="7"/>
  <c r="BC6" i="22"/>
  <c r="BC5" i="22" s="1"/>
  <c r="BP130" i="12"/>
  <c r="BP129" i="12" s="1"/>
  <c r="BO126" i="12"/>
  <c r="BP127" i="1"/>
  <c r="CH44" i="7"/>
  <c r="CH55" i="12" s="1"/>
  <c r="CH51" i="7"/>
  <c r="CH62" i="12" s="1"/>
  <c r="CG5" i="7"/>
  <c r="CG7" i="7" s="1"/>
  <c r="CI45" i="7"/>
  <c r="CI44" i="7" s="1"/>
  <c r="CI52" i="7"/>
  <c r="CI60" i="7"/>
  <c r="CI56" i="7"/>
  <c r="CI4" i="7"/>
  <c r="CI81" i="7"/>
  <c r="CI95" i="12" s="1"/>
  <c r="CI59" i="7"/>
  <c r="CI53" i="7"/>
  <c r="CI82" i="7"/>
  <c r="CI98" i="12" s="1"/>
  <c r="CI55" i="7"/>
  <c r="CI57" i="7"/>
  <c r="CI46" i="7"/>
  <c r="CK37" i="7"/>
  <c r="CK46" i="12" s="1"/>
  <c r="CK44" i="12" s="1"/>
  <c r="CJ39" i="7"/>
  <c r="H6" i="12"/>
  <c r="H8" i="12" s="1"/>
  <c r="H9" i="12" s="1"/>
  <c r="K4" i="12"/>
  <c r="S4" i="13" s="1"/>
  <c r="J6" i="12"/>
  <c r="J8" i="12" s="1"/>
  <c r="J9" i="12" s="1"/>
  <c r="I23" i="22"/>
  <c r="AA66" i="12"/>
  <c r="K6" i="12"/>
  <c r="F6" i="12"/>
  <c r="F8" i="12" s="1"/>
  <c r="F15" i="12" s="1"/>
  <c r="F20" i="12" s="1"/>
  <c r="F26" i="12" s="1"/>
  <c r="F30" i="12" s="1"/>
  <c r="F35" i="12" s="1"/>
  <c r="G82" i="12"/>
  <c r="F56" i="12"/>
  <c r="F116" i="12" s="1"/>
  <c r="F118" i="12" s="1"/>
  <c r="I56" i="12"/>
  <c r="I116" i="12" s="1"/>
  <c r="I118" i="12" s="1"/>
  <c r="F7" i="1"/>
  <c r="F8" i="1" s="1"/>
  <c r="K64" i="12"/>
  <c r="K63" i="12" s="1"/>
  <c r="K73" i="1"/>
  <c r="K98" i="1" s="1"/>
  <c r="K120" i="1" s="1"/>
  <c r="AA100" i="1"/>
  <c r="N7" i="13"/>
  <c r="Q7" i="13"/>
  <c r="K14" i="1"/>
  <c r="K18" i="1" s="1"/>
  <c r="K25" i="1" s="1"/>
  <c r="K29" i="1" s="1"/>
  <c r="K30" i="1" s="1"/>
  <c r="G8" i="12"/>
  <c r="G15" i="12" s="1"/>
  <c r="O5" i="13"/>
  <c r="O6" i="13" s="1"/>
  <c r="O9" i="13" s="1"/>
  <c r="O11" i="13" s="1"/>
  <c r="H10" i="1"/>
  <c r="H14" i="1" s="1"/>
  <c r="H18" i="1" s="1"/>
  <c r="H25" i="1" s="1"/>
  <c r="H64" i="12"/>
  <c r="H63" i="12" s="1"/>
  <c r="H56" i="12" s="1"/>
  <c r="H116" i="12" s="1"/>
  <c r="H118" i="12" s="1"/>
  <c r="AB95" i="1"/>
  <c r="AB94" i="1" s="1"/>
  <c r="I100" i="12"/>
  <c r="J10" i="1"/>
  <c r="J64" i="12"/>
  <c r="J63" i="12" s="1"/>
  <c r="J56" i="12" s="1"/>
  <c r="J116" i="12" s="1"/>
  <c r="J118" i="12" s="1"/>
  <c r="J73" i="1"/>
  <c r="J98" i="1" s="1"/>
  <c r="J120" i="1" s="1"/>
  <c r="I120" i="1"/>
  <c r="G120" i="1"/>
  <c r="Z47" i="12"/>
  <c r="J7" i="1"/>
  <c r="F98" i="1"/>
  <c r="H73" i="1"/>
  <c r="H98" i="1" s="1"/>
  <c r="I14" i="1"/>
  <c r="I18" i="1" s="1"/>
  <c r="G29" i="1"/>
  <c r="G30" i="1" s="1"/>
  <c r="CH10" i="7" l="1"/>
  <c r="CH65" i="12"/>
  <c r="CI5" i="7"/>
  <c r="CI55" i="12"/>
  <c r="BQ130" i="1"/>
  <c r="BQ129" i="1" s="1"/>
  <c r="BQ16" i="1" s="1"/>
  <c r="BP126" i="1"/>
  <c r="BP127" i="12"/>
  <c r="CI51" i="7"/>
  <c r="CI62" i="12" s="1"/>
  <c r="CI7" i="7"/>
  <c r="CJ57" i="7"/>
  <c r="CJ45" i="7"/>
  <c r="CJ53" i="7"/>
  <c r="CJ82" i="7"/>
  <c r="CJ98" i="12" s="1"/>
  <c r="CJ46" i="7"/>
  <c r="CJ4" i="7"/>
  <c r="CJ55" i="7"/>
  <c r="CJ56" i="7"/>
  <c r="CJ52" i="7"/>
  <c r="CJ81" i="7"/>
  <c r="CJ95" i="12" s="1"/>
  <c r="CJ59" i="7"/>
  <c r="CJ60" i="7"/>
  <c r="CG8" i="7"/>
  <c r="CI54" i="7"/>
  <c r="CK39" i="7"/>
  <c r="CH5" i="7"/>
  <c r="CH7" i="7" s="1"/>
  <c r="P5" i="13"/>
  <c r="P6" i="13" s="1"/>
  <c r="R5" i="13"/>
  <c r="R6" i="13" s="1"/>
  <c r="J23" i="22"/>
  <c r="O14" i="13"/>
  <c r="O16" i="13" s="1"/>
  <c r="AB66" i="12"/>
  <c r="Q8" i="13"/>
  <c r="F14" i="1"/>
  <c r="F18" i="1" s="1"/>
  <c r="F25" i="1" s="1"/>
  <c r="F29" i="1" s="1"/>
  <c r="F30" i="1" s="1"/>
  <c r="G20" i="12"/>
  <c r="G16" i="12"/>
  <c r="F119" i="12"/>
  <c r="F120" i="12" s="1"/>
  <c r="F82" i="12"/>
  <c r="I82" i="12"/>
  <c r="K11" i="12"/>
  <c r="S7" i="13" s="1"/>
  <c r="K56" i="12"/>
  <c r="K116" i="12" s="1"/>
  <c r="K118" i="12" s="1"/>
  <c r="G9" i="12"/>
  <c r="I8" i="12"/>
  <c r="I15" i="12" s="1"/>
  <c r="Q5" i="13"/>
  <c r="Q6" i="13" s="1"/>
  <c r="F9" i="12"/>
  <c r="N5" i="13"/>
  <c r="N6" i="13" s="1"/>
  <c r="N9" i="13" s="1"/>
  <c r="K8" i="12"/>
  <c r="K9" i="12" s="1"/>
  <c r="S5" i="13"/>
  <c r="S6" i="13" s="1"/>
  <c r="AB100" i="1"/>
  <c r="H11" i="12"/>
  <c r="H82" i="12"/>
  <c r="J11" i="12"/>
  <c r="J82" i="12"/>
  <c r="AC94" i="1"/>
  <c r="F120" i="1"/>
  <c r="H120" i="1"/>
  <c r="AA47" i="12"/>
  <c r="J8" i="1"/>
  <c r="J14" i="1"/>
  <c r="J18" i="1" s="1"/>
  <c r="J25" i="1" s="1"/>
  <c r="I25" i="1"/>
  <c r="H29" i="1"/>
  <c r="H30" i="1" s="1"/>
  <c r="CI10" i="7" l="1"/>
  <c r="CI65" i="12"/>
  <c r="CJ54" i="7"/>
  <c r="CJ51" i="7"/>
  <c r="CJ62" i="12" s="1"/>
  <c r="BQ127" i="1"/>
  <c r="BR130" i="1" s="1"/>
  <c r="BR129" i="1" s="1"/>
  <c r="BR16" i="1" s="1"/>
  <c r="BQ127" i="12"/>
  <c r="BQ126" i="1"/>
  <c r="BQ130" i="12"/>
  <c r="BQ129" i="12" s="1"/>
  <c r="BD6" i="22"/>
  <c r="BD5" i="22" s="1"/>
  <c r="BP126" i="12"/>
  <c r="CJ44" i="7"/>
  <c r="CJ55" i="12" s="1"/>
  <c r="CI8" i="7"/>
  <c r="CH8" i="7"/>
  <c r="CK56" i="7"/>
  <c r="CK82" i="7"/>
  <c r="CK98" i="12" s="1"/>
  <c r="CK55" i="7"/>
  <c r="CK60" i="7"/>
  <c r="CK52" i="7"/>
  <c r="CK81" i="7"/>
  <c r="CK95" i="12" s="1"/>
  <c r="CK4" i="7"/>
  <c r="CK53" i="7"/>
  <c r="CK57" i="7"/>
  <c r="CK46" i="7"/>
  <c r="CK59" i="7"/>
  <c r="CK45" i="7"/>
  <c r="Q9" i="13"/>
  <c r="Q11" i="13" s="1"/>
  <c r="Q14" i="13" s="1"/>
  <c r="AC66" i="12"/>
  <c r="G26" i="12"/>
  <c r="G30" i="12" s="1"/>
  <c r="I20" i="12"/>
  <c r="I26" i="12" s="1"/>
  <c r="I16" i="12"/>
  <c r="G119" i="12"/>
  <c r="H119" i="12" s="1"/>
  <c r="S9" i="13"/>
  <c r="S11" i="13" s="1"/>
  <c r="S14" i="13" s="1"/>
  <c r="K82" i="12"/>
  <c r="J29" i="1"/>
  <c r="J30" i="1" s="1"/>
  <c r="I9" i="12"/>
  <c r="K15" i="12"/>
  <c r="H15" i="12"/>
  <c r="P7" i="13"/>
  <c r="P9" i="13" s="1"/>
  <c r="P11" i="13" s="1"/>
  <c r="J15" i="12"/>
  <c r="R7" i="13"/>
  <c r="R9" i="13" s="1"/>
  <c r="R11" i="13" s="1"/>
  <c r="R14" i="13" s="1"/>
  <c r="N11" i="13"/>
  <c r="Q15" i="13"/>
  <c r="AD94" i="1"/>
  <c r="AC100" i="1"/>
  <c r="AB47" i="12"/>
  <c r="I29" i="1"/>
  <c r="I30" i="1" s="1"/>
  <c r="CJ10" i="7" l="1"/>
  <c r="CJ65" i="12"/>
  <c r="CK51" i="7"/>
  <c r="CK62" i="12" s="1"/>
  <c r="CK44" i="7"/>
  <c r="CK55" i="12" s="1"/>
  <c r="BR130" i="12"/>
  <c r="BR129" i="12" s="1"/>
  <c r="BQ126" i="12"/>
  <c r="BE6" i="22"/>
  <c r="BE5" i="22" s="1"/>
  <c r="BR127" i="1"/>
  <c r="CK54" i="7"/>
  <c r="CK65" i="12" s="1"/>
  <c r="CJ5" i="7"/>
  <c r="CJ7" i="7" s="1"/>
  <c r="K23" i="22"/>
  <c r="G31" i="12"/>
  <c r="G35" i="12"/>
  <c r="Q16" i="13"/>
  <c r="N14" i="13"/>
  <c r="N16" i="13" s="1"/>
  <c r="P14" i="13"/>
  <c r="P16" i="13" s="1"/>
  <c r="AD66" i="12"/>
  <c r="G120" i="12"/>
  <c r="F16" i="12"/>
  <c r="H20" i="12"/>
  <c r="H16" i="12"/>
  <c r="K20" i="12"/>
  <c r="K16" i="12"/>
  <c r="J20" i="12"/>
  <c r="J16" i="12"/>
  <c r="S15" i="13"/>
  <c r="S16" i="13" s="1"/>
  <c r="R15" i="13"/>
  <c r="R16" i="13" s="1"/>
  <c r="I30" i="12"/>
  <c r="I119" i="12"/>
  <c r="H120" i="12"/>
  <c r="AE94" i="1"/>
  <c r="AD100" i="1"/>
  <c r="AC47" i="12"/>
  <c r="CK5" i="7" l="1"/>
  <c r="CK7" i="7" s="1"/>
  <c r="BR126" i="1"/>
  <c r="BR127" i="12"/>
  <c r="BS130" i="1"/>
  <c r="BS129" i="1" s="1"/>
  <c r="BS16" i="1" s="1"/>
  <c r="CK8" i="7"/>
  <c r="CJ8" i="7"/>
  <c r="CK10" i="7"/>
  <c r="AE66" i="12"/>
  <c r="J26" i="12"/>
  <c r="J30" i="12" s="1"/>
  <c r="J31" i="12" s="1"/>
  <c r="K26" i="12"/>
  <c r="K30" i="12" s="1"/>
  <c r="K31" i="12" s="1"/>
  <c r="H26" i="12"/>
  <c r="H30" i="12" s="1"/>
  <c r="F31" i="12"/>
  <c r="I31" i="12"/>
  <c r="AE100" i="1"/>
  <c r="J119" i="12"/>
  <c r="I120" i="12"/>
  <c r="AF95" i="1"/>
  <c r="AF94" i="1" s="1"/>
  <c r="AD47" i="12"/>
  <c r="BS127" i="1" l="1"/>
  <c r="BF6" i="22"/>
  <c r="BF5" i="22" s="1"/>
  <c r="BS130" i="12"/>
  <c r="BS129" i="12" s="1"/>
  <c r="BR126" i="12"/>
  <c r="H31" i="12"/>
  <c r="H35" i="12"/>
  <c r="AF66" i="12"/>
  <c r="K119" i="12"/>
  <c r="J120" i="12"/>
  <c r="AF100" i="1"/>
  <c r="AG95" i="1"/>
  <c r="AG94" i="1" s="1"/>
  <c r="AE47" i="12"/>
  <c r="BS126" i="1" l="1"/>
  <c r="BT130" i="1"/>
  <c r="BT129" i="1" s="1"/>
  <c r="BT16" i="1" s="1"/>
  <c r="BS127" i="12"/>
  <c r="I35" i="12"/>
  <c r="AG66" i="12"/>
  <c r="AG100" i="1"/>
  <c r="K120" i="12"/>
  <c r="AH95" i="1"/>
  <c r="AH94" i="1" s="1"/>
  <c r="AF47" i="12"/>
  <c r="BT127" i="1" l="1"/>
  <c r="BT126" i="1" s="1"/>
  <c r="BG6" i="22"/>
  <c r="BG5" i="22" s="1"/>
  <c r="BS126" i="12"/>
  <c r="BT130" i="12"/>
  <c r="BT129" i="12" s="1"/>
  <c r="J35" i="12"/>
  <c r="AH66" i="12"/>
  <c r="AH100" i="1"/>
  <c r="AI95" i="1"/>
  <c r="AI94" i="1" s="1"/>
  <c r="AG47" i="12"/>
  <c r="BU130" i="1" l="1"/>
  <c r="BU129" i="1" s="1"/>
  <c r="BU16" i="1" s="1"/>
  <c r="BT127" i="12"/>
  <c r="BU130" i="12" s="1"/>
  <c r="BU129" i="12" s="1"/>
  <c r="BU127" i="1"/>
  <c r="BU126" i="1" s="1"/>
  <c r="BH6" i="22"/>
  <c r="BH5" i="22" s="1"/>
  <c r="BT126" i="12"/>
  <c r="K35" i="12"/>
  <c r="AI66" i="12"/>
  <c r="AI100" i="1"/>
  <c r="AJ95" i="1"/>
  <c r="AJ94" i="1" s="1"/>
  <c r="AH47" i="12"/>
  <c r="BU127" i="12" l="1"/>
  <c r="BU126" i="12" s="1"/>
  <c r="BV130" i="1"/>
  <c r="BV129" i="1" s="1"/>
  <c r="BV16" i="1" s="1"/>
  <c r="AJ66" i="12"/>
  <c r="AJ100" i="1"/>
  <c r="AK95" i="1"/>
  <c r="AI47" i="12"/>
  <c r="BI6" i="22" l="1"/>
  <c r="BI5" i="22" s="1"/>
  <c r="AK94" i="1"/>
  <c r="K10" i="24"/>
  <c r="BV130" i="12"/>
  <c r="BV129" i="12" s="1"/>
  <c r="BV127" i="1"/>
  <c r="BW130" i="1" s="1"/>
  <c r="BW129" i="1" s="1"/>
  <c r="BW16" i="1" s="1"/>
  <c r="AK66" i="12"/>
  <c r="AK100" i="1"/>
  <c r="AL95" i="1"/>
  <c r="AL94" i="1" s="1"/>
  <c r="AJ47" i="12"/>
  <c r="BW127" i="1" l="1"/>
  <c r="BW127" i="12" s="1"/>
  <c r="BV127" i="12"/>
  <c r="BV126" i="1"/>
  <c r="BW126" i="1"/>
  <c r="BX130" i="1"/>
  <c r="BX129" i="1" s="1"/>
  <c r="BX16" i="1" s="1"/>
  <c r="BX130" i="12"/>
  <c r="BX129" i="12" s="1"/>
  <c r="BW126" i="12"/>
  <c r="BK6" i="22"/>
  <c r="BK5" i="22" s="1"/>
  <c r="AL66" i="12"/>
  <c r="AL100" i="1"/>
  <c r="AM95" i="1"/>
  <c r="AM94" i="1" s="1"/>
  <c r="AK47" i="12"/>
  <c r="BX127" i="1" l="1"/>
  <c r="BV126" i="12"/>
  <c r="BW130" i="12"/>
  <c r="BW129" i="12" s="1"/>
  <c r="BJ6" i="22"/>
  <c r="BJ5" i="22" s="1"/>
  <c r="BY130" i="1"/>
  <c r="BY129" i="1" s="1"/>
  <c r="BY16" i="1" s="1"/>
  <c r="BY18" i="12" s="1"/>
  <c r="CG10" i="13" s="1"/>
  <c r="BX126" i="1"/>
  <c r="BX127" i="12"/>
  <c r="AM66" i="12"/>
  <c r="AM100" i="1"/>
  <c r="AN95" i="1"/>
  <c r="AN94" i="1" s="1"/>
  <c r="AL47" i="12"/>
  <c r="CG17" i="13" l="1"/>
  <c r="BY130" i="12"/>
  <c r="BY129" i="12" s="1"/>
  <c r="BX126" i="12"/>
  <c r="BL6" i="22"/>
  <c r="BL5" i="22" s="1"/>
  <c r="BY127" i="1"/>
  <c r="AN66" i="12"/>
  <c r="AN100" i="1"/>
  <c r="AO95" i="1"/>
  <c r="AO94" i="1" s="1"/>
  <c r="AM47" i="12"/>
  <c r="BY127" i="12" l="1"/>
  <c r="BY126" i="1"/>
  <c r="BZ130" i="1"/>
  <c r="BZ129" i="1" s="1"/>
  <c r="BZ16" i="1" s="1"/>
  <c r="BZ18" i="12" s="1"/>
  <c r="CH10" i="13" s="1"/>
  <c r="AO66" i="12"/>
  <c r="AO100" i="1"/>
  <c r="AP95" i="1"/>
  <c r="AP94" i="1" s="1"/>
  <c r="AN47" i="12"/>
  <c r="CH17" i="13" l="1"/>
  <c r="BY126" i="12"/>
  <c r="BZ130" i="12"/>
  <c r="BZ129" i="12" s="1"/>
  <c r="BM6" i="22"/>
  <c r="BM5" i="22" s="1"/>
  <c r="BZ127" i="1"/>
  <c r="AP66" i="12"/>
  <c r="AP100" i="1"/>
  <c r="AQ95" i="1"/>
  <c r="AQ94" i="1" s="1"/>
  <c r="AO47" i="12"/>
  <c r="BZ127" i="12" l="1"/>
  <c r="BZ126" i="1"/>
  <c r="CA130" i="1"/>
  <c r="CA129" i="1" s="1"/>
  <c r="CA16" i="1" s="1"/>
  <c r="CA18" i="12" s="1"/>
  <c r="CI10" i="13" s="1"/>
  <c r="AQ66" i="12"/>
  <c r="AQ100" i="1"/>
  <c r="AR95" i="1"/>
  <c r="AR94" i="1" s="1"/>
  <c r="AP47" i="12"/>
  <c r="CA127" i="1" l="1"/>
  <c r="CA127" i="12" s="1"/>
  <c r="CI17" i="13"/>
  <c r="BN6" i="22"/>
  <c r="BN5" i="22" s="1"/>
  <c r="BZ126" i="12"/>
  <c r="CA130" i="12"/>
  <c r="CA129" i="12" s="1"/>
  <c r="AR66" i="12"/>
  <c r="AR100" i="1"/>
  <c r="AS95" i="1"/>
  <c r="AS94" i="1" s="1"/>
  <c r="AQ47" i="12"/>
  <c r="CB130" i="1" l="1"/>
  <c r="CB129" i="1" s="1"/>
  <c r="CB16" i="1" s="1"/>
  <c r="CB18" i="12" s="1"/>
  <c r="CJ10" i="13" s="1"/>
  <c r="CJ17" i="13" s="1"/>
  <c r="CA126" i="1"/>
  <c r="CB130" i="12"/>
  <c r="CB129" i="12" s="1"/>
  <c r="CA126" i="12"/>
  <c r="BO6" i="22"/>
  <c r="BO5" i="22" s="1"/>
  <c r="AS66" i="12"/>
  <c r="AS100" i="1"/>
  <c r="AT95" i="1"/>
  <c r="AT94" i="1" s="1"/>
  <c r="AR47" i="12"/>
  <c r="CB127" i="1" l="1"/>
  <c r="AT66" i="12"/>
  <c r="AT100" i="1"/>
  <c r="AU95" i="1"/>
  <c r="AU94" i="1" s="1"/>
  <c r="AS47" i="12"/>
  <c r="CB126" i="1" l="1"/>
  <c r="CC130" i="1"/>
  <c r="CB127" i="12"/>
  <c r="AU66" i="12"/>
  <c r="AU100" i="1"/>
  <c r="AV95" i="1"/>
  <c r="AV94" i="1" s="1"/>
  <c r="AT47" i="12"/>
  <c r="BP6" i="22" l="1"/>
  <c r="BP5" i="22" s="1"/>
  <c r="CC130" i="12"/>
  <c r="CC129" i="12" s="1"/>
  <c r="CB126" i="12"/>
  <c r="CC129" i="1"/>
  <c r="CC16" i="1" s="1"/>
  <c r="CC18" i="12" s="1"/>
  <c r="CK10" i="13" s="1"/>
  <c r="CC127" i="1"/>
  <c r="AV66" i="12"/>
  <c r="AV100" i="1"/>
  <c r="AW95" i="1"/>
  <c r="AW94" i="1" s="1"/>
  <c r="AU47" i="12"/>
  <c r="CC127" i="12" l="1"/>
  <c r="CD130" i="1"/>
  <c r="CD129" i="1" s="1"/>
  <c r="CD16" i="1" s="1"/>
  <c r="CD18" i="12" s="1"/>
  <c r="CL10" i="13" s="1"/>
  <c r="CC126" i="1"/>
  <c r="CK17" i="13"/>
  <c r="AW66" i="12"/>
  <c r="AW100" i="1"/>
  <c r="AX95" i="1"/>
  <c r="AX94" i="1" s="1"/>
  <c r="AV47" i="12"/>
  <c r="CD127" i="1" l="1"/>
  <c r="CD126" i="1" s="1"/>
  <c r="CL17" i="13"/>
  <c r="CC126" i="12"/>
  <c r="CD130" i="12"/>
  <c r="CD129" i="12" s="1"/>
  <c r="BQ6" i="22"/>
  <c r="BQ5" i="22" s="1"/>
  <c r="AX66" i="12"/>
  <c r="AX100" i="1"/>
  <c r="AY95" i="1"/>
  <c r="AY94" i="1" s="1"/>
  <c r="AW47" i="12"/>
  <c r="CD127" i="12" l="1"/>
  <c r="CE130" i="1"/>
  <c r="CE129" i="1" s="1"/>
  <c r="CE16" i="1" s="1"/>
  <c r="CE18" i="12" s="1"/>
  <c r="CM10" i="13" s="1"/>
  <c r="CE130" i="12"/>
  <c r="CE129" i="12" s="1"/>
  <c r="BR6" i="22"/>
  <c r="BR5" i="22" s="1"/>
  <c r="CD126" i="12"/>
  <c r="AY66" i="12"/>
  <c r="AY100" i="1"/>
  <c r="AZ95" i="1"/>
  <c r="AZ94" i="1" s="1"/>
  <c r="AX47" i="12"/>
  <c r="CE127" i="1" l="1"/>
  <c r="CE126" i="1" s="1"/>
  <c r="CM17" i="13"/>
  <c r="AZ66" i="12"/>
  <c r="AZ100" i="1"/>
  <c r="BA95" i="1"/>
  <c r="BA94" i="1" s="1"/>
  <c r="AY47" i="12"/>
  <c r="CE127" i="12" l="1"/>
  <c r="CF130" i="1"/>
  <c r="CF129" i="1" s="1"/>
  <c r="CF16" i="1" s="1"/>
  <c r="CF18" i="12" s="1"/>
  <c r="CN10" i="13" s="1"/>
  <c r="CN17" i="13" s="1"/>
  <c r="CF127" i="1"/>
  <c r="CF126" i="1" s="1"/>
  <c r="CF127" i="12"/>
  <c r="CG130" i="1"/>
  <c r="CF130" i="12"/>
  <c r="CF129" i="12" s="1"/>
  <c r="BS6" i="22"/>
  <c r="BS5" i="22" s="1"/>
  <c r="CE126" i="12"/>
  <c r="BA66" i="12"/>
  <c r="BA100" i="1"/>
  <c r="AZ47" i="12"/>
  <c r="CG129" i="1" l="1"/>
  <c r="CG16" i="1" s="1"/>
  <c r="CG18" i="12" s="1"/>
  <c r="CO10" i="13" s="1"/>
  <c r="CG127" i="1"/>
  <c r="CG130" i="12"/>
  <c r="CG129" i="12" s="1"/>
  <c r="BT6" i="22"/>
  <c r="BT5" i="22" s="1"/>
  <c r="CF126" i="12"/>
  <c r="BA47" i="12"/>
  <c r="CG127" i="12" l="1"/>
  <c r="CH130" i="1"/>
  <c r="CH129" i="1" s="1"/>
  <c r="CH16" i="1" s="1"/>
  <c r="CH18" i="12" s="1"/>
  <c r="CP10" i="13" s="1"/>
  <c r="CG126" i="1"/>
  <c r="CO17" i="13"/>
  <c r="L45" i="12"/>
  <c r="G3" i="14"/>
  <c r="U3" i="13" s="1"/>
  <c r="H3" i="14"/>
  <c r="V3" i="13" s="1"/>
  <c r="I3" i="14"/>
  <c r="W3" i="13" s="1"/>
  <c r="J3" i="14"/>
  <c r="X3" i="13" s="1"/>
  <c r="K3" i="14"/>
  <c r="Y3" i="13" s="1"/>
  <c r="L3" i="14"/>
  <c r="Z3" i="13" s="1"/>
  <c r="M3" i="14"/>
  <c r="AA3" i="13" s="1"/>
  <c r="N3" i="14"/>
  <c r="AB3" i="13" s="1"/>
  <c r="O3" i="14"/>
  <c r="AC3" i="13" s="1"/>
  <c r="P3" i="14"/>
  <c r="AD3" i="13" s="1"/>
  <c r="Q3" i="14"/>
  <c r="AE3" i="13" s="1"/>
  <c r="R3" i="14"/>
  <c r="AF3" i="13" s="1"/>
  <c r="S3" i="14"/>
  <c r="AG3" i="13" s="1"/>
  <c r="T3" i="14"/>
  <c r="AH3" i="13" s="1"/>
  <c r="U3" i="14"/>
  <c r="AI3" i="13" s="1"/>
  <c r="V3" i="14"/>
  <c r="AJ3" i="13" s="1"/>
  <c r="W3" i="14"/>
  <c r="AK3" i="13" s="1"/>
  <c r="X3" i="14"/>
  <c r="AL3" i="13" s="1"/>
  <c r="Y3" i="14"/>
  <c r="AM3" i="13" s="1"/>
  <c r="Z3" i="14"/>
  <c r="AN3" i="13" s="1"/>
  <c r="AA3" i="14"/>
  <c r="AO3" i="13" s="1"/>
  <c r="AB3" i="14"/>
  <c r="AP3" i="13" s="1"/>
  <c r="AC3" i="14"/>
  <c r="AQ3" i="13" s="1"/>
  <c r="AD3" i="14"/>
  <c r="AR3" i="13" s="1"/>
  <c r="AE3" i="14"/>
  <c r="AS3" i="13" s="1"/>
  <c r="AF3" i="14"/>
  <c r="AT3" i="13" s="1"/>
  <c r="AG3" i="14"/>
  <c r="AU3" i="13" s="1"/>
  <c r="AH3" i="14"/>
  <c r="AV3" i="13" s="1"/>
  <c r="AI3" i="14"/>
  <c r="AW3" i="13" s="1"/>
  <c r="AJ3" i="14"/>
  <c r="AX3" i="13" s="1"/>
  <c r="AK3" i="14"/>
  <c r="AY3" i="13" s="1"/>
  <c r="AL3" i="14"/>
  <c r="AZ3" i="13" s="1"/>
  <c r="AM3" i="14"/>
  <c r="BA3" i="13" s="1"/>
  <c r="AN3" i="14"/>
  <c r="BB3" i="13" s="1"/>
  <c r="AO3" i="14"/>
  <c r="BC3" i="13" s="1"/>
  <c r="AP3" i="14"/>
  <c r="BD3" i="13" s="1"/>
  <c r="AQ3" i="14"/>
  <c r="BE3" i="13" s="1"/>
  <c r="AR3" i="14"/>
  <c r="BF3" i="13" s="1"/>
  <c r="AS3" i="14"/>
  <c r="BG3" i="13" s="1"/>
  <c r="AT3" i="14"/>
  <c r="BH3" i="13" s="1"/>
  <c r="AU3" i="14"/>
  <c r="BI3" i="13" s="1"/>
  <c r="AV3" i="14"/>
  <c r="BJ3" i="13" s="1"/>
  <c r="AW3" i="14"/>
  <c r="BK3" i="13" s="1"/>
  <c r="AX3" i="14"/>
  <c r="BL3" i="13" s="1"/>
  <c r="AY3" i="14"/>
  <c r="BM3" i="13" s="1"/>
  <c r="AZ3" i="14"/>
  <c r="BN3" i="13" s="1"/>
  <c r="BA3" i="14"/>
  <c r="BO3" i="13" s="1"/>
  <c r="BB3" i="14"/>
  <c r="BP3" i="13" s="1"/>
  <c r="BC3" i="14"/>
  <c r="BQ3" i="13" s="1"/>
  <c r="BD3" i="14"/>
  <c r="BR3" i="13" s="1"/>
  <c r="BE3" i="14"/>
  <c r="BS3" i="13" s="1"/>
  <c r="BF3" i="14"/>
  <c r="BT3" i="13" s="1"/>
  <c r="BG3" i="14"/>
  <c r="BU3" i="13" s="1"/>
  <c r="BH3" i="14"/>
  <c r="BV3" i="13" s="1"/>
  <c r="BI3" i="14"/>
  <c r="BW3" i="13" s="1"/>
  <c r="BJ3" i="14"/>
  <c r="BX3" i="13" s="1"/>
  <c r="BK3" i="14"/>
  <c r="BY3" i="13" s="1"/>
  <c r="BL3" i="14"/>
  <c r="BZ3" i="13" s="1"/>
  <c r="BM3" i="14"/>
  <c r="BN3" i="14"/>
  <c r="BO3" i="14"/>
  <c r="F3" i="14"/>
  <c r="T3" i="13" s="1"/>
  <c r="M107" i="12"/>
  <c r="N107" i="12"/>
  <c r="O107" i="12"/>
  <c r="P107" i="12"/>
  <c r="Q107" i="12"/>
  <c r="R107" i="12"/>
  <c r="S107" i="12"/>
  <c r="T107" i="12"/>
  <c r="U107" i="12"/>
  <c r="V107" i="12"/>
  <c r="W107" i="12"/>
  <c r="X107" i="12"/>
  <c r="Y107" i="12"/>
  <c r="Z107" i="12"/>
  <c r="AA107" i="12"/>
  <c r="AB107" i="12"/>
  <c r="AC107" i="12"/>
  <c r="D8" i="24" s="1"/>
  <c r="D12" i="24" s="1"/>
  <c r="C8" i="24"/>
  <c r="F8" i="24"/>
  <c r="G8" i="24"/>
  <c r="AM107" i="12"/>
  <c r="AN107" i="12"/>
  <c r="AO107" i="12"/>
  <c r="AP107" i="12"/>
  <c r="AQ107" i="12"/>
  <c r="AR107" i="12"/>
  <c r="AS107" i="12"/>
  <c r="AT107" i="12"/>
  <c r="AU107" i="12"/>
  <c r="AV107" i="12"/>
  <c r="AW107" i="12"/>
  <c r="AX107" i="12"/>
  <c r="AY107" i="12"/>
  <c r="AZ107" i="12"/>
  <c r="BA107" i="12"/>
  <c r="BB107" i="12"/>
  <c r="BC107" i="12"/>
  <c r="BD107" i="12"/>
  <c r="BE107" i="12"/>
  <c r="BF107" i="12"/>
  <c r="BG107" i="12"/>
  <c r="BH107" i="12"/>
  <c r="BI107" i="12"/>
  <c r="BJ107" i="12"/>
  <c r="BK107" i="12"/>
  <c r="BL107" i="12"/>
  <c r="BM107" i="12"/>
  <c r="BN107" i="12"/>
  <c r="BO107" i="12"/>
  <c r="BP107" i="12"/>
  <c r="BQ107" i="12"/>
  <c r="BR107" i="12"/>
  <c r="BS107" i="12"/>
  <c r="BT107" i="12"/>
  <c r="BU107" i="12"/>
  <c r="L107" i="12"/>
  <c r="R118" i="1"/>
  <c r="S118" i="1"/>
  <c r="T118" i="1"/>
  <c r="L118" i="1"/>
  <c r="M118" i="1"/>
  <c r="CM87" i="11"/>
  <c r="CM79" i="11"/>
  <c r="CM43" i="11"/>
  <c r="CM34" i="11"/>
  <c r="CM34" i="6"/>
  <c r="CM43" i="6" s="1"/>
  <c r="CM78" i="6" s="1"/>
  <c r="CM87" i="6" s="1"/>
  <c r="P34" i="5"/>
  <c r="P43" i="5" s="1"/>
  <c r="P79" i="5" s="1"/>
  <c r="P88" i="5" s="1"/>
  <c r="AA34" i="5"/>
  <c r="AA43" i="5" s="1"/>
  <c r="AA79" i="5" s="1"/>
  <c r="AA88" i="5" s="1"/>
  <c r="AF34" i="5"/>
  <c r="AF43" i="5" s="1"/>
  <c r="AF79" i="5" s="1"/>
  <c r="AF88" i="5" s="1"/>
  <c r="AV34" i="5"/>
  <c r="AV43" i="5" s="1"/>
  <c r="AV79" i="5" s="1"/>
  <c r="AV88" i="5" s="1"/>
  <c r="BG34" i="5"/>
  <c r="BG43" i="5" s="1"/>
  <c r="BG79" i="5" s="1"/>
  <c r="BG88" i="5" s="1"/>
  <c r="L34" i="5"/>
  <c r="L43" i="5" s="1"/>
  <c r="L79" i="5" s="1"/>
  <c r="L88" i="5" s="1"/>
  <c r="M39" i="1"/>
  <c r="M68" i="1" s="1"/>
  <c r="M103" i="1" s="1"/>
  <c r="M113" i="1" s="1"/>
  <c r="M125" i="1" s="1"/>
  <c r="M137" i="1" s="1"/>
  <c r="N39" i="1"/>
  <c r="N68" i="1" s="1"/>
  <c r="N103" i="1" s="1"/>
  <c r="N113" i="1" s="1"/>
  <c r="N125" i="1" s="1"/>
  <c r="N137" i="1" s="1"/>
  <c r="O39" i="1"/>
  <c r="O68" i="1" s="1"/>
  <c r="O103" i="1" s="1"/>
  <c r="O113" i="1" s="1"/>
  <c r="O125" i="1" s="1"/>
  <c r="O137" i="1" s="1"/>
  <c r="P39" i="1"/>
  <c r="P68" i="1" s="1"/>
  <c r="P103" i="1" s="1"/>
  <c r="P113" i="1" s="1"/>
  <c r="P125" i="1" s="1"/>
  <c r="P137" i="1" s="1"/>
  <c r="Q39" i="1"/>
  <c r="Q68" i="1" s="1"/>
  <c r="Q103" i="1" s="1"/>
  <c r="Q113" i="1" s="1"/>
  <c r="Q125" i="1" s="1"/>
  <c r="Q137" i="1" s="1"/>
  <c r="R39" i="1"/>
  <c r="R68" i="1" s="1"/>
  <c r="R103" i="1" s="1"/>
  <c r="R113" i="1" s="1"/>
  <c r="R125" i="1" s="1"/>
  <c r="R137" i="1" s="1"/>
  <c r="S39" i="1"/>
  <c r="S68" i="1" s="1"/>
  <c r="S103" i="1" s="1"/>
  <c r="S113" i="1" s="1"/>
  <c r="S125" i="1" s="1"/>
  <c r="S137" i="1" s="1"/>
  <c r="T39" i="1"/>
  <c r="T68" i="1" s="1"/>
  <c r="T103" i="1" s="1"/>
  <c r="T113" i="1" s="1"/>
  <c r="T125" i="1" s="1"/>
  <c r="T137" i="1" s="1"/>
  <c r="U39" i="1"/>
  <c r="U68" i="1" s="1"/>
  <c r="U103" i="1" s="1"/>
  <c r="U113" i="1" s="1"/>
  <c r="U125" i="1" s="1"/>
  <c r="U137" i="1" s="1"/>
  <c r="V39" i="1"/>
  <c r="V68" i="1" s="1"/>
  <c r="V103" i="1" s="1"/>
  <c r="V113" i="1" s="1"/>
  <c r="V125" i="1" s="1"/>
  <c r="V137" i="1" s="1"/>
  <c r="W39" i="1"/>
  <c r="W68" i="1" s="1"/>
  <c r="W103" i="1" s="1"/>
  <c r="W113" i="1" s="1"/>
  <c r="W125" i="1" s="1"/>
  <c r="W137" i="1" s="1"/>
  <c r="X39" i="1"/>
  <c r="X68" i="1" s="1"/>
  <c r="X103" i="1" s="1"/>
  <c r="X113" i="1" s="1"/>
  <c r="X125" i="1" s="1"/>
  <c r="X137" i="1" s="1"/>
  <c r="Y39" i="1"/>
  <c r="Y68" i="1" s="1"/>
  <c r="Y103" i="1" s="1"/>
  <c r="Y113" i="1" s="1"/>
  <c r="Y125" i="1" s="1"/>
  <c r="Y137" i="1" s="1"/>
  <c r="Z39" i="1"/>
  <c r="Z68" i="1" s="1"/>
  <c r="Z103" i="1" s="1"/>
  <c r="Z113" i="1" s="1"/>
  <c r="Z125" i="1" s="1"/>
  <c r="Z137" i="1" s="1"/>
  <c r="AA39" i="1"/>
  <c r="AA68" i="1" s="1"/>
  <c r="AA103" i="1" s="1"/>
  <c r="AA113" i="1" s="1"/>
  <c r="AA125" i="1" s="1"/>
  <c r="AA137" i="1" s="1"/>
  <c r="AB39" i="1"/>
  <c r="AB68" i="1" s="1"/>
  <c r="AB103" i="1" s="1"/>
  <c r="AB113" i="1" s="1"/>
  <c r="AB125" i="1" s="1"/>
  <c r="AB137" i="1" s="1"/>
  <c r="AC39" i="1"/>
  <c r="AC68" i="1" s="1"/>
  <c r="AC103" i="1" s="1"/>
  <c r="AC113" i="1" s="1"/>
  <c r="AC125" i="1" s="1"/>
  <c r="AC137" i="1" s="1"/>
  <c r="AD39" i="1"/>
  <c r="AD68" i="1" s="1"/>
  <c r="AD103" i="1" s="1"/>
  <c r="AD113" i="1" s="1"/>
  <c r="AD125" i="1" s="1"/>
  <c r="AD137" i="1" s="1"/>
  <c r="AE39" i="1"/>
  <c r="AE68" i="1" s="1"/>
  <c r="AE103" i="1" s="1"/>
  <c r="AE113" i="1" s="1"/>
  <c r="AE125" i="1" s="1"/>
  <c r="AE137" i="1" s="1"/>
  <c r="AF39" i="1"/>
  <c r="AF68" i="1" s="1"/>
  <c r="AF103" i="1" s="1"/>
  <c r="AF113" i="1" s="1"/>
  <c r="AF125" i="1" s="1"/>
  <c r="AF137" i="1" s="1"/>
  <c r="AG39" i="1"/>
  <c r="AG68" i="1" s="1"/>
  <c r="AG103" i="1" s="1"/>
  <c r="AG113" i="1" s="1"/>
  <c r="AG125" i="1" s="1"/>
  <c r="AG137" i="1" s="1"/>
  <c r="AH39" i="1"/>
  <c r="AH68" i="1" s="1"/>
  <c r="AH103" i="1" s="1"/>
  <c r="AH113" i="1" s="1"/>
  <c r="AH125" i="1" s="1"/>
  <c r="AH137" i="1" s="1"/>
  <c r="AI39" i="1"/>
  <c r="AI68" i="1" s="1"/>
  <c r="AI103" i="1" s="1"/>
  <c r="AI113" i="1" s="1"/>
  <c r="AI125" i="1" s="1"/>
  <c r="AI137" i="1" s="1"/>
  <c r="AJ39" i="1"/>
  <c r="AJ68" i="1" s="1"/>
  <c r="AJ103" i="1" s="1"/>
  <c r="AJ113" i="1" s="1"/>
  <c r="AJ125" i="1" s="1"/>
  <c r="AJ137" i="1" s="1"/>
  <c r="AK39" i="1"/>
  <c r="AK68" i="1" s="1"/>
  <c r="AK103" i="1" s="1"/>
  <c r="AK113" i="1" s="1"/>
  <c r="AK125" i="1" s="1"/>
  <c r="AK137" i="1" s="1"/>
  <c r="AL39" i="1"/>
  <c r="AL68" i="1" s="1"/>
  <c r="AL103" i="1" s="1"/>
  <c r="AL113" i="1" s="1"/>
  <c r="AL125" i="1" s="1"/>
  <c r="AL137" i="1" s="1"/>
  <c r="AM39" i="1"/>
  <c r="AM68" i="1" s="1"/>
  <c r="AM103" i="1" s="1"/>
  <c r="AM113" i="1" s="1"/>
  <c r="AM125" i="1" s="1"/>
  <c r="AM137" i="1" s="1"/>
  <c r="AN39" i="1"/>
  <c r="AN68" i="1" s="1"/>
  <c r="AN103" i="1" s="1"/>
  <c r="AN113" i="1" s="1"/>
  <c r="AN125" i="1" s="1"/>
  <c r="AN137" i="1" s="1"/>
  <c r="AO39" i="1"/>
  <c r="AO68" i="1" s="1"/>
  <c r="AO103" i="1" s="1"/>
  <c r="AO113" i="1" s="1"/>
  <c r="AO125" i="1" s="1"/>
  <c r="AO137" i="1" s="1"/>
  <c r="AP39" i="1"/>
  <c r="AP68" i="1" s="1"/>
  <c r="AP103" i="1" s="1"/>
  <c r="AP113" i="1" s="1"/>
  <c r="AP125" i="1" s="1"/>
  <c r="AP137" i="1" s="1"/>
  <c r="AQ39" i="1"/>
  <c r="AQ68" i="1" s="1"/>
  <c r="AQ103" i="1" s="1"/>
  <c r="AQ113" i="1" s="1"/>
  <c r="AQ125" i="1" s="1"/>
  <c r="AQ137" i="1" s="1"/>
  <c r="AR39" i="1"/>
  <c r="AR68" i="1" s="1"/>
  <c r="AR103" i="1" s="1"/>
  <c r="AR113" i="1" s="1"/>
  <c r="AR125" i="1" s="1"/>
  <c r="AR137" i="1" s="1"/>
  <c r="AS39" i="1"/>
  <c r="AS68" i="1" s="1"/>
  <c r="AS103" i="1" s="1"/>
  <c r="AS113" i="1" s="1"/>
  <c r="AS125" i="1" s="1"/>
  <c r="AS137" i="1" s="1"/>
  <c r="AT39" i="1"/>
  <c r="AT68" i="1" s="1"/>
  <c r="AT103" i="1" s="1"/>
  <c r="AT113" i="1" s="1"/>
  <c r="AT125" i="1" s="1"/>
  <c r="AT137" i="1" s="1"/>
  <c r="AU39" i="1"/>
  <c r="AU68" i="1" s="1"/>
  <c r="AU103" i="1" s="1"/>
  <c r="AU113" i="1" s="1"/>
  <c r="AU125" i="1" s="1"/>
  <c r="AU137" i="1" s="1"/>
  <c r="AV39" i="1"/>
  <c r="AV68" i="1" s="1"/>
  <c r="AV103" i="1" s="1"/>
  <c r="AV113" i="1" s="1"/>
  <c r="AV125" i="1" s="1"/>
  <c r="AV137" i="1" s="1"/>
  <c r="AW39" i="1"/>
  <c r="AW68" i="1" s="1"/>
  <c r="AW103" i="1" s="1"/>
  <c r="AW113" i="1" s="1"/>
  <c r="AW125" i="1" s="1"/>
  <c r="AW137" i="1" s="1"/>
  <c r="AX39" i="1"/>
  <c r="AX68" i="1" s="1"/>
  <c r="AX103" i="1" s="1"/>
  <c r="AX113" i="1" s="1"/>
  <c r="AX125" i="1" s="1"/>
  <c r="AX137" i="1" s="1"/>
  <c r="AY39" i="1"/>
  <c r="AY68" i="1" s="1"/>
  <c r="AY103" i="1" s="1"/>
  <c r="AY113" i="1" s="1"/>
  <c r="AY125" i="1" s="1"/>
  <c r="AY137" i="1" s="1"/>
  <c r="AZ39" i="1"/>
  <c r="AZ68" i="1" s="1"/>
  <c r="AZ103" i="1" s="1"/>
  <c r="AZ113" i="1" s="1"/>
  <c r="AZ125" i="1" s="1"/>
  <c r="AZ137" i="1" s="1"/>
  <c r="BA39" i="1"/>
  <c r="BA68" i="1" s="1"/>
  <c r="BA103" i="1" s="1"/>
  <c r="BA113" i="1" s="1"/>
  <c r="BA125" i="1" s="1"/>
  <c r="BA137" i="1" s="1"/>
  <c r="BB39" i="1"/>
  <c r="BB68" i="1" s="1"/>
  <c r="BB103" i="1" s="1"/>
  <c r="BB113" i="1" s="1"/>
  <c r="BB125" i="1" s="1"/>
  <c r="BB137" i="1" s="1"/>
  <c r="BC39" i="1"/>
  <c r="BC68" i="1" s="1"/>
  <c r="BC103" i="1" s="1"/>
  <c r="BC113" i="1" s="1"/>
  <c r="BC125" i="1" s="1"/>
  <c r="BC137" i="1" s="1"/>
  <c r="BD39" i="1"/>
  <c r="BD68" i="1" s="1"/>
  <c r="BD103" i="1" s="1"/>
  <c r="BD113" i="1" s="1"/>
  <c r="BD125" i="1" s="1"/>
  <c r="BD137" i="1" s="1"/>
  <c r="BE39" i="1"/>
  <c r="BE68" i="1" s="1"/>
  <c r="BE103" i="1" s="1"/>
  <c r="BE113" i="1" s="1"/>
  <c r="BE125" i="1" s="1"/>
  <c r="BE137" i="1" s="1"/>
  <c r="BF39" i="1"/>
  <c r="BF68" i="1" s="1"/>
  <c r="BF103" i="1" s="1"/>
  <c r="BF113" i="1" s="1"/>
  <c r="BF125" i="1" s="1"/>
  <c r="BF137" i="1" s="1"/>
  <c r="BG39" i="1"/>
  <c r="BG68" i="1" s="1"/>
  <c r="BG103" i="1" s="1"/>
  <c r="BG113" i="1" s="1"/>
  <c r="BG125" i="1" s="1"/>
  <c r="BG137" i="1" s="1"/>
  <c r="BH39" i="1"/>
  <c r="BH68" i="1" s="1"/>
  <c r="BH103" i="1" s="1"/>
  <c r="BH113" i="1" s="1"/>
  <c r="BH125" i="1" s="1"/>
  <c r="BH137" i="1" s="1"/>
  <c r="BI39" i="1"/>
  <c r="BI68" i="1" s="1"/>
  <c r="BI103" i="1" s="1"/>
  <c r="BI113" i="1" s="1"/>
  <c r="BI125" i="1" s="1"/>
  <c r="BI137" i="1" s="1"/>
  <c r="BJ39" i="1"/>
  <c r="BJ68" i="1" s="1"/>
  <c r="BJ103" i="1" s="1"/>
  <c r="BJ113" i="1" s="1"/>
  <c r="BJ125" i="1" s="1"/>
  <c r="BJ137" i="1" s="1"/>
  <c r="BK39" i="1"/>
  <c r="BK68" i="1" s="1"/>
  <c r="BK103" i="1" s="1"/>
  <c r="BK113" i="1" s="1"/>
  <c r="BK125" i="1" s="1"/>
  <c r="BK137" i="1" s="1"/>
  <c r="BL39" i="1"/>
  <c r="BL68" i="1" s="1"/>
  <c r="BL103" i="1" s="1"/>
  <c r="BL113" i="1" s="1"/>
  <c r="BL125" i="1" s="1"/>
  <c r="BL137" i="1" s="1"/>
  <c r="BM39" i="1"/>
  <c r="BM68" i="1" s="1"/>
  <c r="BM103" i="1" s="1"/>
  <c r="BM113" i="1" s="1"/>
  <c r="BM125" i="1" s="1"/>
  <c r="BM137" i="1" s="1"/>
  <c r="BN39" i="1"/>
  <c r="BN68" i="1" s="1"/>
  <c r="BN103" i="1" s="1"/>
  <c r="BN113" i="1" s="1"/>
  <c r="BN125" i="1" s="1"/>
  <c r="BN137" i="1" s="1"/>
  <c r="BO39" i="1"/>
  <c r="BO68" i="1" s="1"/>
  <c r="BO103" i="1" s="1"/>
  <c r="BO113" i="1" s="1"/>
  <c r="BO125" i="1" s="1"/>
  <c r="BO137" i="1" s="1"/>
  <c r="BP39" i="1"/>
  <c r="BP68" i="1" s="1"/>
  <c r="BP103" i="1" s="1"/>
  <c r="BP113" i="1" s="1"/>
  <c r="BP125" i="1" s="1"/>
  <c r="BP137" i="1" s="1"/>
  <c r="BQ39" i="1"/>
  <c r="BQ68" i="1" s="1"/>
  <c r="BQ103" i="1" s="1"/>
  <c r="BQ113" i="1" s="1"/>
  <c r="BQ125" i="1" s="1"/>
  <c r="BQ137" i="1" s="1"/>
  <c r="BR39" i="1"/>
  <c r="BR68" i="1" s="1"/>
  <c r="BR103" i="1" s="1"/>
  <c r="BR113" i="1" s="1"/>
  <c r="BR125" i="1" s="1"/>
  <c r="BR137" i="1" s="1"/>
  <c r="BS39" i="1"/>
  <c r="BS68" i="1" s="1"/>
  <c r="BS103" i="1" s="1"/>
  <c r="BS113" i="1" s="1"/>
  <c r="BS125" i="1" s="1"/>
  <c r="BS137" i="1" s="1"/>
  <c r="BT39" i="1"/>
  <c r="BT68" i="1" s="1"/>
  <c r="BT103" i="1" s="1"/>
  <c r="BT113" i="1" s="1"/>
  <c r="BT125" i="1" s="1"/>
  <c r="BT137" i="1" s="1"/>
  <c r="BU39" i="1"/>
  <c r="BU68" i="1" s="1"/>
  <c r="BU103" i="1" s="1"/>
  <c r="BU113" i="1" s="1"/>
  <c r="BU125" i="1" s="1"/>
  <c r="BU137" i="1" s="1"/>
  <c r="L39" i="1"/>
  <c r="L68" i="1" s="1"/>
  <c r="L103" i="1" s="1"/>
  <c r="L113" i="1" s="1"/>
  <c r="L125" i="1" s="1"/>
  <c r="L137" i="1" s="1"/>
  <c r="L31" i="19"/>
  <c r="L32" i="19" s="1"/>
  <c r="K31" i="19"/>
  <c r="K32" i="19" s="1"/>
  <c r="J31" i="19"/>
  <c r="J32" i="19" s="1"/>
  <c r="I31" i="19"/>
  <c r="I32" i="19" s="1"/>
  <c r="H31" i="19"/>
  <c r="H32" i="19" s="1"/>
  <c r="G31" i="19"/>
  <c r="G32" i="19" s="1"/>
  <c r="F31" i="19"/>
  <c r="F32" i="19" s="1"/>
  <c r="E31" i="19"/>
  <c r="E32" i="19" s="1"/>
  <c r="D31" i="19"/>
  <c r="D32" i="19" s="1"/>
  <c r="C31" i="19"/>
  <c r="C32" i="19" s="1"/>
  <c r="D8" i="19"/>
  <c r="Q3" i="19"/>
  <c r="CH127" i="1" l="1"/>
  <c r="CI130" i="1" s="1"/>
  <c r="Q8" i="24"/>
  <c r="CP17" i="13"/>
  <c r="CG126" i="12"/>
  <c r="BU6" i="22"/>
  <c r="BU5" i="22" s="1"/>
  <c r="CH130" i="12"/>
  <c r="CH129" i="12" s="1"/>
  <c r="BU40" i="12"/>
  <c r="BU52" i="12" s="1"/>
  <c r="BU86" i="12"/>
  <c r="BU104" i="12" s="1"/>
  <c r="BQ40" i="12"/>
  <c r="BQ52" i="12" s="1"/>
  <c r="BQ86" i="12"/>
  <c r="BQ104" i="12" s="1"/>
  <c r="BM40" i="12"/>
  <c r="BM52" i="12" s="1"/>
  <c r="BM86" i="12"/>
  <c r="BM104" i="12" s="1"/>
  <c r="BI40" i="12"/>
  <c r="BI52" i="12" s="1"/>
  <c r="BI86" i="12"/>
  <c r="BI104" i="12" s="1"/>
  <c r="BE40" i="12"/>
  <c r="BE52" i="12" s="1"/>
  <c r="BE86" i="12"/>
  <c r="BE104" i="12" s="1"/>
  <c r="BA40" i="12"/>
  <c r="BA52" i="12" s="1"/>
  <c r="BA86" i="12"/>
  <c r="BA104" i="12" s="1"/>
  <c r="AW40" i="12"/>
  <c r="AW52" i="12" s="1"/>
  <c r="AW86" i="12"/>
  <c r="AW104" i="12" s="1"/>
  <c r="AS40" i="12"/>
  <c r="AS52" i="12" s="1"/>
  <c r="AS86" i="12"/>
  <c r="AS104" i="12" s="1"/>
  <c r="AO40" i="12"/>
  <c r="AO52" i="12" s="1"/>
  <c r="AO86" i="12"/>
  <c r="AO104" i="12" s="1"/>
  <c r="AK40" i="12"/>
  <c r="AK52" i="12" s="1"/>
  <c r="AK86" i="12"/>
  <c r="AK104" i="12" s="1"/>
  <c r="AG40" i="12"/>
  <c r="AG52" i="12" s="1"/>
  <c r="AG86" i="12"/>
  <c r="AG104" i="12" s="1"/>
  <c r="AC40" i="12"/>
  <c r="AC52" i="12" s="1"/>
  <c r="AC86" i="12"/>
  <c r="AC104" i="12" s="1"/>
  <c r="Y40" i="12"/>
  <c r="Y52" i="12" s="1"/>
  <c r="Y86" i="12"/>
  <c r="Y104" i="12" s="1"/>
  <c r="U40" i="12"/>
  <c r="U52" i="12" s="1"/>
  <c r="U86" i="12"/>
  <c r="U104" i="12" s="1"/>
  <c r="Q40" i="12"/>
  <c r="Q52" i="12" s="1"/>
  <c r="Q86" i="12"/>
  <c r="Q104" i="12" s="1"/>
  <c r="M40" i="12"/>
  <c r="M52" i="12" s="1"/>
  <c r="M86" i="12"/>
  <c r="M104" i="12" s="1"/>
  <c r="BT86" i="12"/>
  <c r="BT104" i="12" s="1"/>
  <c r="BT40" i="12"/>
  <c r="BT52" i="12" s="1"/>
  <c r="BP86" i="12"/>
  <c r="BP104" i="12" s="1"/>
  <c r="BP40" i="12"/>
  <c r="BP52" i="12" s="1"/>
  <c r="BL86" i="12"/>
  <c r="BL104" i="12" s="1"/>
  <c r="BL40" i="12"/>
  <c r="BL52" i="12" s="1"/>
  <c r="BH86" i="12"/>
  <c r="BH104" i="12" s="1"/>
  <c r="BH40" i="12"/>
  <c r="BH52" i="12" s="1"/>
  <c r="BD86" i="12"/>
  <c r="BD104" i="12" s="1"/>
  <c r="BD40" i="12"/>
  <c r="BD52" i="12" s="1"/>
  <c r="AZ86" i="12"/>
  <c r="AZ104" i="12" s="1"/>
  <c r="AZ40" i="12"/>
  <c r="AZ52" i="12" s="1"/>
  <c r="AV86" i="12"/>
  <c r="AV104" i="12" s="1"/>
  <c r="AV40" i="12"/>
  <c r="AV52" i="12" s="1"/>
  <c r="AR86" i="12"/>
  <c r="AR104" i="12" s="1"/>
  <c r="AR40" i="12"/>
  <c r="AR52" i="12" s="1"/>
  <c r="AN86" i="12"/>
  <c r="AN104" i="12" s="1"/>
  <c r="AN40" i="12"/>
  <c r="AN52" i="12" s="1"/>
  <c r="AJ86" i="12"/>
  <c r="AJ104" i="12" s="1"/>
  <c r="AJ40" i="12"/>
  <c r="AJ52" i="12" s="1"/>
  <c r="AF86" i="12"/>
  <c r="AF104" i="12" s="1"/>
  <c r="AF40" i="12"/>
  <c r="AF52" i="12" s="1"/>
  <c r="AB86" i="12"/>
  <c r="AB104" i="12" s="1"/>
  <c r="AB40" i="12"/>
  <c r="AB52" i="12" s="1"/>
  <c r="X86" i="12"/>
  <c r="X104" i="12" s="1"/>
  <c r="X40" i="12"/>
  <c r="X52" i="12" s="1"/>
  <c r="T86" i="12"/>
  <c r="T104" i="12" s="1"/>
  <c r="T40" i="12"/>
  <c r="T52" i="12" s="1"/>
  <c r="P86" i="12"/>
  <c r="P104" i="12" s="1"/>
  <c r="P40" i="12"/>
  <c r="P52" i="12" s="1"/>
  <c r="L40" i="12"/>
  <c r="L52" i="12" s="1"/>
  <c r="L86" i="12"/>
  <c r="L104" i="12" s="1"/>
  <c r="BS40" i="12"/>
  <c r="BS52" i="12" s="1"/>
  <c r="BS86" i="12"/>
  <c r="BS104" i="12" s="1"/>
  <c r="BO86" i="12"/>
  <c r="BO104" i="12" s="1"/>
  <c r="BO40" i="12"/>
  <c r="BO52" i="12" s="1"/>
  <c r="BK40" i="12"/>
  <c r="BK52" i="12" s="1"/>
  <c r="BK86" i="12"/>
  <c r="BK104" i="12" s="1"/>
  <c r="BG40" i="12"/>
  <c r="BG52" i="12" s="1"/>
  <c r="BG86" i="12"/>
  <c r="BG104" i="12" s="1"/>
  <c r="BC40" i="12"/>
  <c r="BC52" i="12" s="1"/>
  <c r="BC86" i="12"/>
  <c r="BC104" i="12" s="1"/>
  <c r="AY40" i="12"/>
  <c r="AY52" i="12" s="1"/>
  <c r="AY86" i="12"/>
  <c r="AY104" i="12" s="1"/>
  <c r="AU40" i="12"/>
  <c r="AU52" i="12" s="1"/>
  <c r="AU86" i="12"/>
  <c r="AU104" i="12" s="1"/>
  <c r="AQ40" i="12"/>
  <c r="AQ52" i="12" s="1"/>
  <c r="AQ86" i="12"/>
  <c r="AQ104" i="12" s="1"/>
  <c r="AM40" i="12"/>
  <c r="AM52" i="12" s="1"/>
  <c r="AM86" i="12"/>
  <c r="AM104" i="12" s="1"/>
  <c r="AI40" i="12"/>
  <c r="AI52" i="12" s="1"/>
  <c r="AI86" i="12"/>
  <c r="AI104" i="12" s="1"/>
  <c r="AE40" i="12"/>
  <c r="AE52" i="12" s="1"/>
  <c r="AE86" i="12"/>
  <c r="AE104" i="12" s="1"/>
  <c r="AA40" i="12"/>
  <c r="AA52" i="12" s="1"/>
  <c r="AA86" i="12"/>
  <c r="AA104" i="12" s="1"/>
  <c r="W40" i="12"/>
  <c r="W52" i="12" s="1"/>
  <c r="W86" i="12"/>
  <c r="W104" i="12" s="1"/>
  <c r="S40" i="12"/>
  <c r="S52" i="12" s="1"/>
  <c r="S86" i="12"/>
  <c r="S104" i="12" s="1"/>
  <c r="O40" i="12"/>
  <c r="O52" i="12" s="1"/>
  <c r="O86" i="12"/>
  <c r="O104" i="12" s="1"/>
  <c r="BR40" i="12"/>
  <c r="BR52" i="12" s="1"/>
  <c r="BR86" i="12"/>
  <c r="BR104" i="12" s="1"/>
  <c r="BN40" i="12"/>
  <c r="BN52" i="12" s="1"/>
  <c r="BN86" i="12"/>
  <c r="BN104" i="12" s="1"/>
  <c r="BJ40" i="12"/>
  <c r="BJ52" i="12" s="1"/>
  <c r="BJ86" i="12"/>
  <c r="BJ104" i="12" s="1"/>
  <c r="BF40" i="12"/>
  <c r="BF52" i="12" s="1"/>
  <c r="BF86" i="12"/>
  <c r="BF104" i="12" s="1"/>
  <c r="BB40" i="12"/>
  <c r="BB52" i="12" s="1"/>
  <c r="BB86" i="12"/>
  <c r="BB104" i="12" s="1"/>
  <c r="AX40" i="12"/>
  <c r="AX52" i="12" s="1"/>
  <c r="AX86" i="12"/>
  <c r="AX104" i="12" s="1"/>
  <c r="AT40" i="12"/>
  <c r="AT52" i="12" s="1"/>
  <c r="AT86" i="12"/>
  <c r="AT104" i="12" s="1"/>
  <c r="AP40" i="12"/>
  <c r="AP52" i="12" s="1"/>
  <c r="AP86" i="12"/>
  <c r="AP104" i="12" s="1"/>
  <c r="AL40" i="12"/>
  <c r="AL52" i="12" s="1"/>
  <c r="AL86" i="12"/>
  <c r="AL104" i="12" s="1"/>
  <c r="AH40" i="12"/>
  <c r="AH52" i="12" s="1"/>
  <c r="AH86" i="12"/>
  <c r="AH104" i="12" s="1"/>
  <c r="AD40" i="12"/>
  <c r="AD52" i="12" s="1"/>
  <c r="AD86" i="12"/>
  <c r="AD104" i="12" s="1"/>
  <c r="Z40" i="12"/>
  <c r="Z52" i="12" s="1"/>
  <c r="Z86" i="12"/>
  <c r="Z104" i="12" s="1"/>
  <c r="V40" i="12"/>
  <c r="V52" i="12" s="1"/>
  <c r="V86" i="12"/>
  <c r="V104" i="12" s="1"/>
  <c r="R40" i="12"/>
  <c r="R52" i="12" s="1"/>
  <c r="R86" i="12"/>
  <c r="R104" i="12" s="1"/>
  <c r="N40" i="12"/>
  <c r="N52" i="12" s="1"/>
  <c r="N86" i="12"/>
  <c r="N104" i="12" s="1"/>
  <c r="L90" i="12"/>
  <c r="L44" i="12"/>
  <c r="AE3" i="6"/>
  <c r="AE3" i="7" s="1"/>
  <c r="AE34" i="7" s="1"/>
  <c r="AQ34" i="5"/>
  <c r="AQ43" i="5" s="1"/>
  <c r="AQ79" i="5" s="1"/>
  <c r="AQ88" i="5" s="1"/>
  <c r="O3" i="6"/>
  <c r="O3" i="7" s="1"/>
  <c r="O34" i="7" s="1"/>
  <c r="O34" i="5"/>
  <c r="O43" i="5" s="1"/>
  <c r="O79" i="5" s="1"/>
  <c r="O88" i="5" s="1"/>
  <c r="BK3" i="6"/>
  <c r="BK3" i="7" s="1"/>
  <c r="BK34" i="7" s="1"/>
  <c r="BK34" i="5"/>
  <c r="BK43" i="5" s="1"/>
  <c r="BK79" i="5" s="1"/>
  <c r="BK88" i="5" s="1"/>
  <c r="AU3" i="6"/>
  <c r="AU3" i="7" s="1"/>
  <c r="AU34" i="7" s="1"/>
  <c r="AU34" i="5"/>
  <c r="AU43" i="5" s="1"/>
  <c r="AU79" i="5" s="1"/>
  <c r="AU88" i="5" s="1"/>
  <c r="BP3" i="6"/>
  <c r="BP34" i="6" s="1"/>
  <c r="BP43" i="6" s="1"/>
  <c r="BP78" i="6" s="1"/>
  <c r="BP87" i="6" s="1"/>
  <c r="BP34" i="5"/>
  <c r="BP43" i="5" s="1"/>
  <c r="BP79" i="5" s="1"/>
  <c r="BP88" i="5" s="1"/>
  <c r="AZ3" i="6"/>
  <c r="AZ3" i="7" s="1"/>
  <c r="AZ34" i="7" s="1"/>
  <c r="AZ34" i="5"/>
  <c r="AZ43" i="5" s="1"/>
  <c r="AZ79" i="5" s="1"/>
  <c r="AZ88" i="5" s="1"/>
  <c r="AJ3" i="6"/>
  <c r="AJ34" i="6" s="1"/>
  <c r="AJ43" i="6" s="1"/>
  <c r="AJ78" i="6" s="1"/>
  <c r="AJ87" i="6" s="1"/>
  <c r="AJ34" i="5"/>
  <c r="AJ43" i="5" s="1"/>
  <c r="AJ79" i="5" s="1"/>
  <c r="AJ88" i="5" s="1"/>
  <c r="T3" i="6"/>
  <c r="T3" i="7" s="1"/>
  <c r="T34" i="7" s="1"/>
  <c r="T34" i="5"/>
  <c r="T43" i="5" s="1"/>
  <c r="T79" i="5" s="1"/>
  <c r="T88" i="5" s="1"/>
  <c r="BL34" i="5"/>
  <c r="BL43" i="5" s="1"/>
  <c r="BL79" i="5" s="1"/>
  <c r="BL88" i="5" s="1"/>
  <c r="BU3" i="6"/>
  <c r="BU34" i="5"/>
  <c r="BU43" i="5" s="1"/>
  <c r="BU79" i="5" s="1"/>
  <c r="BU88" i="5" s="1"/>
  <c r="BM3" i="6"/>
  <c r="BM34" i="5"/>
  <c r="BM43" i="5" s="1"/>
  <c r="BM79" i="5" s="1"/>
  <c r="BM88" i="5" s="1"/>
  <c r="BI3" i="6"/>
  <c r="BI34" i="5"/>
  <c r="BI43" i="5" s="1"/>
  <c r="BI79" i="5" s="1"/>
  <c r="BI88" i="5" s="1"/>
  <c r="BE3" i="6"/>
  <c r="BE34" i="5"/>
  <c r="BE43" i="5" s="1"/>
  <c r="BE79" i="5" s="1"/>
  <c r="BE88" i="5" s="1"/>
  <c r="AW3" i="6"/>
  <c r="AW34" i="5"/>
  <c r="AW43" i="5" s="1"/>
  <c r="AW79" i="5" s="1"/>
  <c r="AW88" i="5" s="1"/>
  <c r="AS3" i="6"/>
  <c r="AS34" i="5"/>
  <c r="AS43" i="5" s="1"/>
  <c r="AS79" i="5" s="1"/>
  <c r="AS88" i="5" s="1"/>
  <c r="AO3" i="6"/>
  <c r="AO34" i="5"/>
  <c r="AO43" i="5" s="1"/>
  <c r="AO79" i="5" s="1"/>
  <c r="AO88" i="5" s="1"/>
  <c r="AG3" i="6"/>
  <c r="AG34" i="5"/>
  <c r="AG43" i="5" s="1"/>
  <c r="AG79" i="5" s="1"/>
  <c r="AG88" i="5" s="1"/>
  <c r="AC3" i="6"/>
  <c r="AC34" i="5"/>
  <c r="AC43" i="5" s="1"/>
  <c r="AC79" i="5" s="1"/>
  <c r="AC88" i="5" s="1"/>
  <c r="Y3" i="6"/>
  <c r="Y34" i="5"/>
  <c r="Y43" i="5" s="1"/>
  <c r="Y79" i="5" s="1"/>
  <c r="Y88" i="5" s="1"/>
  <c r="Q3" i="6"/>
  <c r="Q34" i="5"/>
  <c r="Q43" i="5" s="1"/>
  <c r="Q79" i="5" s="1"/>
  <c r="Q88" i="5" s="1"/>
  <c r="M3" i="6"/>
  <c r="M34" i="5"/>
  <c r="M43" i="5" s="1"/>
  <c r="M79" i="5" s="1"/>
  <c r="M88" i="5" s="1"/>
  <c r="BT3" i="6"/>
  <c r="BT34" i="5"/>
  <c r="BT43" i="5" s="1"/>
  <c r="BT79" i="5" s="1"/>
  <c r="BT88" i="5" s="1"/>
  <c r="BH3" i="6"/>
  <c r="BH34" i="5"/>
  <c r="BH43" i="5" s="1"/>
  <c r="BH79" i="5" s="1"/>
  <c r="BH88" i="5" s="1"/>
  <c r="BD3" i="6"/>
  <c r="BD34" i="5"/>
  <c r="BD43" i="5" s="1"/>
  <c r="BD79" i="5" s="1"/>
  <c r="BD88" i="5" s="1"/>
  <c r="AR3" i="6"/>
  <c r="AR34" i="5"/>
  <c r="AR43" i="5" s="1"/>
  <c r="AR79" i="5" s="1"/>
  <c r="AR88" i="5" s="1"/>
  <c r="AN3" i="6"/>
  <c r="AN34" i="5"/>
  <c r="AN43" i="5" s="1"/>
  <c r="AN79" i="5" s="1"/>
  <c r="AN88" i="5" s="1"/>
  <c r="AB3" i="6"/>
  <c r="AB34" i="5"/>
  <c r="AB43" i="5" s="1"/>
  <c r="AB79" i="5" s="1"/>
  <c r="AB88" i="5" s="1"/>
  <c r="X3" i="6"/>
  <c r="X34" i="5"/>
  <c r="X43" i="5" s="1"/>
  <c r="X79" i="5" s="1"/>
  <c r="X88" i="5" s="1"/>
  <c r="BS3" i="6"/>
  <c r="BS34" i="5"/>
  <c r="BS43" i="5" s="1"/>
  <c r="BS79" i="5" s="1"/>
  <c r="BS88" i="5" s="1"/>
  <c r="BO3" i="6"/>
  <c r="BO34" i="5"/>
  <c r="BO43" i="5" s="1"/>
  <c r="BO79" i="5" s="1"/>
  <c r="BO88" i="5" s="1"/>
  <c r="BC3" i="6"/>
  <c r="BC34" i="5"/>
  <c r="BC43" i="5" s="1"/>
  <c r="BC79" i="5" s="1"/>
  <c r="BC88" i="5" s="1"/>
  <c r="AY3" i="6"/>
  <c r="AY34" i="5"/>
  <c r="AY43" i="5" s="1"/>
  <c r="AY79" i="5" s="1"/>
  <c r="AY88" i="5" s="1"/>
  <c r="AM3" i="6"/>
  <c r="AM34" i="5"/>
  <c r="AM43" i="5" s="1"/>
  <c r="AM79" i="5" s="1"/>
  <c r="AM88" i="5" s="1"/>
  <c r="AI3" i="6"/>
  <c r="AI34" i="5"/>
  <c r="AI43" i="5" s="1"/>
  <c r="AI79" i="5" s="1"/>
  <c r="AI88" i="5" s="1"/>
  <c r="W3" i="6"/>
  <c r="W34" i="5"/>
  <c r="W43" i="5" s="1"/>
  <c r="W79" i="5" s="1"/>
  <c r="W88" i="5" s="1"/>
  <c r="S3" i="6"/>
  <c r="S34" i="5"/>
  <c r="S43" i="5" s="1"/>
  <c r="S79" i="5" s="1"/>
  <c r="S88" i="5" s="1"/>
  <c r="BQ3" i="6"/>
  <c r="BQ34" i="5"/>
  <c r="BQ43" i="5" s="1"/>
  <c r="BQ79" i="5" s="1"/>
  <c r="BQ88" i="5" s="1"/>
  <c r="BA3" i="6"/>
  <c r="BA34" i="5"/>
  <c r="BA43" i="5" s="1"/>
  <c r="BA79" i="5" s="1"/>
  <c r="BA88" i="5" s="1"/>
  <c r="AK3" i="6"/>
  <c r="AK34" i="5"/>
  <c r="AK43" i="5" s="1"/>
  <c r="AK79" i="5" s="1"/>
  <c r="AK88" i="5" s="1"/>
  <c r="U3" i="6"/>
  <c r="U34" i="5"/>
  <c r="U43" i="5" s="1"/>
  <c r="U79" i="5" s="1"/>
  <c r="U88" i="5" s="1"/>
  <c r="L3" i="6"/>
  <c r="BG3" i="6"/>
  <c r="AV3" i="6"/>
  <c r="AF3" i="6"/>
  <c r="AA3" i="6"/>
  <c r="P3" i="6"/>
  <c r="C33" i="19"/>
  <c r="C35" i="19" s="1"/>
  <c r="D10" i="19" s="1"/>
  <c r="D13" i="19" s="1"/>
  <c r="D16" i="19" s="1"/>
  <c r="CH127" i="12" l="1"/>
  <c r="CH126" i="1"/>
  <c r="CH126" i="12"/>
  <c r="CI130" i="12"/>
  <c r="CI129" i="12" s="1"/>
  <c r="BV6" i="22"/>
  <c r="BV5" i="22" s="1"/>
  <c r="CI129" i="1"/>
  <c r="CI16" i="1" s="1"/>
  <c r="CI18" i="12" s="1"/>
  <c r="CQ10" i="13" s="1"/>
  <c r="CI127" i="1"/>
  <c r="N125" i="12"/>
  <c r="N114" i="12"/>
  <c r="AA125" i="12"/>
  <c r="AA114" i="12"/>
  <c r="L125" i="12"/>
  <c r="L114" i="12"/>
  <c r="BQ125" i="12"/>
  <c r="BQ114" i="12"/>
  <c r="AJ125" i="12"/>
  <c r="AJ114" i="12"/>
  <c r="BN125" i="12"/>
  <c r="BN114" i="12"/>
  <c r="BU125" i="12"/>
  <c r="BU114" i="12"/>
  <c r="BL125" i="12"/>
  <c r="BL114" i="12"/>
  <c r="AT125" i="12"/>
  <c r="AT114" i="12"/>
  <c r="AI125" i="12"/>
  <c r="AI114" i="12"/>
  <c r="BA125" i="12"/>
  <c r="BA114" i="12"/>
  <c r="T125" i="12"/>
  <c r="T114" i="12"/>
  <c r="Z125" i="12"/>
  <c r="Z114" i="12"/>
  <c r="O125" i="12"/>
  <c r="O114" i="12"/>
  <c r="AV125" i="12"/>
  <c r="AV114" i="12"/>
  <c r="AD125" i="12"/>
  <c r="AD114" i="12"/>
  <c r="BB125" i="12"/>
  <c r="BB114" i="12"/>
  <c r="AQ125" i="12"/>
  <c r="AQ114" i="12"/>
  <c r="M125" i="12"/>
  <c r="M114" i="12"/>
  <c r="AK125" i="12"/>
  <c r="AK114" i="12"/>
  <c r="BO125" i="12"/>
  <c r="BO114" i="12"/>
  <c r="AB125" i="12"/>
  <c r="AB114" i="12"/>
  <c r="AZ125" i="12"/>
  <c r="AZ114" i="12"/>
  <c r="AL125" i="12"/>
  <c r="AL114" i="12"/>
  <c r="AY125" i="12"/>
  <c r="AY114" i="12"/>
  <c r="AS125" i="12"/>
  <c r="AS114" i="12"/>
  <c r="BH125" i="12"/>
  <c r="BH114" i="12"/>
  <c r="R125" i="12"/>
  <c r="R114" i="12"/>
  <c r="AE125" i="12"/>
  <c r="AE114" i="12"/>
  <c r="BC125" i="12"/>
  <c r="BC114" i="12"/>
  <c r="Y125" i="12"/>
  <c r="Y114" i="12"/>
  <c r="AN125" i="12"/>
  <c r="AN114" i="12"/>
  <c r="BR125" i="12"/>
  <c r="BR114" i="12"/>
  <c r="BG125" i="12"/>
  <c r="BG114" i="12"/>
  <c r="AR125" i="12"/>
  <c r="AR114" i="12"/>
  <c r="AX125" i="12"/>
  <c r="AX114" i="12"/>
  <c r="BK125" i="12"/>
  <c r="BK114" i="12"/>
  <c r="AG125" i="12"/>
  <c r="AG114" i="12"/>
  <c r="X125" i="12"/>
  <c r="X114" i="12"/>
  <c r="BT125" i="12"/>
  <c r="BT114" i="12"/>
  <c r="S125" i="12"/>
  <c r="S114" i="12"/>
  <c r="BI125" i="12"/>
  <c r="BI114" i="12"/>
  <c r="AH125" i="12"/>
  <c r="AH114" i="12"/>
  <c r="BF125" i="12"/>
  <c r="BF114" i="12"/>
  <c r="W125" i="12"/>
  <c r="W114" i="12"/>
  <c r="AU125" i="12"/>
  <c r="AU114" i="12"/>
  <c r="BS125" i="12"/>
  <c r="BS114" i="12"/>
  <c r="Q125" i="12"/>
  <c r="Q114" i="12"/>
  <c r="AO125" i="12"/>
  <c r="AO114" i="12"/>
  <c r="BM125" i="12"/>
  <c r="BM114" i="12"/>
  <c r="BJ125" i="12"/>
  <c r="BJ114" i="12"/>
  <c r="U125" i="12"/>
  <c r="U114" i="12"/>
  <c r="AP125" i="12"/>
  <c r="AP114" i="12"/>
  <c r="AW125" i="12"/>
  <c r="AW114" i="12"/>
  <c r="P125" i="12"/>
  <c r="P114" i="12"/>
  <c r="V125" i="12"/>
  <c r="V114" i="12"/>
  <c r="AC125" i="12"/>
  <c r="AC114" i="12"/>
  <c r="BP125" i="12"/>
  <c r="BP114" i="12"/>
  <c r="AM125" i="12"/>
  <c r="AM114" i="12"/>
  <c r="BE125" i="12"/>
  <c r="BE114" i="12"/>
  <c r="AF125" i="12"/>
  <c r="AF114" i="12"/>
  <c r="BD125" i="12"/>
  <c r="BD114" i="12"/>
  <c r="AL135" i="12"/>
  <c r="L135" i="12"/>
  <c r="AS135" i="12"/>
  <c r="BC135" i="12"/>
  <c r="BU135" i="12"/>
  <c r="V135" i="12"/>
  <c r="AR135" i="12"/>
  <c r="X135" i="12"/>
  <c r="AV135" i="12"/>
  <c r="BT135" i="12"/>
  <c r="AA135" i="12"/>
  <c r="U135" i="12"/>
  <c r="R135" i="12"/>
  <c r="BL135" i="12"/>
  <c r="BR135" i="12"/>
  <c r="BA135" i="12"/>
  <c r="BP135" i="12"/>
  <c r="AX135" i="12"/>
  <c r="BE135" i="12"/>
  <c r="AD135" i="12"/>
  <c r="BB135" i="12"/>
  <c r="S135" i="12"/>
  <c r="AQ135" i="12"/>
  <c r="M135" i="12"/>
  <c r="AK135" i="12"/>
  <c r="BI135" i="12"/>
  <c r="AY135" i="12"/>
  <c r="AJ135" i="12"/>
  <c r="AP135" i="12"/>
  <c r="AN135" i="12"/>
  <c r="AT135" i="12"/>
  <c r="Z135" i="12"/>
  <c r="BK135" i="12"/>
  <c r="BO135" i="12"/>
  <c r="AB135" i="12"/>
  <c r="AZ135" i="12"/>
  <c r="BJ135" i="12"/>
  <c r="BQ135" i="12"/>
  <c r="AE135" i="12"/>
  <c r="Y135" i="12"/>
  <c r="P135" i="12"/>
  <c r="BG135" i="12"/>
  <c r="T135" i="12"/>
  <c r="AM135" i="12"/>
  <c r="AG135" i="12"/>
  <c r="AH135" i="12"/>
  <c r="BF135" i="12"/>
  <c r="W135" i="12"/>
  <c r="AU135" i="12"/>
  <c r="BS135" i="12"/>
  <c r="Q135" i="12"/>
  <c r="AO135" i="12"/>
  <c r="BM135" i="12"/>
  <c r="N135" i="12"/>
  <c r="BH135" i="12"/>
  <c r="BN135" i="12"/>
  <c r="AW135" i="12"/>
  <c r="AI135" i="12"/>
  <c r="AC135" i="12"/>
  <c r="O135" i="12"/>
  <c r="AF135" i="12"/>
  <c r="BD135" i="12"/>
  <c r="AE34" i="5"/>
  <c r="AE43" i="5" s="1"/>
  <c r="AE79" i="5" s="1"/>
  <c r="AE88" i="5" s="1"/>
  <c r="AJ3" i="7"/>
  <c r="N118" i="1"/>
  <c r="BP3" i="7"/>
  <c r="BK34" i="6"/>
  <c r="BK43" i="6" s="1"/>
  <c r="BK78" i="6" s="1"/>
  <c r="BK87" i="6" s="1"/>
  <c r="AE34" i="6"/>
  <c r="AE43" i="6" s="1"/>
  <c r="AE78" i="6" s="1"/>
  <c r="AE87" i="6" s="1"/>
  <c r="O34" i="6"/>
  <c r="O43" i="6" s="1"/>
  <c r="O78" i="6" s="1"/>
  <c r="O87" i="6" s="1"/>
  <c r="AQ3" i="6"/>
  <c r="AQ3" i="7" s="1"/>
  <c r="AQ34" i="7" s="1"/>
  <c r="BL3" i="6"/>
  <c r="BL3" i="7" s="1"/>
  <c r="BL34" i="7" s="1"/>
  <c r="T34" i="6"/>
  <c r="T43" i="6" s="1"/>
  <c r="T78" i="6" s="1"/>
  <c r="T87" i="6" s="1"/>
  <c r="AU34" i="6"/>
  <c r="AU43" i="6" s="1"/>
  <c r="AU78" i="6" s="1"/>
  <c r="AU87" i="6" s="1"/>
  <c r="AZ34" i="6"/>
  <c r="AZ43" i="6" s="1"/>
  <c r="AZ78" i="6" s="1"/>
  <c r="AZ87" i="6" s="1"/>
  <c r="AF3" i="7"/>
  <c r="AF34" i="7" s="1"/>
  <c r="AF34" i="6"/>
  <c r="AF43" i="6" s="1"/>
  <c r="AF78" i="6" s="1"/>
  <c r="AF87" i="6" s="1"/>
  <c r="L34" i="6"/>
  <c r="L43" i="6" s="1"/>
  <c r="L78" i="6" s="1"/>
  <c r="L87" i="6" s="1"/>
  <c r="L3" i="7"/>
  <c r="L34" i="7" s="1"/>
  <c r="AK3" i="7"/>
  <c r="AK34" i="7" s="1"/>
  <c r="AK34" i="6"/>
  <c r="AK43" i="6" s="1"/>
  <c r="AK78" i="6" s="1"/>
  <c r="AK87" i="6" s="1"/>
  <c r="BQ3" i="7"/>
  <c r="BQ34" i="7" s="1"/>
  <c r="BQ34" i="6"/>
  <c r="BQ43" i="6" s="1"/>
  <c r="BQ78" i="6" s="1"/>
  <c r="BQ87" i="6" s="1"/>
  <c r="W3" i="7"/>
  <c r="W34" i="7" s="1"/>
  <c r="W34" i="6"/>
  <c r="W43" i="6" s="1"/>
  <c r="W78" i="6" s="1"/>
  <c r="W87" i="6" s="1"/>
  <c r="AM3" i="7"/>
  <c r="AM34" i="7" s="1"/>
  <c r="AM34" i="6"/>
  <c r="AM43" i="6" s="1"/>
  <c r="AM78" i="6" s="1"/>
  <c r="AM87" i="6" s="1"/>
  <c r="BC3" i="7"/>
  <c r="BC34" i="7" s="1"/>
  <c r="BC34" i="6"/>
  <c r="BC43" i="6" s="1"/>
  <c r="BC78" i="6" s="1"/>
  <c r="BC87" i="6" s="1"/>
  <c r="BS3" i="7"/>
  <c r="BS34" i="7" s="1"/>
  <c r="BS34" i="6"/>
  <c r="BS43" i="6" s="1"/>
  <c r="BS78" i="6" s="1"/>
  <c r="BS87" i="6" s="1"/>
  <c r="AU43" i="7"/>
  <c r="AU79" i="7" s="1"/>
  <c r="AU87" i="7" s="1"/>
  <c r="AU3" i="8"/>
  <c r="AB3" i="7"/>
  <c r="AB34" i="7" s="1"/>
  <c r="AB34" i="6"/>
  <c r="AB43" i="6" s="1"/>
  <c r="AB78" i="6" s="1"/>
  <c r="AB87" i="6" s="1"/>
  <c r="AR3" i="7"/>
  <c r="AR34" i="7" s="1"/>
  <c r="AR34" i="6"/>
  <c r="AR43" i="6" s="1"/>
  <c r="AR78" i="6" s="1"/>
  <c r="AR87" i="6" s="1"/>
  <c r="BH3" i="7"/>
  <c r="BH34" i="7" s="1"/>
  <c r="BH34" i="6"/>
  <c r="BH43" i="6" s="1"/>
  <c r="BH78" i="6" s="1"/>
  <c r="BH87" i="6" s="1"/>
  <c r="M3" i="7"/>
  <c r="M34" i="7" s="1"/>
  <c r="M34" i="6"/>
  <c r="M43" i="6" s="1"/>
  <c r="M78" i="6" s="1"/>
  <c r="M87" i="6" s="1"/>
  <c r="Y3" i="7"/>
  <c r="Y34" i="7" s="1"/>
  <c r="Y34" i="6"/>
  <c r="Y43" i="6" s="1"/>
  <c r="Y78" i="6" s="1"/>
  <c r="Y87" i="6" s="1"/>
  <c r="AG3" i="7"/>
  <c r="AG34" i="7" s="1"/>
  <c r="AG34" i="6"/>
  <c r="AG43" i="6" s="1"/>
  <c r="AG78" i="6" s="1"/>
  <c r="AG87" i="6" s="1"/>
  <c r="AS3" i="7"/>
  <c r="AS34" i="7" s="1"/>
  <c r="AS34" i="6"/>
  <c r="AS43" i="6" s="1"/>
  <c r="AS78" i="6" s="1"/>
  <c r="AS87" i="6" s="1"/>
  <c r="BE3" i="7"/>
  <c r="BE34" i="7" s="1"/>
  <c r="BE34" i="6"/>
  <c r="BE43" i="6" s="1"/>
  <c r="BE78" i="6" s="1"/>
  <c r="BE87" i="6" s="1"/>
  <c r="BM3" i="7"/>
  <c r="BM34" i="7" s="1"/>
  <c r="BM34" i="6"/>
  <c r="BM43" i="6" s="1"/>
  <c r="BM78" i="6" s="1"/>
  <c r="BM87" i="6" s="1"/>
  <c r="O43" i="7"/>
  <c r="O79" i="7" s="1"/>
  <c r="O87" i="7" s="1"/>
  <c r="O3" i="8"/>
  <c r="N3" i="6"/>
  <c r="N34" i="5"/>
  <c r="N43" i="5" s="1"/>
  <c r="N79" i="5" s="1"/>
  <c r="N88" i="5" s="1"/>
  <c r="V34" i="5"/>
  <c r="V43" i="5" s="1"/>
  <c r="V79" i="5" s="1"/>
  <c r="V88" i="5" s="1"/>
  <c r="V3" i="6"/>
  <c r="AD3" i="6"/>
  <c r="AD34" i="5"/>
  <c r="AD43" i="5" s="1"/>
  <c r="AD79" i="5" s="1"/>
  <c r="AD88" i="5" s="1"/>
  <c r="AP3" i="6"/>
  <c r="AP34" i="5"/>
  <c r="AP43" i="5" s="1"/>
  <c r="AP79" i="5" s="1"/>
  <c r="AP88" i="5" s="1"/>
  <c r="AX3" i="6"/>
  <c r="AX34" i="5"/>
  <c r="AX43" i="5" s="1"/>
  <c r="AX79" i="5" s="1"/>
  <c r="AX88" i="5" s="1"/>
  <c r="BF3" i="6"/>
  <c r="BF34" i="5"/>
  <c r="BF43" i="5" s="1"/>
  <c r="BF79" i="5" s="1"/>
  <c r="BF88" i="5" s="1"/>
  <c r="BN3" i="6"/>
  <c r="BN34" i="5"/>
  <c r="BN43" i="5" s="1"/>
  <c r="BN79" i="5" s="1"/>
  <c r="BN88" i="5" s="1"/>
  <c r="P3" i="7"/>
  <c r="P34" i="7" s="1"/>
  <c r="P34" i="6"/>
  <c r="P43" i="6" s="1"/>
  <c r="P78" i="6" s="1"/>
  <c r="P87" i="6" s="1"/>
  <c r="AV3" i="7"/>
  <c r="AV34" i="7" s="1"/>
  <c r="AV34" i="6"/>
  <c r="AV43" i="6" s="1"/>
  <c r="AV78" i="6" s="1"/>
  <c r="AV87" i="6" s="1"/>
  <c r="AA34" i="6"/>
  <c r="AA43" i="6" s="1"/>
  <c r="AA78" i="6" s="1"/>
  <c r="AA87" i="6" s="1"/>
  <c r="AA3" i="7"/>
  <c r="AA34" i="7" s="1"/>
  <c r="BG34" i="6"/>
  <c r="BG43" i="6" s="1"/>
  <c r="BG78" i="6" s="1"/>
  <c r="BG87" i="6" s="1"/>
  <c r="BG3" i="7"/>
  <c r="BG34" i="7" s="1"/>
  <c r="U3" i="7"/>
  <c r="U34" i="7" s="1"/>
  <c r="U34" i="6"/>
  <c r="U43" i="6" s="1"/>
  <c r="U78" i="6" s="1"/>
  <c r="U87" i="6" s="1"/>
  <c r="BA3" i="7"/>
  <c r="BA34" i="7" s="1"/>
  <c r="BA34" i="6"/>
  <c r="BA43" i="6" s="1"/>
  <c r="BA78" i="6" s="1"/>
  <c r="BA87" i="6" s="1"/>
  <c r="AE43" i="7"/>
  <c r="AE79" i="7" s="1"/>
  <c r="AE87" i="7" s="1"/>
  <c r="AE3" i="8"/>
  <c r="S34" i="6"/>
  <c r="S43" i="6" s="1"/>
  <c r="S78" i="6" s="1"/>
  <c r="S87" i="6" s="1"/>
  <c r="S3" i="7"/>
  <c r="S34" i="7" s="1"/>
  <c r="AI34" i="6"/>
  <c r="AI43" i="6" s="1"/>
  <c r="AI78" i="6" s="1"/>
  <c r="AI87" i="6" s="1"/>
  <c r="AI3" i="7"/>
  <c r="AI34" i="7" s="1"/>
  <c r="AY34" i="6"/>
  <c r="AY43" i="6" s="1"/>
  <c r="AY78" i="6" s="1"/>
  <c r="AY87" i="6" s="1"/>
  <c r="AY3" i="7"/>
  <c r="AY34" i="7" s="1"/>
  <c r="BO34" i="6"/>
  <c r="BO43" i="6" s="1"/>
  <c r="BO78" i="6" s="1"/>
  <c r="BO87" i="6" s="1"/>
  <c r="BO3" i="7"/>
  <c r="BO34" i="7" s="1"/>
  <c r="T43" i="7"/>
  <c r="T79" i="7" s="1"/>
  <c r="T87" i="7" s="1"/>
  <c r="T3" i="8"/>
  <c r="X3" i="7"/>
  <c r="X34" i="7" s="1"/>
  <c r="X34" i="6"/>
  <c r="X43" i="6" s="1"/>
  <c r="X78" i="6" s="1"/>
  <c r="X87" i="6" s="1"/>
  <c r="AN3" i="7"/>
  <c r="AN34" i="7" s="1"/>
  <c r="AN34" i="6"/>
  <c r="AN43" i="6" s="1"/>
  <c r="AN78" i="6" s="1"/>
  <c r="AN87" i="6" s="1"/>
  <c r="BD3" i="7"/>
  <c r="BD34" i="7" s="1"/>
  <c r="BD34" i="6"/>
  <c r="BD43" i="6" s="1"/>
  <c r="BD78" i="6" s="1"/>
  <c r="BD87" i="6" s="1"/>
  <c r="BT3" i="7"/>
  <c r="BT34" i="7" s="1"/>
  <c r="BT34" i="6"/>
  <c r="BT43" i="6" s="1"/>
  <c r="BT78" i="6" s="1"/>
  <c r="BT87" i="6" s="1"/>
  <c r="BK43" i="7"/>
  <c r="BK79" i="7" s="1"/>
  <c r="BK87" i="7" s="1"/>
  <c r="BK3" i="8"/>
  <c r="Q3" i="7"/>
  <c r="Q34" i="7" s="1"/>
  <c r="Q34" i="6"/>
  <c r="Q43" i="6" s="1"/>
  <c r="Q78" i="6" s="1"/>
  <c r="Q87" i="6" s="1"/>
  <c r="AC3" i="7"/>
  <c r="AC34" i="7" s="1"/>
  <c r="AC34" i="6"/>
  <c r="AC43" i="6" s="1"/>
  <c r="AC78" i="6" s="1"/>
  <c r="AC87" i="6" s="1"/>
  <c r="AO3" i="7"/>
  <c r="AO34" i="7" s="1"/>
  <c r="AO34" i="6"/>
  <c r="AO43" i="6" s="1"/>
  <c r="AO78" i="6" s="1"/>
  <c r="AO87" i="6" s="1"/>
  <c r="AW3" i="7"/>
  <c r="AW34" i="7" s="1"/>
  <c r="AW34" i="6"/>
  <c r="AW43" i="6" s="1"/>
  <c r="AW78" i="6" s="1"/>
  <c r="AW87" i="6" s="1"/>
  <c r="BI3" i="7"/>
  <c r="BI34" i="7" s="1"/>
  <c r="BI34" i="6"/>
  <c r="BI43" i="6" s="1"/>
  <c r="BI78" i="6" s="1"/>
  <c r="BI87" i="6" s="1"/>
  <c r="BU3" i="7"/>
  <c r="BU34" i="7" s="1"/>
  <c r="BU34" i="6"/>
  <c r="BU43" i="6" s="1"/>
  <c r="BU78" i="6" s="1"/>
  <c r="BU87" i="6" s="1"/>
  <c r="AZ43" i="7"/>
  <c r="AZ79" i="7" s="1"/>
  <c r="AZ87" i="7" s="1"/>
  <c r="AZ3" i="8"/>
  <c r="R3" i="6"/>
  <c r="R34" i="5"/>
  <c r="R43" i="5" s="1"/>
  <c r="R79" i="5" s="1"/>
  <c r="R88" i="5" s="1"/>
  <c r="Z3" i="6"/>
  <c r="Z34" i="5"/>
  <c r="Z43" i="5" s="1"/>
  <c r="Z79" i="5" s="1"/>
  <c r="Z88" i="5" s="1"/>
  <c r="AL34" i="5"/>
  <c r="AL43" i="5" s="1"/>
  <c r="AL79" i="5" s="1"/>
  <c r="AL88" i="5" s="1"/>
  <c r="AL3" i="6"/>
  <c r="AT3" i="6"/>
  <c r="AT34" i="5"/>
  <c r="AT43" i="5" s="1"/>
  <c r="AT79" i="5" s="1"/>
  <c r="AT88" i="5" s="1"/>
  <c r="BB34" i="5"/>
  <c r="BB43" i="5" s="1"/>
  <c r="BB79" i="5" s="1"/>
  <c r="BB88" i="5" s="1"/>
  <c r="BB3" i="6"/>
  <c r="BJ3" i="6"/>
  <c r="BJ34" i="5"/>
  <c r="BJ43" i="5" s="1"/>
  <c r="BJ79" i="5" s="1"/>
  <c r="BJ88" i="5" s="1"/>
  <c r="BR34" i="5"/>
  <c r="BR43" i="5" s="1"/>
  <c r="BR79" i="5" s="1"/>
  <c r="BR88" i="5" s="1"/>
  <c r="BR3" i="6"/>
  <c r="AH3" i="6"/>
  <c r="AH34" i="5"/>
  <c r="AH43" i="5" s="1"/>
  <c r="AH79" i="5" s="1"/>
  <c r="AH88" i="5" s="1"/>
  <c r="CQ17" i="13" l="1"/>
  <c r="CI127" i="12"/>
  <c r="CJ130" i="1"/>
  <c r="CJ129" i="1" s="1"/>
  <c r="CJ16" i="1" s="1"/>
  <c r="CJ18" i="12" s="1"/>
  <c r="CR10" i="13" s="1"/>
  <c r="CR17" i="13" s="1"/>
  <c r="CI126" i="1"/>
  <c r="U163" i="12"/>
  <c r="U171" i="12" s="1"/>
  <c r="U158" i="12"/>
  <c r="AC163" i="12"/>
  <c r="AC171" i="12" s="1"/>
  <c r="AC158" i="12"/>
  <c r="AQ163" i="12"/>
  <c r="AQ171" i="12" s="1"/>
  <c r="AQ158" i="12"/>
  <c r="AH163" i="12"/>
  <c r="AH171" i="12" s="1"/>
  <c r="AH158" i="12"/>
  <c r="BT163" i="12"/>
  <c r="BT171" i="12" s="1"/>
  <c r="BT158" i="12"/>
  <c r="AV163" i="12"/>
  <c r="AV171" i="12" s="1"/>
  <c r="AV158" i="12"/>
  <c r="AM163" i="12"/>
  <c r="AM171" i="12" s="1"/>
  <c r="AM158" i="12"/>
  <c r="X163" i="12"/>
  <c r="X171" i="12" s="1"/>
  <c r="X158" i="12"/>
  <c r="BH163" i="12"/>
  <c r="BH171" i="12" s="1"/>
  <c r="BH158" i="12"/>
  <c r="AT163" i="12"/>
  <c r="AT171" i="12" s="1"/>
  <c r="AT158" i="12"/>
  <c r="N163" i="12"/>
  <c r="N171" i="12" s="1"/>
  <c r="N158" i="12"/>
  <c r="V163" i="12"/>
  <c r="V171" i="12" s="1"/>
  <c r="V158" i="12"/>
  <c r="BM163" i="12"/>
  <c r="BM171" i="12" s="1"/>
  <c r="BM158" i="12"/>
  <c r="AP163" i="12"/>
  <c r="AP171" i="12" s="1"/>
  <c r="AP158" i="12"/>
  <c r="BP163" i="12"/>
  <c r="BP171" i="12" s="1"/>
  <c r="BP158" i="12"/>
  <c r="AJ163" i="12"/>
  <c r="AJ171" i="12" s="1"/>
  <c r="AJ158" i="12"/>
  <c r="Q163" i="12"/>
  <c r="Q171" i="12" s="1"/>
  <c r="Q158" i="12"/>
  <c r="AE163" i="12"/>
  <c r="AE171" i="12" s="1"/>
  <c r="AE158" i="12"/>
  <c r="AY163" i="12"/>
  <c r="AY171" i="12" s="1"/>
  <c r="AY158" i="12"/>
  <c r="BR163" i="12"/>
  <c r="BR171" i="12" s="1"/>
  <c r="BR158" i="12"/>
  <c r="AS163" i="12"/>
  <c r="AS171" i="12" s="1"/>
  <c r="AS158" i="12"/>
  <c r="O163" i="12"/>
  <c r="O171" i="12" s="1"/>
  <c r="O158" i="12"/>
  <c r="M163" i="12"/>
  <c r="M171" i="12" s="1"/>
  <c r="M158" i="12"/>
  <c r="BF163" i="12"/>
  <c r="BF171" i="12" s="1"/>
  <c r="BF158" i="12"/>
  <c r="AA163" i="12"/>
  <c r="AA171" i="12" s="1"/>
  <c r="AA158" i="12"/>
  <c r="S163" i="12"/>
  <c r="S171" i="12" s="1"/>
  <c r="S158" i="12"/>
  <c r="AW163" i="12"/>
  <c r="AW171" i="12" s="1"/>
  <c r="AW158" i="12"/>
  <c r="BK163" i="12"/>
  <c r="BK171" i="12" s="1"/>
  <c r="BK158" i="12"/>
  <c r="BN163" i="12"/>
  <c r="BN171" i="12" s="1"/>
  <c r="BN158" i="12"/>
  <c r="AD163" i="12"/>
  <c r="AD171" i="12" s="1"/>
  <c r="AD158" i="12"/>
  <c r="T163" i="12"/>
  <c r="T171" i="12" s="1"/>
  <c r="T158" i="12"/>
  <c r="BE163" i="12"/>
  <c r="BE171" i="12" s="1"/>
  <c r="BE158" i="12"/>
  <c r="AN163" i="12"/>
  <c r="AN171" i="12" s="1"/>
  <c r="AN158" i="12"/>
  <c r="Y163" i="12"/>
  <c r="Y171" i="12" s="1"/>
  <c r="Y158" i="12"/>
  <c r="BC163" i="12"/>
  <c r="BC171" i="12" s="1"/>
  <c r="BC158" i="12"/>
  <c r="BD163" i="12"/>
  <c r="BD171" i="12" s="1"/>
  <c r="BD158" i="12"/>
  <c r="BS163" i="12"/>
  <c r="BS171" i="12" s="1"/>
  <c r="BS158" i="12"/>
  <c r="BQ163" i="12"/>
  <c r="BQ171" i="12" s="1"/>
  <c r="BQ158" i="12"/>
  <c r="BI163" i="12"/>
  <c r="BI171" i="12" s="1"/>
  <c r="BI158" i="12"/>
  <c r="BL163" i="12"/>
  <c r="BL171" i="12" s="1"/>
  <c r="BL158" i="12"/>
  <c r="L163" i="12"/>
  <c r="L171" i="12" s="1"/>
  <c r="L158" i="12"/>
  <c r="W163" i="12"/>
  <c r="W171" i="12" s="1"/>
  <c r="W158" i="12"/>
  <c r="AZ163" i="12"/>
  <c r="AZ171" i="12" s="1"/>
  <c r="AZ158" i="12"/>
  <c r="AB163" i="12"/>
  <c r="AB171" i="12" s="1"/>
  <c r="AB158" i="12"/>
  <c r="AI163" i="12"/>
  <c r="AI171" i="12" s="1"/>
  <c r="AI158" i="12"/>
  <c r="BO163" i="12"/>
  <c r="BO171" i="12" s="1"/>
  <c r="BO158" i="12"/>
  <c r="AG163" i="12"/>
  <c r="AG171" i="12" s="1"/>
  <c r="AG158" i="12"/>
  <c r="BB163" i="12"/>
  <c r="BB171" i="12" s="1"/>
  <c r="BB158" i="12"/>
  <c r="Z163" i="12"/>
  <c r="Z171" i="12" s="1"/>
  <c r="Z158" i="12"/>
  <c r="AR163" i="12"/>
  <c r="AR171" i="12" s="1"/>
  <c r="AR158" i="12"/>
  <c r="BG163" i="12"/>
  <c r="BG171" i="12" s="1"/>
  <c r="BG158" i="12"/>
  <c r="AX163" i="12"/>
  <c r="AX171" i="12" s="1"/>
  <c r="AX158" i="12"/>
  <c r="P163" i="12"/>
  <c r="P171" i="12" s="1"/>
  <c r="P158" i="12"/>
  <c r="BU163" i="12"/>
  <c r="BU171" i="12" s="1"/>
  <c r="BU158" i="12"/>
  <c r="AO163" i="12"/>
  <c r="AO171" i="12" s="1"/>
  <c r="AO158" i="12"/>
  <c r="BA163" i="12"/>
  <c r="BA171" i="12" s="1"/>
  <c r="BA158" i="12"/>
  <c r="AF163" i="12"/>
  <c r="AF171" i="12" s="1"/>
  <c r="AF158" i="12"/>
  <c r="AU163" i="12"/>
  <c r="AU171" i="12" s="1"/>
  <c r="AU158" i="12"/>
  <c r="BJ163" i="12"/>
  <c r="BJ171" i="12" s="1"/>
  <c r="BJ158" i="12"/>
  <c r="AK163" i="12"/>
  <c r="AK171" i="12" s="1"/>
  <c r="AK158" i="12"/>
  <c r="R163" i="12"/>
  <c r="R171" i="12" s="1"/>
  <c r="R158" i="12"/>
  <c r="AL163" i="12"/>
  <c r="AL171" i="12" s="1"/>
  <c r="AL158" i="12"/>
  <c r="AJ3" i="8"/>
  <c r="AJ34" i="8" s="1"/>
  <c r="AJ43" i="8" s="1"/>
  <c r="AJ79" i="8" s="1"/>
  <c r="AJ88" i="8" s="1"/>
  <c r="AJ34" i="7"/>
  <c r="BP43" i="7"/>
  <c r="BP79" i="7" s="1"/>
  <c r="BP87" i="7" s="1"/>
  <c r="BP34" i="7"/>
  <c r="AJ43" i="7"/>
  <c r="AJ79" i="7" s="1"/>
  <c r="AJ87" i="7" s="1"/>
  <c r="BP3" i="8"/>
  <c r="BP34" i="8" s="1"/>
  <c r="BP43" i="8" s="1"/>
  <c r="BP79" i="8" s="1"/>
  <c r="BP88" i="8" s="1"/>
  <c r="AQ34" i="6"/>
  <c r="AQ43" i="6" s="1"/>
  <c r="AQ78" i="6" s="1"/>
  <c r="AQ87" i="6" s="1"/>
  <c r="O118" i="1"/>
  <c r="BL34" i="6"/>
  <c r="BL43" i="6" s="1"/>
  <c r="BL78" i="6" s="1"/>
  <c r="BL87" i="6" s="1"/>
  <c r="BR34" i="6"/>
  <c r="BR43" i="6" s="1"/>
  <c r="BR78" i="6" s="1"/>
  <c r="BR87" i="6" s="1"/>
  <c r="BR3" i="7"/>
  <c r="BR34" i="7" s="1"/>
  <c r="BB34" i="6"/>
  <c r="BB43" i="6" s="1"/>
  <c r="BB78" i="6" s="1"/>
  <c r="BB87" i="6" s="1"/>
  <c r="BB3" i="7"/>
  <c r="BB34" i="7" s="1"/>
  <c r="AL34" i="6"/>
  <c r="AL43" i="6" s="1"/>
  <c r="AL78" i="6" s="1"/>
  <c r="AL87" i="6" s="1"/>
  <c r="AL3" i="7"/>
  <c r="AL34" i="7" s="1"/>
  <c r="BK34" i="8"/>
  <c r="BK43" i="8" s="1"/>
  <c r="BK79" i="8" s="1"/>
  <c r="BK88" i="8" s="1"/>
  <c r="BO43" i="7"/>
  <c r="BO79" i="7" s="1"/>
  <c r="BO87" i="7" s="1"/>
  <c r="BO3" i="8"/>
  <c r="AI43" i="7"/>
  <c r="AI79" i="7" s="1"/>
  <c r="AI87" i="7" s="1"/>
  <c r="AI3" i="8"/>
  <c r="AE34" i="8"/>
  <c r="AE43" i="8" s="1"/>
  <c r="AE79" i="8" s="1"/>
  <c r="AE88" i="8" s="1"/>
  <c r="AA43" i="7"/>
  <c r="AA79" i="7" s="1"/>
  <c r="AA87" i="7" s="1"/>
  <c r="AA3" i="8"/>
  <c r="AU34" i="8"/>
  <c r="AU43" i="8" s="1"/>
  <c r="AU79" i="8" s="1"/>
  <c r="AU88" i="8" s="1"/>
  <c r="L43" i="7"/>
  <c r="L79" i="7" s="1"/>
  <c r="L87" i="7" s="1"/>
  <c r="L3" i="8"/>
  <c r="R3" i="7"/>
  <c r="R34" i="7" s="1"/>
  <c r="R34" i="6"/>
  <c r="R43" i="6" s="1"/>
  <c r="R78" i="6" s="1"/>
  <c r="R87" i="6" s="1"/>
  <c r="BU3" i="8"/>
  <c r="BU43" i="7"/>
  <c r="BU79" i="7" s="1"/>
  <c r="BU87" i="7" s="1"/>
  <c r="AW3" i="8"/>
  <c r="AW43" i="7"/>
  <c r="AW79" i="7" s="1"/>
  <c r="AW87" i="7" s="1"/>
  <c r="AC3" i="8"/>
  <c r="AC43" i="7"/>
  <c r="AC79" i="7" s="1"/>
  <c r="AC87" i="7" s="1"/>
  <c r="BD43" i="7"/>
  <c r="BD79" i="7" s="1"/>
  <c r="BD87" i="7" s="1"/>
  <c r="BD3" i="8"/>
  <c r="X43" i="7"/>
  <c r="X79" i="7" s="1"/>
  <c r="X87" i="7" s="1"/>
  <c r="X3" i="8"/>
  <c r="U3" i="8"/>
  <c r="U43" i="7"/>
  <c r="U79" i="7" s="1"/>
  <c r="U87" i="7" s="1"/>
  <c r="P43" i="7"/>
  <c r="P79" i="7" s="1"/>
  <c r="P87" i="7" s="1"/>
  <c r="P3" i="8"/>
  <c r="BN3" i="7"/>
  <c r="BN34" i="7" s="1"/>
  <c r="BN34" i="6"/>
  <c r="BN43" i="6" s="1"/>
  <c r="BN78" i="6" s="1"/>
  <c r="BN87" i="6" s="1"/>
  <c r="AX3" i="7"/>
  <c r="AX34" i="7" s="1"/>
  <c r="AX34" i="6"/>
  <c r="AX43" i="6" s="1"/>
  <c r="AX78" i="6" s="1"/>
  <c r="AX87" i="6" s="1"/>
  <c r="AD34" i="6"/>
  <c r="AD43" i="6" s="1"/>
  <c r="AD78" i="6" s="1"/>
  <c r="AD87" i="6" s="1"/>
  <c r="AD3" i="7"/>
  <c r="AD34" i="7" s="1"/>
  <c r="N34" i="6"/>
  <c r="N43" i="6" s="1"/>
  <c r="N78" i="6" s="1"/>
  <c r="N87" i="6" s="1"/>
  <c r="N3" i="7"/>
  <c r="N34" i="7" s="1"/>
  <c r="BM3" i="8"/>
  <c r="BM43" i="7"/>
  <c r="BM79" i="7" s="1"/>
  <c r="BM87" i="7" s="1"/>
  <c r="AS3" i="8"/>
  <c r="AS43" i="7"/>
  <c r="AS79" i="7" s="1"/>
  <c r="AS87" i="7" s="1"/>
  <c r="Y3" i="8"/>
  <c r="Y43" i="7"/>
  <c r="Y79" i="7" s="1"/>
  <c r="Y87" i="7" s="1"/>
  <c r="AR43" i="7"/>
  <c r="AR79" i="7" s="1"/>
  <c r="AR87" i="7" s="1"/>
  <c r="AR3" i="8"/>
  <c r="BC43" i="7"/>
  <c r="BC79" i="7" s="1"/>
  <c r="BC87" i="7" s="1"/>
  <c r="BC3" i="8"/>
  <c r="W43" i="7"/>
  <c r="W79" i="7" s="1"/>
  <c r="W87" i="7" s="1"/>
  <c r="W3" i="8"/>
  <c r="BQ3" i="8"/>
  <c r="BQ43" i="7"/>
  <c r="BQ79" i="7" s="1"/>
  <c r="BQ87" i="7" s="1"/>
  <c r="BL43" i="7"/>
  <c r="BL79" i="7" s="1"/>
  <c r="BL87" i="7" s="1"/>
  <c r="BL3" i="8"/>
  <c r="AZ34" i="8"/>
  <c r="AZ43" i="8" s="1"/>
  <c r="AZ79" i="8" s="1"/>
  <c r="AZ88" i="8" s="1"/>
  <c r="T34" i="8"/>
  <c r="T43" i="8" s="1"/>
  <c r="T79" i="8" s="1"/>
  <c r="T88" i="8" s="1"/>
  <c r="AY43" i="7"/>
  <c r="AY79" i="7" s="1"/>
  <c r="AY87" i="7" s="1"/>
  <c r="AY3" i="8"/>
  <c r="S43" i="7"/>
  <c r="S79" i="7" s="1"/>
  <c r="S87" i="7" s="1"/>
  <c r="S3" i="8"/>
  <c r="BG43" i="7"/>
  <c r="BG79" i="7" s="1"/>
  <c r="BG87" i="7" s="1"/>
  <c r="BG3" i="8"/>
  <c r="V34" i="6"/>
  <c r="V43" i="6" s="1"/>
  <c r="V78" i="6" s="1"/>
  <c r="V87" i="6" s="1"/>
  <c r="V3" i="7"/>
  <c r="V34" i="7" s="1"/>
  <c r="O34" i="8"/>
  <c r="O43" i="8" s="1"/>
  <c r="O79" i="8" s="1"/>
  <c r="O88" i="8" s="1"/>
  <c r="AQ43" i="7"/>
  <c r="AQ79" i="7" s="1"/>
  <c r="AQ87" i="7" s="1"/>
  <c r="AQ3" i="8"/>
  <c r="AH3" i="7"/>
  <c r="AH34" i="7" s="1"/>
  <c r="AH34" i="6"/>
  <c r="AH43" i="6" s="1"/>
  <c r="AH78" i="6" s="1"/>
  <c r="AH87" i="6" s="1"/>
  <c r="BJ34" i="6"/>
  <c r="BJ43" i="6" s="1"/>
  <c r="BJ78" i="6" s="1"/>
  <c r="BJ87" i="6" s="1"/>
  <c r="BJ3" i="7"/>
  <c r="BJ34" i="7" s="1"/>
  <c r="AT34" i="6"/>
  <c r="AT43" i="6" s="1"/>
  <c r="AT78" i="6" s="1"/>
  <c r="AT87" i="6" s="1"/>
  <c r="AT3" i="7"/>
  <c r="AT34" i="7" s="1"/>
  <c r="Z3" i="7"/>
  <c r="Z34" i="7" s="1"/>
  <c r="Z34" i="6"/>
  <c r="Z43" i="6" s="1"/>
  <c r="Z78" i="6" s="1"/>
  <c r="Z87" i="6" s="1"/>
  <c r="BI3" i="8"/>
  <c r="BI43" i="7"/>
  <c r="BI79" i="7" s="1"/>
  <c r="BI87" i="7" s="1"/>
  <c r="AO3" i="8"/>
  <c r="AO43" i="7"/>
  <c r="AO79" i="7" s="1"/>
  <c r="AO87" i="7" s="1"/>
  <c r="Q3" i="8"/>
  <c r="Q43" i="7"/>
  <c r="Q79" i="7" s="1"/>
  <c r="Q87" i="7" s="1"/>
  <c r="BT43" i="7"/>
  <c r="BT79" i="7" s="1"/>
  <c r="BT87" i="7" s="1"/>
  <c r="BT3" i="8"/>
  <c r="AN43" i="7"/>
  <c r="AN79" i="7" s="1"/>
  <c r="AN87" i="7" s="1"/>
  <c r="AN3" i="8"/>
  <c r="BA3" i="8"/>
  <c r="BA43" i="7"/>
  <c r="BA79" i="7" s="1"/>
  <c r="BA87" i="7" s="1"/>
  <c r="AV43" i="7"/>
  <c r="AV79" i="7" s="1"/>
  <c r="AV87" i="7" s="1"/>
  <c r="AV3" i="8"/>
  <c r="BF3" i="7"/>
  <c r="BF34" i="7" s="1"/>
  <c r="BF34" i="6"/>
  <c r="BF43" i="6" s="1"/>
  <c r="BF78" i="6" s="1"/>
  <c r="BF87" i="6" s="1"/>
  <c r="AP3" i="7"/>
  <c r="AP34" i="7" s="1"/>
  <c r="AP34" i="6"/>
  <c r="AP43" i="6" s="1"/>
  <c r="AP78" i="6" s="1"/>
  <c r="AP87" i="6" s="1"/>
  <c r="BE3" i="8"/>
  <c r="BE43" i="7"/>
  <c r="BE79" i="7" s="1"/>
  <c r="BE87" i="7" s="1"/>
  <c r="AG3" i="8"/>
  <c r="AG43" i="7"/>
  <c r="AG79" i="7" s="1"/>
  <c r="AG87" i="7" s="1"/>
  <c r="M3" i="8"/>
  <c r="M43" i="7"/>
  <c r="M79" i="7" s="1"/>
  <c r="M87" i="7" s="1"/>
  <c r="BH43" i="7"/>
  <c r="BH79" i="7" s="1"/>
  <c r="BH87" i="7" s="1"/>
  <c r="BH3" i="8"/>
  <c r="AB43" i="7"/>
  <c r="AB79" i="7" s="1"/>
  <c r="AB87" i="7" s="1"/>
  <c r="AB3" i="8"/>
  <c r="BS43" i="7"/>
  <c r="BS79" i="7" s="1"/>
  <c r="BS87" i="7" s="1"/>
  <c r="BS3" i="8"/>
  <c r="AM43" i="7"/>
  <c r="AM79" i="7" s="1"/>
  <c r="AM87" i="7" s="1"/>
  <c r="AM3" i="8"/>
  <c r="AK3" i="8"/>
  <c r="AK43" i="7"/>
  <c r="AK79" i="7" s="1"/>
  <c r="AK87" i="7" s="1"/>
  <c r="AF43" i="7"/>
  <c r="AF79" i="7" s="1"/>
  <c r="AF87" i="7" s="1"/>
  <c r="AF3" i="8"/>
  <c r="D2" i="15"/>
  <c r="C26" i="15"/>
  <c r="CI126" i="12" l="1"/>
  <c r="CJ130" i="12"/>
  <c r="CJ129" i="12" s="1"/>
  <c r="BW6" i="22"/>
  <c r="BW5" i="22" s="1"/>
  <c r="CJ127" i="1"/>
  <c r="Q118" i="1"/>
  <c r="P118" i="1"/>
  <c r="AF34" i="8"/>
  <c r="AF43" i="8" s="1"/>
  <c r="AF79" i="8" s="1"/>
  <c r="AF88" i="8" s="1"/>
  <c r="AM34" i="8"/>
  <c r="AM43" i="8" s="1"/>
  <c r="AM79" i="8" s="1"/>
  <c r="AM88" i="8" s="1"/>
  <c r="AB34" i="8"/>
  <c r="AB43" i="8" s="1"/>
  <c r="AB79" i="8" s="1"/>
  <c r="AB88" i="8" s="1"/>
  <c r="AV34" i="8"/>
  <c r="AV43" i="8" s="1"/>
  <c r="AV79" i="8" s="1"/>
  <c r="AV88" i="8" s="1"/>
  <c r="AN34" i="8"/>
  <c r="AN43" i="8" s="1"/>
  <c r="AN79" i="8" s="1"/>
  <c r="AN88" i="8" s="1"/>
  <c r="AT3" i="8"/>
  <c r="AT43" i="7"/>
  <c r="AT79" i="7" s="1"/>
  <c r="AT87" i="7" s="1"/>
  <c r="BC34" i="8"/>
  <c r="BC43" i="8" s="1"/>
  <c r="BC79" i="8" s="1"/>
  <c r="BC88" i="8" s="1"/>
  <c r="AD3" i="8"/>
  <c r="AD43" i="7"/>
  <c r="AD79" i="7" s="1"/>
  <c r="AD87" i="7" s="1"/>
  <c r="BD34" i="8"/>
  <c r="BD43" i="8" s="1"/>
  <c r="BD79" i="8" s="1"/>
  <c r="BD88" i="8" s="1"/>
  <c r="AA34" i="8"/>
  <c r="AA43" i="8" s="1"/>
  <c r="AA79" i="8" s="1"/>
  <c r="AA88" i="8" s="1"/>
  <c r="AI34" i="8"/>
  <c r="AI43" i="8" s="1"/>
  <c r="AI79" i="8" s="1"/>
  <c r="AI88" i="8" s="1"/>
  <c r="BB3" i="8"/>
  <c r="BB43" i="7"/>
  <c r="BB79" i="7" s="1"/>
  <c r="BB87" i="7" s="1"/>
  <c r="M34" i="8"/>
  <c r="M43" i="8" s="1"/>
  <c r="M79" i="8" s="1"/>
  <c r="M88" i="8" s="1"/>
  <c r="BE34" i="8"/>
  <c r="BE43" i="8" s="1"/>
  <c r="BE79" i="8" s="1"/>
  <c r="BE88" i="8" s="1"/>
  <c r="BF3" i="8"/>
  <c r="BF43" i="7"/>
  <c r="BF79" i="7" s="1"/>
  <c r="BF87" i="7" s="1"/>
  <c r="Q34" i="8"/>
  <c r="Q43" i="8" s="1"/>
  <c r="Q79" i="8" s="1"/>
  <c r="Q88" i="8" s="1"/>
  <c r="BI34" i="8"/>
  <c r="BI43" i="8" s="1"/>
  <c r="BI79" i="8" s="1"/>
  <c r="BI88" i="8" s="1"/>
  <c r="AH3" i="8"/>
  <c r="AH43" i="7"/>
  <c r="AH79" i="7" s="1"/>
  <c r="AH87" i="7" s="1"/>
  <c r="V3" i="8"/>
  <c r="V43" i="7"/>
  <c r="V79" i="7" s="1"/>
  <c r="V87" i="7" s="1"/>
  <c r="S34" i="8"/>
  <c r="S43" i="8" s="1"/>
  <c r="S79" i="8" s="1"/>
  <c r="S88" i="8" s="1"/>
  <c r="BQ34" i="8"/>
  <c r="BQ43" i="8" s="1"/>
  <c r="BQ79" i="8" s="1"/>
  <c r="BQ88" i="8" s="1"/>
  <c r="Y34" i="8"/>
  <c r="Y43" i="8" s="1"/>
  <c r="Y79" i="8" s="1"/>
  <c r="Y88" i="8" s="1"/>
  <c r="BM34" i="8"/>
  <c r="BM43" i="8" s="1"/>
  <c r="BM79" i="8" s="1"/>
  <c r="BM88" i="8" s="1"/>
  <c r="BN3" i="8"/>
  <c r="BN43" i="7"/>
  <c r="BN79" i="7" s="1"/>
  <c r="BN87" i="7" s="1"/>
  <c r="U34" i="8"/>
  <c r="U43" i="8" s="1"/>
  <c r="U79" i="8" s="1"/>
  <c r="U88" i="8" s="1"/>
  <c r="AW34" i="8"/>
  <c r="AW43" i="8" s="1"/>
  <c r="AW79" i="8" s="1"/>
  <c r="AW88" i="8" s="1"/>
  <c r="R3" i="8"/>
  <c r="R43" i="7"/>
  <c r="R79" i="7" s="1"/>
  <c r="R87" i="7" s="1"/>
  <c r="BS34" i="8"/>
  <c r="BS43" i="8" s="1"/>
  <c r="BS79" i="8" s="1"/>
  <c r="BS88" i="8" s="1"/>
  <c r="BH34" i="8"/>
  <c r="BH43" i="8" s="1"/>
  <c r="BH79" i="8" s="1"/>
  <c r="BH88" i="8" s="1"/>
  <c r="BT34" i="8"/>
  <c r="BT43" i="8" s="1"/>
  <c r="BT79" i="8" s="1"/>
  <c r="BT88" i="8" s="1"/>
  <c r="BJ3" i="8"/>
  <c r="BJ43" i="7"/>
  <c r="BJ79" i="7" s="1"/>
  <c r="BJ87" i="7" s="1"/>
  <c r="BL34" i="8"/>
  <c r="BL43" i="8" s="1"/>
  <c r="BL79" i="8" s="1"/>
  <c r="BL88" i="8" s="1"/>
  <c r="W34" i="8"/>
  <c r="W43" i="8" s="1"/>
  <c r="W79" i="8" s="1"/>
  <c r="W88" i="8" s="1"/>
  <c r="AR34" i="8"/>
  <c r="AR43" i="8" s="1"/>
  <c r="AR79" i="8" s="1"/>
  <c r="AR88" i="8" s="1"/>
  <c r="N3" i="8"/>
  <c r="N43" i="7"/>
  <c r="N79" i="7" s="1"/>
  <c r="N87" i="7" s="1"/>
  <c r="P34" i="8"/>
  <c r="P43" i="8" s="1"/>
  <c r="P79" i="8" s="1"/>
  <c r="P88" i="8" s="1"/>
  <c r="X34" i="8"/>
  <c r="X43" i="8" s="1"/>
  <c r="X79" i="8" s="1"/>
  <c r="X88" i="8" s="1"/>
  <c r="L34" i="8"/>
  <c r="L43" i="8" s="1"/>
  <c r="L79" i="8" s="1"/>
  <c r="L88" i="8" s="1"/>
  <c r="BO34" i="8"/>
  <c r="BO43" i="8" s="1"/>
  <c r="BO79" i="8" s="1"/>
  <c r="BO88" i="8" s="1"/>
  <c r="AL3" i="8"/>
  <c r="AL43" i="7"/>
  <c r="AL79" i="7" s="1"/>
  <c r="AL87" i="7" s="1"/>
  <c r="BR3" i="8"/>
  <c r="BR43" i="7"/>
  <c r="BR79" i="7" s="1"/>
  <c r="BR87" i="7" s="1"/>
  <c r="AK34" i="8"/>
  <c r="AK43" i="8" s="1"/>
  <c r="AK79" i="8" s="1"/>
  <c r="AK88" i="8" s="1"/>
  <c r="AG34" i="8"/>
  <c r="AG43" i="8" s="1"/>
  <c r="AG79" i="8" s="1"/>
  <c r="AG88" i="8" s="1"/>
  <c r="AP3" i="8"/>
  <c r="AP43" i="7"/>
  <c r="AP79" i="7" s="1"/>
  <c r="AP87" i="7" s="1"/>
  <c r="BA34" i="8"/>
  <c r="BA43" i="8" s="1"/>
  <c r="BA79" i="8" s="1"/>
  <c r="BA88" i="8" s="1"/>
  <c r="AO34" i="8"/>
  <c r="AO43" i="8" s="1"/>
  <c r="AO79" i="8" s="1"/>
  <c r="AO88" i="8" s="1"/>
  <c r="Z3" i="8"/>
  <c r="Z43" i="7"/>
  <c r="Z79" i="7" s="1"/>
  <c r="Z87" i="7" s="1"/>
  <c r="AQ34" i="8"/>
  <c r="AQ43" i="8" s="1"/>
  <c r="AQ79" i="8" s="1"/>
  <c r="AQ88" i="8" s="1"/>
  <c r="BG34" i="8"/>
  <c r="BG43" i="8" s="1"/>
  <c r="BG79" i="8" s="1"/>
  <c r="BG88" i="8" s="1"/>
  <c r="AY34" i="8"/>
  <c r="AY43" i="8" s="1"/>
  <c r="AY79" i="8" s="1"/>
  <c r="AY88" i="8" s="1"/>
  <c r="AS34" i="8"/>
  <c r="AS43" i="8" s="1"/>
  <c r="AS79" i="8" s="1"/>
  <c r="AS88" i="8" s="1"/>
  <c r="AX3" i="8"/>
  <c r="AX43" i="7"/>
  <c r="AX79" i="7" s="1"/>
  <c r="AX87" i="7" s="1"/>
  <c r="AC34" i="8"/>
  <c r="AC43" i="8" s="1"/>
  <c r="AC79" i="8" s="1"/>
  <c r="AC88" i="8" s="1"/>
  <c r="BU34" i="8"/>
  <c r="BU43" i="8" s="1"/>
  <c r="BU79" i="8" s="1"/>
  <c r="BU88" i="8" s="1"/>
  <c r="D26" i="15"/>
  <c r="E2" i="15"/>
  <c r="F2" i="15" s="1"/>
  <c r="G2" i="15" l="1"/>
  <c r="G26" i="15" s="1"/>
  <c r="F26" i="15"/>
  <c r="CK130" i="1"/>
  <c r="CK129" i="1" s="1"/>
  <c r="CK16" i="1" s="1"/>
  <c r="CJ126" i="1"/>
  <c r="CJ127" i="12"/>
  <c r="E26" i="15"/>
  <c r="BB34" i="8"/>
  <c r="BB43" i="8" s="1"/>
  <c r="BB79" i="8" s="1"/>
  <c r="BB88" i="8" s="1"/>
  <c r="AD34" i="8"/>
  <c r="AD43" i="8" s="1"/>
  <c r="AD79" i="8" s="1"/>
  <c r="AD88" i="8" s="1"/>
  <c r="AT34" i="8"/>
  <c r="AT43" i="8" s="1"/>
  <c r="AT79" i="8" s="1"/>
  <c r="AT88" i="8" s="1"/>
  <c r="AX34" i="8"/>
  <c r="AX43" i="8" s="1"/>
  <c r="AX79" i="8" s="1"/>
  <c r="AX88" i="8" s="1"/>
  <c r="BR34" i="8"/>
  <c r="BR43" i="8" s="1"/>
  <c r="BR79" i="8" s="1"/>
  <c r="BR88" i="8" s="1"/>
  <c r="N34" i="8"/>
  <c r="N43" i="8" s="1"/>
  <c r="N79" i="8" s="1"/>
  <c r="N88" i="8" s="1"/>
  <c r="BJ34" i="8"/>
  <c r="BJ43" i="8" s="1"/>
  <c r="BJ79" i="8" s="1"/>
  <c r="BJ88" i="8" s="1"/>
  <c r="BK2" i="11"/>
  <c r="R34" i="8"/>
  <c r="R43" i="8" s="1"/>
  <c r="R79" i="8" s="1"/>
  <c r="R88" i="8" s="1"/>
  <c r="V34" i="8"/>
  <c r="V43" i="8" s="1"/>
  <c r="V79" i="8" s="1"/>
  <c r="V88" i="8" s="1"/>
  <c r="BF34" i="8"/>
  <c r="BF43" i="8" s="1"/>
  <c r="BF79" i="8" s="1"/>
  <c r="BF88" i="8" s="1"/>
  <c r="BP2" i="11"/>
  <c r="Z34" i="8"/>
  <c r="Z43" i="8" s="1"/>
  <c r="Z79" i="8" s="1"/>
  <c r="Z88" i="8" s="1"/>
  <c r="AP34" i="8"/>
  <c r="AP43" i="8" s="1"/>
  <c r="AP79" i="8" s="1"/>
  <c r="AP88" i="8" s="1"/>
  <c r="AL34" i="8"/>
  <c r="AL43" i="8" s="1"/>
  <c r="AL79" i="8" s="1"/>
  <c r="AL88" i="8" s="1"/>
  <c r="BN34" i="8"/>
  <c r="BN43" i="8" s="1"/>
  <c r="BN79" i="8" s="1"/>
  <c r="BN88" i="8" s="1"/>
  <c r="AH34" i="8"/>
  <c r="AH43" i="8" s="1"/>
  <c r="AH79" i="8" s="1"/>
  <c r="AH88" i="8" s="1"/>
  <c r="AZ2" i="11"/>
  <c r="R83" i="11"/>
  <c r="AY77" i="12"/>
  <c r="AZ77" i="12" s="1"/>
  <c r="AX72" i="12"/>
  <c r="AY72" i="12" s="1"/>
  <c r="AY74" i="12"/>
  <c r="AZ74" i="12" s="1"/>
  <c r="BA74" i="12" s="1"/>
  <c r="BC2" i="13"/>
  <c r="BD2" i="13"/>
  <c r="BE2" i="13"/>
  <c r="BF2" i="13"/>
  <c r="BG2" i="13"/>
  <c r="BH2" i="13"/>
  <c r="BI2" i="13"/>
  <c r="BJ2" i="13"/>
  <c r="BK2" i="13"/>
  <c r="BL2" i="13"/>
  <c r="BM2" i="13"/>
  <c r="BN2" i="13"/>
  <c r="BO2" i="13"/>
  <c r="BP2" i="13"/>
  <c r="BQ2" i="13"/>
  <c r="BR2" i="13"/>
  <c r="BS2" i="13"/>
  <c r="BT2" i="13"/>
  <c r="BU2" i="13"/>
  <c r="BV2" i="13"/>
  <c r="BW2" i="13"/>
  <c r="BX2" i="13"/>
  <c r="BY2" i="13"/>
  <c r="BZ2" i="13"/>
  <c r="AR2" i="14"/>
  <c r="AS2" i="14"/>
  <c r="AT2" i="14"/>
  <c r="AU2" i="14"/>
  <c r="AV2" i="14"/>
  <c r="AW2" i="14"/>
  <c r="AX2" i="14"/>
  <c r="AY2" i="14"/>
  <c r="AZ2" i="14"/>
  <c r="BA2" i="14"/>
  <c r="BB2" i="14"/>
  <c r="BC2" i="14"/>
  <c r="BD2" i="14"/>
  <c r="BE2" i="14"/>
  <c r="BF2" i="14"/>
  <c r="BG2" i="14"/>
  <c r="BH2" i="14"/>
  <c r="BI2" i="14"/>
  <c r="BJ2" i="14"/>
  <c r="BK2" i="14"/>
  <c r="BL2" i="14"/>
  <c r="BM2" i="14"/>
  <c r="BN2" i="14"/>
  <c r="BO2" i="14"/>
  <c r="AX88" i="12"/>
  <c r="AX45" i="12"/>
  <c r="AX68" i="12"/>
  <c r="AY68" i="12"/>
  <c r="AZ68" i="12"/>
  <c r="BA68" i="12"/>
  <c r="BB68" i="12"/>
  <c r="BC68" i="12"/>
  <c r="BD68" i="12"/>
  <c r="BE68" i="12"/>
  <c r="BF68" i="12"/>
  <c r="BG68" i="12"/>
  <c r="BH68" i="12"/>
  <c r="BI68" i="12"/>
  <c r="BJ68" i="12"/>
  <c r="BK68" i="12"/>
  <c r="BL68" i="12"/>
  <c r="BM68" i="12"/>
  <c r="BN68" i="12"/>
  <c r="BO68" i="12"/>
  <c r="BP68" i="12"/>
  <c r="BQ68" i="12"/>
  <c r="BR68" i="12"/>
  <c r="BS68" i="12"/>
  <c r="BT68" i="12"/>
  <c r="BU68" i="12"/>
  <c r="AX69" i="12"/>
  <c r="AY69" i="12"/>
  <c r="AZ69" i="12"/>
  <c r="BA69" i="12"/>
  <c r="BB69" i="12"/>
  <c r="BC69" i="12"/>
  <c r="BD69" i="12"/>
  <c r="BE69" i="12"/>
  <c r="BF69" i="12"/>
  <c r="BG69" i="12"/>
  <c r="BH69" i="12"/>
  <c r="BI69" i="12"/>
  <c r="BJ69" i="12"/>
  <c r="BK69" i="12"/>
  <c r="BL69" i="12"/>
  <c r="BM69" i="12"/>
  <c r="BN69" i="12"/>
  <c r="BO69" i="12"/>
  <c r="BP69" i="12"/>
  <c r="BQ69" i="12"/>
  <c r="BR69" i="12"/>
  <c r="BS69" i="12"/>
  <c r="BT69" i="12"/>
  <c r="BU69" i="12"/>
  <c r="AX70" i="12"/>
  <c r="AY70" i="12"/>
  <c r="AZ70" i="12"/>
  <c r="BA70" i="12"/>
  <c r="BB70" i="12"/>
  <c r="BC70" i="12"/>
  <c r="BD70" i="12"/>
  <c r="BE70" i="12"/>
  <c r="BF70" i="12"/>
  <c r="BG70" i="12"/>
  <c r="BH70" i="12"/>
  <c r="BI70" i="12"/>
  <c r="BJ70" i="12"/>
  <c r="BK70" i="12"/>
  <c r="BL70" i="12"/>
  <c r="BM70" i="12"/>
  <c r="BN70" i="12"/>
  <c r="BO70" i="12"/>
  <c r="BP70" i="12"/>
  <c r="BQ70" i="12"/>
  <c r="BR70" i="12"/>
  <c r="BS70" i="12"/>
  <c r="BT70" i="12"/>
  <c r="BU70" i="12"/>
  <c r="AX73" i="12"/>
  <c r="AX75" i="12"/>
  <c r="AY75" i="12"/>
  <c r="AZ75" i="12"/>
  <c r="BA75" i="12"/>
  <c r="BB75" i="12"/>
  <c r="BC75" i="12"/>
  <c r="BD75" i="12"/>
  <c r="BE75" i="12"/>
  <c r="BF75" i="12"/>
  <c r="BG75" i="12"/>
  <c r="BH75" i="12"/>
  <c r="BI75" i="12"/>
  <c r="BJ75" i="12"/>
  <c r="BK75" i="12"/>
  <c r="BL75" i="12"/>
  <c r="BM75" i="12"/>
  <c r="BN75" i="12"/>
  <c r="BO75" i="12"/>
  <c r="BP75" i="12"/>
  <c r="BQ75" i="12"/>
  <c r="BR75" i="12"/>
  <c r="BS75" i="12"/>
  <c r="BT75" i="12"/>
  <c r="BU75" i="12"/>
  <c r="AX76" i="12"/>
  <c r="AX78" i="12"/>
  <c r="AY78" i="12"/>
  <c r="AZ78" i="12"/>
  <c r="BA78" i="12"/>
  <c r="BB78" i="12"/>
  <c r="BC78" i="12"/>
  <c r="BD78" i="12"/>
  <c r="BE78" i="12"/>
  <c r="BF78" i="12"/>
  <c r="BG78" i="12"/>
  <c r="BH78" i="12"/>
  <c r="BI78" i="12"/>
  <c r="BJ78" i="12"/>
  <c r="BK78" i="12"/>
  <c r="BL78" i="12"/>
  <c r="BM78" i="12"/>
  <c r="BN78" i="12"/>
  <c r="BO78" i="12"/>
  <c r="BP78" i="12"/>
  <c r="BQ78" i="12"/>
  <c r="BR78" i="12"/>
  <c r="BS78" i="12"/>
  <c r="BT78" i="12"/>
  <c r="BU78" i="12"/>
  <c r="AX79" i="12"/>
  <c r="AY79" i="12"/>
  <c r="AZ79" i="12"/>
  <c r="BA79" i="12"/>
  <c r="BB79" i="12"/>
  <c r="BC79" i="12"/>
  <c r="BD79" i="12"/>
  <c r="BE79" i="12"/>
  <c r="BF79" i="12"/>
  <c r="BG79" i="12"/>
  <c r="BH79" i="12"/>
  <c r="BI79" i="12"/>
  <c r="BJ79" i="12"/>
  <c r="BK79" i="12"/>
  <c r="BL79" i="12"/>
  <c r="BM79" i="12"/>
  <c r="BN79" i="12"/>
  <c r="BO79" i="12"/>
  <c r="BP79" i="12"/>
  <c r="BQ79" i="12"/>
  <c r="BR79" i="12"/>
  <c r="BS79" i="12"/>
  <c r="BT79" i="12"/>
  <c r="BU79" i="12"/>
  <c r="AX80" i="12"/>
  <c r="AY80" i="12"/>
  <c r="AZ80" i="12"/>
  <c r="BA80" i="12"/>
  <c r="BB80" i="12"/>
  <c r="BC80" i="12"/>
  <c r="BD80" i="12"/>
  <c r="BE80" i="12"/>
  <c r="BF80" i="12"/>
  <c r="BG80" i="12"/>
  <c r="BH80" i="12"/>
  <c r="BI80" i="12"/>
  <c r="BJ80" i="12"/>
  <c r="BK80" i="12"/>
  <c r="BL80" i="12"/>
  <c r="BM80" i="12"/>
  <c r="BN80" i="12"/>
  <c r="BO80" i="12"/>
  <c r="BP80" i="12"/>
  <c r="BQ80" i="12"/>
  <c r="BR80" i="12"/>
  <c r="BS80" i="12"/>
  <c r="BT80" i="12"/>
  <c r="BU80" i="12"/>
  <c r="AX81" i="12"/>
  <c r="AY81" i="12"/>
  <c r="AZ81" i="12"/>
  <c r="BA81" i="12"/>
  <c r="BB81" i="12"/>
  <c r="BC81" i="12"/>
  <c r="BD81" i="12"/>
  <c r="BE81" i="12"/>
  <c r="BF81" i="12"/>
  <c r="BG81" i="12"/>
  <c r="BH81" i="12"/>
  <c r="BI81" i="12"/>
  <c r="BJ81" i="12"/>
  <c r="BK81" i="12"/>
  <c r="BL81" i="12"/>
  <c r="BM81" i="12"/>
  <c r="BN81" i="12"/>
  <c r="BO81" i="12"/>
  <c r="BP81" i="12"/>
  <c r="BQ81" i="12"/>
  <c r="BR81" i="12"/>
  <c r="BS81" i="12"/>
  <c r="BT81" i="12"/>
  <c r="BU81" i="12"/>
  <c r="AX106" i="12"/>
  <c r="AY106" i="12"/>
  <c r="AZ106" i="12"/>
  <c r="BA106" i="12"/>
  <c r="BB106" i="12"/>
  <c r="BC106" i="12"/>
  <c r="BD106" i="12"/>
  <c r="BE106" i="12"/>
  <c r="BF106" i="12"/>
  <c r="BG106" i="12"/>
  <c r="BH106" i="12"/>
  <c r="BI106" i="12"/>
  <c r="BJ106" i="12"/>
  <c r="BK106" i="12"/>
  <c r="BL106" i="12"/>
  <c r="BM106" i="12"/>
  <c r="BN106" i="12"/>
  <c r="BO106" i="12"/>
  <c r="BP106" i="12"/>
  <c r="BQ106" i="12"/>
  <c r="BR106" i="12"/>
  <c r="BS106" i="12"/>
  <c r="BT106" i="12"/>
  <c r="BU106" i="12"/>
  <c r="AX2" i="12"/>
  <c r="AY2" i="12"/>
  <c r="AZ2" i="12"/>
  <c r="BA2" i="12"/>
  <c r="BB2" i="12"/>
  <c r="BC2" i="12"/>
  <c r="BD2" i="12"/>
  <c r="BE2" i="12"/>
  <c r="BF2" i="12"/>
  <c r="BG2" i="12"/>
  <c r="BH2" i="12"/>
  <c r="BI2" i="12"/>
  <c r="BJ2" i="12"/>
  <c r="BK2" i="12"/>
  <c r="BL2" i="12"/>
  <c r="BM2" i="12"/>
  <c r="BN2" i="12"/>
  <c r="BO2" i="12"/>
  <c r="BP2" i="12"/>
  <c r="BQ2" i="12"/>
  <c r="BR2" i="12"/>
  <c r="BS2" i="12"/>
  <c r="BT2" i="12"/>
  <c r="BU2" i="12"/>
  <c r="AX46" i="11"/>
  <c r="AY46" i="11"/>
  <c r="AZ46" i="11"/>
  <c r="BA46" i="11"/>
  <c r="BB46" i="11"/>
  <c r="BC46" i="11"/>
  <c r="BD46" i="11"/>
  <c r="BE46" i="11"/>
  <c r="BF46" i="11"/>
  <c r="BG46" i="11"/>
  <c r="BH46" i="11"/>
  <c r="BI46" i="11"/>
  <c r="BJ46" i="11"/>
  <c r="BK46" i="11"/>
  <c r="BL46" i="11"/>
  <c r="BM46" i="11"/>
  <c r="BN46" i="11"/>
  <c r="BO46" i="11"/>
  <c r="BP46" i="11"/>
  <c r="BQ46" i="11"/>
  <c r="BR46" i="11"/>
  <c r="BS46" i="11"/>
  <c r="BT46" i="11"/>
  <c r="BU46" i="11"/>
  <c r="AX58" i="11"/>
  <c r="AY58" i="11"/>
  <c r="AZ58" i="11"/>
  <c r="BA58" i="11"/>
  <c r="BB58" i="11"/>
  <c r="BC58" i="11"/>
  <c r="BD58" i="11"/>
  <c r="BE58" i="11"/>
  <c r="BF58" i="11"/>
  <c r="BG58" i="11"/>
  <c r="BH58" i="11"/>
  <c r="BI58" i="11"/>
  <c r="BJ58" i="11"/>
  <c r="BK58" i="11"/>
  <c r="BL58" i="11"/>
  <c r="BM58" i="11"/>
  <c r="BN58" i="11"/>
  <c r="BO58" i="11"/>
  <c r="BP58" i="11"/>
  <c r="BQ58" i="11"/>
  <c r="BR58" i="11"/>
  <c r="BS58" i="11"/>
  <c r="BT58" i="11"/>
  <c r="BU58" i="11"/>
  <c r="AY80" i="11"/>
  <c r="AX91" i="11"/>
  <c r="AY91" i="11"/>
  <c r="AZ91" i="11"/>
  <c r="BA91" i="11"/>
  <c r="BB91" i="11"/>
  <c r="BC91" i="11"/>
  <c r="BD91" i="11"/>
  <c r="BE91" i="11"/>
  <c r="BF91" i="11"/>
  <c r="BG91" i="11"/>
  <c r="BH91" i="11"/>
  <c r="BI91" i="11"/>
  <c r="BJ91" i="11"/>
  <c r="BK91" i="11"/>
  <c r="BL91" i="11"/>
  <c r="BM91" i="11"/>
  <c r="BN91" i="11"/>
  <c r="BO91" i="11"/>
  <c r="BP91" i="11"/>
  <c r="BQ91" i="11"/>
  <c r="BR91" i="11"/>
  <c r="BS91" i="11"/>
  <c r="BT91" i="11"/>
  <c r="BU91" i="11"/>
  <c r="AX46" i="8"/>
  <c r="AY46" i="8"/>
  <c r="AZ46" i="8"/>
  <c r="BA46" i="8"/>
  <c r="BB46" i="8"/>
  <c r="BC46" i="8"/>
  <c r="BD46" i="8"/>
  <c r="BE46" i="8"/>
  <c r="BF46" i="8"/>
  <c r="BG46" i="8"/>
  <c r="BH46" i="8"/>
  <c r="BI46" i="8"/>
  <c r="BJ46" i="8"/>
  <c r="BK46" i="8"/>
  <c r="BL46" i="8"/>
  <c r="BM46" i="8"/>
  <c r="BN46" i="8"/>
  <c r="BO46" i="8"/>
  <c r="BP46" i="8"/>
  <c r="BQ46" i="8"/>
  <c r="BR46" i="8"/>
  <c r="BS46" i="8"/>
  <c r="BT46" i="8"/>
  <c r="BU46" i="8"/>
  <c r="AX58" i="8"/>
  <c r="AY58" i="8"/>
  <c r="AZ58" i="8"/>
  <c r="BA58" i="8"/>
  <c r="BB58" i="8"/>
  <c r="BC58" i="8"/>
  <c r="BD58" i="8"/>
  <c r="BE58" i="8"/>
  <c r="BF58" i="8"/>
  <c r="BG58" i="8"/>
  <c r="BH58" i="8"/>
  <c r="BI58" i="8"/>
  <c r="BJ58" i="8"/>
  <c r="BK58" i="8"/>
  <c r="BL58" i="8"/>
  <c r="BM58" i="8"/>
  <c r="BN58" i="8"/>
  <c r="BO58" i="8"/>
  <c r="BP58" i="8"/>
  <c r="BQ58" i="8"/>
  <c r="BR58" i="8"/>
  <c r="BS58" i="8"/>
  <c r="BT58" i="8"/>
  <c r="BU58" i="8"/>
  <c r="AY81" i="8"/>
  <c r="AX91" i="8"/>
  <c r="AY91" i="8"/>
  <c r="AZ91" i="8"/>
  <c r="BA91" i="8"/>
  <c r="BB91" i="8"/>
  <c r="BC91" i="8"/>
  <c r="BD91" i="8"/>
  <c r="BE91" i="8"/>
  <c r="BF91" i="8"/>
  <c r="BG91" i="8"/>
  <c r="BH91" i="8"/>
  <c r="BI91" i="8"/>
  <c r="BJ91" i="8"/>
  <c r="BK91" i="8"/>
  <c r="BL91" i="8"/>
  <c r="BM91" i="8"/>
  <c r="BN91" i="8"/>
  <c r="BO91" i="8"/>
  <c r="BP91" i="8"/>
  <c r="BQ91" i="8"/>
  <c r="BR91" i="8"/>
  <c r="BS91" i="8"/>
  <c r="BT91" i="8"/>
  <c r="BU91" i="8"/>
  <c r="AX2" i="8"/>
  <c r="AY2" i="8"/>
  <c r="AZ2" i="8"/>
  <c r="BA2" i="8"/>
  <c r="BB2" i="8"/>
  <c r="BC2" i="8"/>
  <c r="BD2" i="8"/>
  <c r="BE2" i="8"/>
  <c r="BF2" i="8"/>
  <c r="BG2" i="8"/>
  <c r="BH2" i="8"/>
  <c r="BI2" i="8"/>
  <c r="BJ2" i="8"/>
  <c r="BK2" i="8"/>
  <c r="BL2" i="8"/>
  <c r="BM2" i="8"/>
  <c r="BN2" i="8"/>
  <c r="BO2" i="8"/>
  <c r="BP2" i="8"/>
  <c r="BQ2" i="8"/>
  <c r="BR2" i="8"/>
  <c r="BS2" i="8"/>
  <c r="BT2" i="8"/>
  <c r="BU2" i="8"/>
  <c r="AY80" i="7"/>
  <c r="AX90" i="7"/>
  <c r="AY90" i="7"/>
  <c r="AZ90" i="7"/>
  <c r="BA90" i="7"/>
  <c r="BB90" i="7"/>
  <c r="BC90" i="7"/>
  <c r="BD90" i="7"/>
  <c r="BE90" i="7"/>
  <c r="BF90" i="7"/>
  <c r="BG90" i="7"/>
  <c r="BH90" i="7"/>
  <c r="BI90" i="7"/>
  <c r="BJ90" i="7"/>
  <c r="BK90" i="7"/>
  <c r="BL90" i="7"/>
  <c r="BM90" i="7"/>
  <c r="BN90" i="7"/>
  <c r="BO90" i="7"/>
  <c r="BP90" i="7"/>
  <c r="BQ90" i="7"/>
  <c r="BR90" i="7"/>
  <c r="BS90" i="7"/>
  <c r="BT90" i="7"/>
  <c r="BU90" i="7"/>
  <c r="AX58" i="7"/>
  <c r="AY58" i="7"/>
  <c r="AZ58" i="7"/>
  <c r="BA58" i="7"/>
  <c r="BB58" i="7"/>
  <c r="BC58" i="7"/>
  <c r="BD58" i="7"/>
  <c r="BE58" i="7"/>
  <c r="BF58" i="7"/>
  <c r="BG58" i="7"/>
  <c r="BH58" i="7"/>
  <c r="BI58" i="7"/>
  <c r="BJ58" i="7"/>
  <c r="BK58" i="7"/>
  <c r="BL58" i="7"/>
  <c r="BM58" i="7"/>
  <c r="BN58" i="7"/>
  <c r="BO58" i="7"/>
  <c r="BP58" i="7"/>
  <c r="BQ58" i="7"/>
  <c r="BR58" i="7"/>
  <c r="BS58" i="7"/>
  <c r="BT58" i="7"/>
  <c r="BU58" i="7"/>
  <c r="AX2" i="7"/>
  <c r="AY2" i="7"/>
  <c r="AZ2" i="7"/>
  <c r="BA2" i="7"/>
  <c r="BB2" i="7"/>
  <c r="BC2" i="7"/>
  <c r="BD2" i="7"/>
  <c r="BE2" i="7"/>
  <c r="BF2" i="7"/>
  <c r="BG2" i="7"/>
  <c r="BH2" i="7"/>
  <c r="BI2" i="7"/>
  <c r="BJ2" i="7"/>
  <c r="BK2" i="7"/>
  <c r="BL2" i="7"/>
  <c r="BM2" i="7"/>
  <c r="BN2" i="7"/>
  <c r="BO2" i="7"/>
  <c r="BP2" i="7"/>
  <c r="BQ2" i="7"/>
  <c r="BR2" i="7"/>
  <c r="BS2" i="7"/>
  <c r="BT2" i="7"/>
  <c r="BU2" i="7"/>
  <c r="BF2" i="6"/>
  <c r="BG2" i="6"/>
  <c r="BH2" i="6"/>
  <c r="BI2" i="6"/>
  <c r="BJ2" i="6"/>
  <c r="BK2" i="6"/>
  <c r="BL2" i="6"/>
  <c r="BM2" i="6"/>
  <c r="BN2" i="6"/>
  <c r="BO2" i="6"/>
  <c r="BP2" i="6"/>
  <c r="BQ2" i="6"/>
  <c r="BR2" i="6"/>
  <c r="BS2" i="6"/>
  <c r="BT2" i="6"/>
  <c r="BU2" i="6"/>
  <c r="AX46" i="6"/>
  <c r="AY46" i="6"/>
  <c r="AZ46" i="6"/>
  <c r="BA46" i="6"/>
  <c r="BB46" i="6"/>
  <c r="BC46" i="6"/>
  <c r="BD46" i="6"/>
  <c r="BE46" i="6"/>
  <c r="BF46" i="6"/>
  <c r="BG46" i="6"/>
  <c r="BH46" i="6"/>
  <c r="BI46" i="6"/>
  <c r="BJ46" i="6"/>
  <c r="BK46" i="6"/>
  <c r="BL46" i="6"/>
  <c r="BM46" i="6"/>
  <c r="BN46" i="6"/>
  <c r="BO46" i="6"/>
  <c r="BP46" i="6"/>
  <c r="BQ46" i="6"/>
  <c r="BR46" i="6"/>
  <c r="BS46" i="6"/>
  <c r="BT46" i="6"/>
  <c r="BU46" i="6"/>
  <c r="AY80" i="6"/>
  <c r="AX90" i="6"/>
  <c r="AY90" i="6"/>
  <c r="AZ90" i="6"/>
  <c r="BA90" i="6"/>
  <c r="BB90" i="6"/>
  <c r="BC90" i="6"/>
  <c r="BD90" i="6"/>
  <c r="BE90" i="6"/>
  <c r="BF90" i="6"/>
  <c r="BG90" i="6"/>
  <c r="BH90" i="6"/>
  <c r="BI90" i="6"/>
  <c r="BJ90" i="6"/>
  <c r="BK90" i="6"/>
  <c r="BL90" i="6"/>
  <c r="BM90" i="6"/>
  <c r="BN90" i="6"/>
  <c r="BO90" i="6"/>
  <c r="BP90" i="6"/>
  <c r="BQ90" i="6"/>
  <c r="BR90" i="6"/>
  <c r="BS90" i="6"/>
  <c r="BT90" i="6"/>
  <c r="BU90" i="6"/>
  <c r="AX2" i="6"/>
  <c r="AY2" i="6"/>
  <c r="AZ2" i="6"/>
  <c r="BA2" i="6"/>
  <c r="BB2" i="6"/>
  <c r="BC2" i="6"/>
  <c r="BD2" i="6"/>
  <c r="BE2" i="6"/>
  <c r="AX91" i="5"/>
  <c r="AX108" i="12" s="1"/>
  <c r="AY91" i="5"/>
  <c r="AY108" i="12" s="1"/>
  <c r="AZ91" i="5"/>
  <c r="AZ108" i="12" s="1"/>
  <c r="BA91" i="5"/>
  <c r="BA108" i="12" s="1"/>
  <c r="BB91" i="5"/>
  <c r="BB108" i="12" s="1"/>
  <c r="BC91" i="5"/>
  <c r="BC108" i="12" s="1"/>
  <c r="BD91" i="5"/>
  <c r="BD108" i="12" s="1"/>
  <c r="BE91" i="5"/>
  <c r="BE108" i="12" s="1"/>
  <c r="BF91" i="5"/>
  <c r="BF108" i="12" s="1"/>
  <c r="BG91" i="5"/>
  <c r="BG108" i="12" s="1"/>
  <c r="BH91" i="5"/>
  <c r="BH108" i="12" s="1"/>
  <c r="BI91" i="5"/>
  <c r="BI108" i="12" s="1"/>
  <c r="BJ91" i="5"/>
  <c r="BJ108" i="12" s="1"/>
  <c r="BK91" i="5"/>
  <c r="BK108" i="12" s="1"/>
  <c r="BL91" i="5"/>
  <c r="BL108" i="12" s="1"/>
  <c r="BM91" i="5"/>
  <c r="BM108" i="12" s="1"/>
  <c r="BN91" i="5"/>
  <c r="BN108" i="12" s="1"/>
  <c r="BO91" i="5"/>
  <c r="BO108" i="12" s="1"/>
  <c r="BP91" i="5"/>
  <c r="BP108" i="12" s="1"/>
  <c r="BQ91" i="5"/>
  <c r="BQ108" i="12" s="1"/>
  <c r="BR91" i="5"/>
  <c r="BR108" i="12" s="1"/>
  <c r="BS91" i="5"/>
  <c r="BS108" i="12" s="1"/>
  <c r="BT91" i="5"/>
  <c r="BT108" i="12" s="1"/>
  <c r="BU91" i="5"/>
  <c r="BU108" i="12" s="1"/>
  <c r="AY81" i="5"/>
  <c r="AX46" i="5"/>
  <c r="AY46" i="5"/>
  <c r="AZ46" i="5"/>
  <c r="BA46" i="5"/>
  <c r="BB46" i="5"/>
  <c r="BC46" i="5"/>
  <c r="BD46" i="5"/>
  <c r="BE46" i="5"/>
  <c r="BF46" i="5"/>
  <c r="BG46" i="5"/>
  <c r="BH46" i="5"/>
  <c r="BI46" i="5"/>
  <c r="BJ46" i="5"/>
  <c r="BK46" i="5"/>
  <c r="BL46" i="5"/>
  <c r="BM46" i="5"/>
  <c r="BN46" i="5"/>
  <c r="BO46" i="5"/>
  <c r="BP46" i="5"/>
  <c r="BQ46" i="5"/>
  <c r="BR46" i="5"/>
  <c r="BS46" i="5"/>
  <c r="BT46" i="5"/>
  <c r="BU46" i="5"/>
  <c r="AX2" i="5"/>
  <c r="AY2" i="5"/>
  <c r="AZ2" i="5"/>
  <c r="BA2" i="5"/>
  <c r="BB2" i="5"/>
  <c r="BC2" i="5"/>
  <c r="BD2" i="5"/>
  <c r="BE2" i="5"/>
  <c r="BF2" i="5"/>
  <c r="BG2" i="5"/>
  <c r="BH2" i="5"/>
  <c r="BI2" i="5"/>
  <c r="BJ2" i="5"/>
  <c r="BK2" i="5"/>
  <c r="BL2" i="5"/>
  <c r="BM2" i="5"/>
  <c r="BN2" i="5"/>
  <c r="BO2" i="5"/>
  <c r="BP2" i="5"/>
  <c r="BQ2" i="5"/>
  <c r="BR2" i="5"/>
  <c r="BS2" i="5"/>
  <c r="BT2" i="5"/>
  <c r="BU2" i="5"/>
  <c r="AY89" i="1"/>
  <c r="AZ89" i="1"/>
  <c r="BA89" i="1"/>
  <c r="BB89" i="1"/>
  <c r="BC89" i="1"/>
  <c r="BD89" i="1"/>
  <c r="BE89" i="1"/>
  <c r="BF89" i="1"/>
  <c r="BG89" i="1"/>
  <c r="BH89" i="1"/>
  <c r="BI89" i="1"/>
  <c r="BJ89" i="1"/>
  <c r="BK89" i="1"/>
  <c r="BL89" i="1"/>
  <c r="BM89" i="1"/>
  <c r="BN89" i="1"/>
  <c r="BO89" i="1"/>
  <c r="BP89" i="1"/>
  <c r="BQ89" i="1"/>
  <c r="BR89" i="1"/>
  <c r="BS89" i="1"/>
  <c r="BT89" i="1"/>
  <c r="BU89" i="1"/>
  <c r="AY72" i="1"/>
  <c r="AZ72" i="1"/>
  <c r="BA72" i="1"/>
  <c r="BB72" i="1"/>
  <c r="BC72" i="1"/>
  <c r="BD72" i="1"/>
  <c r="BE72" i="1"/>
  <c r="BF72" i="1"/>
  <c r="BG72" i="1"/>
  <c r="BH72" i="1"/>
  <c r="BI72" i="1"/>
  <c r="BJ72" i="1"/>
  <c r="BK72" i="1"/>
  <c r="BL72" i="1"/>
  <c r="BM72" i="1"/>
  <c r="BN72" i="1"/>
  <c r="BO72" i="1"/>
  <c r="BP72" i="1"/>
  <c r="BQ72" i="1"/>
  <c r="BR72" i="1"/>
  <c r="BS72" i="1"/>
  <c r="BT72" i="1"/>
  <c r="BU72" i="1"/>
  <c r="AZ45" i="12"/>
  <c r="BA45" i="12"/>
  <c r="BF45" i="12"/>
  <c r="BG45" i="12"/>
  <c r="BH45" i="12"/>
  <c r="BI45" i="12"/>
  <c r="BJ45" i="12"/>
  <c r="BS45" i="12"/>
  <c r="AX89" i="1"/>
  <c r="AX72" i="1"/>
  <c r="AX2" i="1"/>
  <c r="AY2" i="1"/>
  <c r="AZ2" i="1"/>
  <c r="BA2" i="1"/>
  <c r="BB2" i="1"/>
  <c r="BC2" i="1"/>
  <c r="BD2" i="1"/>
  <c r="BE2" i="1"/>
  <c r="BF2" i="1"/>
  <c r="BG2" i="1"/>
  <c r="BH2" i="1"/>
  <c r="BI2" i="1"/>
  <c r="BJ2" i="1"/>
  <c r="BK2" i="1"/>
  <c r="BL2" i="1"/>
  <c r="BM2" i="1"/>
  <c r="BN2" i="1"/>
  <c r="BO2" i="1"/>
  <c r="BP2" i="1"/>
  <c r="BQ2" i="1"/>
  <c r="BR2" i="1"/>
  <c r="BS2" i="1"/>
  <c r="BT2" i="1"/>
  <c r="BU2" i="1"/>
  <c r="CG29" i="14"/>
  <c r="CH18" i="14"/>
  <c r="CG20" i="14"/>
  <c r="CG13" i="14"/>
  <c r="CG12" i="14" s="1"/>
  <c r="CG10" i="14"/>
  <c r="CG7" i="14"/>
  <c r="CI3" i="14"/>
  <c r="AQ2" i="14"/>
  <c r="AP2" i="14"/>
  <c r="AO2" i="14"/>
  <c r="AN2" i="14"/>
  <c r="AM2" i="14"/>
  <c r="AL2" i="14"/>
  <c r="AK2" i="14"/>
  <c r="AJ2" i="14"/>
  <c r="AI2" i="14"/>
  <c r="AH2" i="14"/>
  <c r="AG2" i="14"/>
  <c r="AF2" i="14"/>
  <c r="AE2" i="14"/>
  <c r="AD2" i="14"/>
  <c r="AC2" i="14"/>
  <c r="AB2" i="14"/>
  <c r="AA2" i="14"/>
  <c r="Z2" i="14"/>
  <c r="Y2" i="14"/>
  <c r="X2" i="14"/>
  <c r="W2" i="14"/>
  <c r="V2" i="14"/>
  <c r="U2" i="14"/>
  <c r="T2" i="14"/>
  <c r="S2" i="14"/>
  <c r="R2" i="14"/>
  <c r="Q2" i="14"/>
  <c r="P2" i="14"/>
  <c r="O2" i="14"/>
  <c r="N2" i="14"/>
  <c r="M2" i="14"/>
  <c r="L2" i="14"/>
  <c r="K2" i="14"/>
  <c r="J2" i="14"/>
  <c r="I2" i="14"/>
  <c r="H2" i="14"/>
  <c r="G2" i="14"/>
  <c r="F2" i="14"/>
  <c r="CK127" i="1" l="1"/>
  <c r="CK126" i="1" s="1"/>
  <c r="BX6" i="22"/>
  <c r="BX5" i="22" s="1"/>
  <c r="CJ126" i="12"/>
  <c r="CK130" i="12"/>
  <c r="CK129" i="12" s="1"/>
  <c r="CK18" i="12"/>
  <c r="CS10" i="13" s="1"/>
  <c r="AY92" i="12"/>
  <c r="CI14" i="14"/>
  <c r="BS110" i="12"/>
  <c r="BR110" i="12"/>
  <c r="BD110" i="12"/>
  <c r="BD117" i="12" s="1"/>
  <c r="BM110" i="12"/>
  <c r="BM117" i="12" s="1"/>
  <c r="BI110" i="12"/>
  <c r="BI117" i="12" s="1"/>
  <c r="BH110" i="12"/>
  <c r="BH117" i="12" s="1"/>
  <c r="BE110" i="12"/>
  <c r="BE117" i="12" s="1"/>
  <c r="BP110" i="12"/>
  <c r="BP117" i="12" s="1"/>
  <c r="BC110" i="12"/>
  <c r="BC117" i="12" s="1"/>
  <c r="BN110" i="12"/>
  <c r="BN117" i="12" s="1"/>
  <c r="BL110" i="12"/>
  <c r="BL117" i="12" s="1"/>
  <c r="AZ110" i="12"/>
  <c r="AZ117" i="12" s="1"/>
  <c r="BU110" i="12"/>
  <c r="BT110" i="12"/>
  <c r="BG110" i="12"/>
  <c r="BG117" i="12" s="1"/>
  <c r="BF110" i="12"/>
  <c r="BF117" i="12" s="1"/>
  <c r="BQ110" i="12"/>
  <c r="BO110" i="12"/>
  <c r="BO117" i="12" s="1"/>
  <c r="BA110" i="12"/>
  <c r="BA117" i="12" s="1"/>
  <c r="BK110" i="12"/>
  <c r="BK117" i="12" s="1"/>
  <c r="AY110" i="12"/>
  <c r="AY117" i="12" s="1"/>
  <c r="BB110" i="12"/>
  <c r="BB117" i="12" s="1"/>
  <c r="BJ110" i="12"/>
  <c r="BJ117" i="12" s="1"/>
  <c r="AX110" i="12"/>
  <c r="AX117" i="12" s="1"/>
  <c r="CJ3" i="14"/>
  <c r="AX47" i="1"/>
  <c r="CI26" i="14"/>
  <c r="BP34" i="11"/>
  <c r="BP43" i="11" s="1"/>
  <c r="BP79" i="11" s="1"/>
  <c r="BP87" i="11" s="1"/>
  <c r="AU34" i="11"/>
  <c r="AU43" i="11" s="1"/>
  <c r="AU79" i="11" s="1"/>
  <c r="AU87" i="11" s="1"/>
  <c r="BK34" i="11"/>
  <c r="BK43" i="11" s="1"/>
  <c r="BK79" i="11" s="1"/>
  <c r="BK87" i="11" s="1"/>
  <c r="AZ34" i="11"/>
  <c r="AZ43" i="11" s="1"/>
  <c r="AZ79" i="11" s="1"/>
  <c r="AZ87" i="11" s="1"/>
  <c r="AJ34" i="11"/>
  <c r="AJ43" i="11" s="1"/>
  <c r="AJ79" i="11" s="1"/>
  <c r="AJ87" i="11" s="1"/>
  <c r="O34" i="11"/>
  <c r="O43" i="11" s="1"/>
  <c r="O79" i="11" s="1"/>
  <c r="O87" i="11" s="1"/>
  <c r="T34" i="11"/>
  <c r="T43" i="11" s="1"/>
  <c r="T79" i="11" s="1"/>
  <c r="T87" i="11" s="1"/>
  <c r="AE34" i="11"/>
  <c r="AE43" i="11" s="1"/>
  <c r="AE79" i="11" s="1"/>
  <c r="AE87" i="11" s="1"/>
  <c r="AX71" i="12"/>
  <c r="AX67" i="12" s="1"/>
  <c r="AY76" i="12"/>
  <c r="AX44" i="12"/>
  <c r="BR45" i="12"/>
  <c r="AY73" i="12"/>
  <c r="BL45" i="12"/>
  <c r="AX39" i="5"/>
  <c r="AX39" i="8"/>
  <c r="AX45" i="8" s="1"/>
  <c r="BT45" i="12"/>
  <c r="AX39" i="6"/>
  <c r="AX4" i="6" s="1"/>
  <c r="AX39" i="7"/>
  <c r="AX45" i="7" s="1"/>
  <c r="AZ81" i="5"/>
  <c r="BU45" i="12"/>
  <c r="BM45" i="12"/>
  <c r="AX42" i="12"/>
  <c r="AY45" i="12"/>
  <c r="BK45" i="12"/>
  <c r="BA77" i="12"/>
  <c r="BB77" i="12" s="1"/>
  <c r="AZ76" i="12"/>
  <c r="AZ73" i="12"/>
  <c r="AZ72" i="12"/>
  <c r="BA72" i="12" s="1"/>
  <c r="AY71" i="12"/>
  <c r="AX39" i="11"/>
  <c r="BA73" i="12"/>
  <c r="BB74" i="12"/>
  <c r="C6" i="13"/>
  <c r="CI19" i="14"/>
  <c r="CI30" i="14"/>
  <c r="CI17" i="14"/>
  <c r="CI29" i="14"/>
  <c r="CI28" i="14"/>
  <c r="CI11" i="14"/>
  <c r="AY88" i="12"/>
  <c r="AX87" i="12"/>
  <c r="CG18" i="14"/>
  <c r="AZ80" i="11"/>
  <c r="AZ81" i="8"/>
  <c r="AZ80" i="7"/>
  <c r="AZ80" i="6"/>
  <c r="CH4" i="14"/>
  <c r="CH31" i="14" s="1"/>
  <c r="CK127" i="12" l="1"/>
  <c r="BY6" i="22" s="1"/>
  <c r="BY5" i="22" s="1"/>
  <c r="BU117" i="12"/>
  <c r="BO13" i="14"/>
  <c r="BO12" i="14" s="1"/>
  <c r="BS117" i="12"/>
  <c r="BM13" i="14"/>
  <c r="BM12" i="14" s="1"/>
  <c r="BR117" i="12"/>
  <c r="BL13" i="14"/>
  <c r="BL12" i="14" s="1"/>
  <c r="BZ20" i="13" s="1"/>
  <c r="BQ117" i="12"/>
  <c r="BK13" i="14"/>
  <c r="BK12" i="14" s="1"/>
  <c r="BT117" i="12"/>
  <c r="BN13" i="14"/>
  <c r="BN12" i="14" s="1"/>
  <c r="CB20" i="13" s="1"/>
  <c r="CS17" i="13"/>
  <c r="AX104" i="1"/>
  <c r="AX82" i="1"/>
  <c r="AZ92" i="12"/>
  <c r="BC13" i="14"/>
  <c r="BC12" i="14" s="1"/>
  <c r="BQ20" i="13" s="1"/>
  <c r="CJ19" i="14"/>
  <c r="CJ14" i="14"/>
  <c r="AX4" i="1"/>
  <c r="CJ28" i="14"/>
  <c r="CJ30" i="14"/>
  <c r="CK3" i="14"/>
  <c r="CL3" i="14" s="1"/>
  <c r="AX108" i="1"/>
  <c r="AX52" i="5"/>
  <c r="AX45" i="5"/>
  <c r="AX44" i="5" s="1"/>
  <c r="AX87" i="1"/>
  <c r="AX45" i="11"/>
  <c r="AX44" i="11" s="1"/>
  <c r="AX88" i="1"/>
  <c r="AX53" i="6"/>
  <c r="CJ17" i="14"/>
  <c r="CJ11" i="14"/>
  <c r="CJ26" i="14"/>
  <c r="AX82" i="6"/>
  <c r="AX56" i="6"/>
  <c r="AY47" i="1"/>
  <c r="BA47" i="1"/>
  <c r="AZ47" i="1"/>
  <c r="AX55" i="7"/>
  <c r="AX57" i="7"/>
  <c r="AX59" i="7"/>
  <c r="AX81" i="7"/>
  <c r="AX60" i="7"/>
  <c r="AX53" i="7"/>
  <c r="AX52" i="7"/>
  <c r="AX46" i="7"/>
  <c r="AX44" i="7" s="1"/>
  <c r="AX5" i="7" s="1"/>
  <c r="AX4" i="7"/>
  <c r="AX56" i="7"/>
  <c r="AX82" i="7"/>
  <c r="AX79" i="6"/>
  <c r="AX81" i="6"/>
  <c r="AX58" i="6"/>
  <c r="AX57" i="6"/>
  <c r="AX45" i="6"/>
  <c r="AX44" i="6" s="1"/>
  <c r="AX52" i="6"/>
  <c r="AX59" i="6"/>
  <c r="AX4" i="5"/>
  <c r="AX58" i="5"/>
  <c r="AX53" i="5"/>
  <c r="AX60" i="5"/>
  <c r="AX56" i="5"/>
  <c r="AX59" i="5"/>
  <c r="BB13" i="14"/>
  <c r="BB12" i="14" s="1"/>
  <c r="BP20" i="13" s="1"/>
  <c r="AW13" i="14"/>
  <c r="AW12" i="14" s="1"/>
  <c r="BK20" i="13" s="1"/>
  <c r="CA20" i="13"/>
  <c r="BF13" i="14"/>
  <c r="BF12" i="14" s="1"/>
  <c r="BT20" i="13" s="1"/>
  <c r="AS13" i="14"/>
  <c r="AS12" i="14" s="1"/>
  <c r="BG20" i="13" s="1"/>
  <c r="AV13" i="14"/>
  <c r="AV12" i="14" s="1"/>
  <c r="BJ20" i="13" s="1"/>
  <c r="BA13" i="14"/>
  <c r="BA12" i="14" s="1"/>
  <c r="BO20" i="13" s="1"/>
  <c r="AT13" i="14"/>
  <c r="AT12" i="14" s="1"/>
  <c r="BH20" i="13" s="1"/>
  <c r="BJ13" i="14"/>
  <c r="BJ12" i="14" s="1"/>
  <c r="BX20" i="13" s="1"/>
  <c r="BI13" i="14"/>
  <c r="BI12" i="14" s="1"/>
  <c r="BW20" i="13" s="1"/>
  <c r="AR13" i="14"/>
  <c r="AR12" i="14" s="1"/>
  <c r="BF20" i="13" s="1"/>
  <c r="BH13" i="14"/>
  <c r="AU13" i="14"/>
  <c r="AU12" i="14" s="1"/>
  <c r="BI20" i="13" s="1"/>
  <c r="AZ13" i="14"/>
  <c r="AZ12" i="14" s="1"/>
  <c r="BN20" i="13" s="1"/>
  <c r="BE13" i="14"/>
  <c r="BE12" i="14" s="1"/>
  <c r="BS20" i="13" s="1"/>
  <c r="AX13" i="14"/>
  <c r="AX12" i="14" s="1"/>
  <c r="BL20" i="13" s="1"/>
  <c r="BG13" i="14"/>
  <c r="BG12" i="14" s="1"/>
  <c r="BU20" i="13" s="1"/>
  <c r="BY20" i="13"/>
  <c r="BD13" i="14"/>
  <c r="BD12" i="14" s="1"/>
  <c r="BR20" i="13" s="1"/>
  <c r="CC20" i="13"/>
  <c r="AY13" i="14"/>
  <c r="AY12" i="14" s="1"/>
  <c r="BM20" i="13" s="1"/>
  <c r="BK42" i="12"/>
  <c r="BU34" i="11"/>
  <c r="BU43" i="11" s="1"/>
  <c r="BU79" i="11" s="1"/>
  <c r="BU87" i="11" s="1"/>
  <c r="BU2" i="11"/>
  <c r="AG34" i="11"/>
  <c r="AG43" i="11" s="1"/>
  <c r="AG79" i="11" s="1"/>
  <c r="AG87" i="11" s="1"/>
  <c r="BQ34" i="11"/>
  <c r="BQ43" i="11" s="1"/>
  <c r="BQ79" i="11" s="1"/>
  <c r="BQ87" i="11" s="1"/>
  <c r="BQ2" i="11"/>
  <c r="AN34" i="11"/>
  <c r="AN43" i="11" s="1"/>
  <c r="AN79" i="11" s="1"/>
  <c r="AN87" i="11" s="1"/>
  <c r="BA34" i="11"/>
  <c r="BA43" i="11" s="1"/>
  <c r="BA79" i="11" s="1"/>
  <c r="BA87" i="11" s="1"/>
  <c r="BA2" i="11"/>
  <c r="Q34" i="11"/>
  <c r="Q43" i="11" s="1"/>
  <c r="Q79" i="11" s="1"/>
  <c r="Q87" i="11" s="1"/>
  <c r="AR34" i="11"/>
  <c r="AR43" i="11" s="1"/>
  <c r="AR79" i="11" s="1"/>
  <c r="AR87" i="11" s="1"/>
  <c r="AI34" i="11"/>
  <c r="AI43" i="11" s="1"/>
  <c r="AI79" i="11" s="1"/>
  <c r="AI87" i="11" s="1"/>
  <c r="AO34" i="11"/>
  <c r="AO43" i="11" s="1"/>
  <c r="AO79" i="11" s="1"/>
  <c r="AO87" i="11" s="1"/>
  <c r="U34" i="11"/>
  <c r="U43" i="11" s="1"/>
  <c r="U79" i="11" s="1"/>
  <c r="U87" i="11" s="1"/>
  <c r="AK34" i="11"/>
  <c r="AK43" i="11" s="1"/>
  <c r="AK79" i="11" s="1"/>
  <c r="AK87" i="11" s="1"/>
  <c r="S34" i="11"/>
  <c r="S43" i="11" s="1"/>
  <c r="S79" i="11" s="1"/>
  <c r="S87" i="11" s="1"/>
  <c r="BO34" i="11"/>
  <c r="BO43" i="11" s="1"/>
  <c r="BO79" i="11" s="1"/>
  <c r="BO87" i="11" s="1"/>
  <c r="BO2" i="11"/>
  <c r="AB34" i="11"/>
  <c r="AB43" i="11" s="1"/>
  <c r="AB79" i="11" s="1"/>
  <c r="AB87" i="11" s="1"/>
  <c r="BS34" i="11"/>
  <c r="BS43" i="11" s="1"/>
  <c r="BS79" i="11" s="1"/>
  <c r="BS87" i="11" s="1"/>
  <c r="BS2" i="11"/>
  <c r="AQ34" i="11"/>
  <c r="AQ43" i="11" s="1"/>
  <c r="AQ79" i="11" s="1"/>
  <c r="AQ87" i="11" s="1"/>
  <c r="W34" i="11"/>
  <c r="W43" i="11" s="1"/>
  <c r="W79" i="11" s="1"/>
  <c r="W87" i="11" s="1"/>
  <c r="M34" i="11"/>
  <c r="M43" i="11" s="1"/>
  <c r="M79" i="11" s="1"/>
  <c r="M87" i="11" s="1"/>
  <c r="AC34" i="11"/>
  <c r="AC43" i="11" s="1"/>
  <c r="AC79" i="11" s="1"/>
  <c r="AC87" i="11" s="1"/>
  <c r="L34" i="11"/>
  <c r="L43" i="11" s="1"/>
  <c r="L79" i="11" s="1"/>
  <c r="L87" i="11" s="1"/>
  <c r="AA34" i="11"/>
  <c r="AA43" i="11" s="1"/>
  <c r="AA79" i="11" s="1"/>
  <c r="AA87" i="11" s="1"/>
  <c r="AY34" i="11"/>
  <c r="AY43" i="11" s="1"/>
  <c r="AY79" i="11" s="1"/>
  <c r="AY87" i="11" s="1"/>
  <c r="AY2" i="11"/>
  <c r="AM34" i="11"/>
  <c r="AM43" i="11" s="1"/>
  <c r="AM79" i="11" s="1"/>
  <c r="AM87" i="11" s="1"/>
  <c r="BC34" i="11"/>
  <c r="BC43" i="11" s="1"/>
  <c r="BC79" i="11" s="1"/>
  <c r="BC87" i="11" s="1"/>
  <c r="BC2" i="11"/>
  <c r="BG34" i="11"/>
  <c r="BG43" i="11" s="1"/>
  <c r="BG79" i="11" s="1"/>
  <c r="BG87" i="11" s="1"/>
  <c r="BG2" i="11"/>
  <c r="AV34" i="11"/>
  <c r="AV43" i="11" s="1"/>
  <c r="AV79" i="11" s="1"/>
  <c r="AV87" i="11" s="1"/>
  <c r="BD34" i="11"/>
  <c r="BD43" i="11" s="1"/>
  <c r="BD79" i="11" s="1"/>
  <c r="BD87" i="11" s="1"/>
  <c r="BD2" i="11"/>
  <c r="AS34" i="11"/>
  <c r="AS43" i="11" s="1"/>
  <c r="AS79" i="11" s="1"/>
  <c r="AS87" i="11" s="1"/>
  <c r="P34" i="11"/>
  <c r="P43" i="11" s="1"/>
  <c r="P79" i="11" s="1"/>
  <c r="P87" i="11" s="1"/>
  <c r="Y34" i="11"/>
  <c r="Y43" i="11" s="1"/>
  <c r="Y79" i="11" s="1"/>
  <c r="Y87" i="11" s="1"/>
  <c r="BM34" i="11"/>
  <c r="BM43" i="11" s="1"/>
  <c r="BM79" i="11" s="1"/>
  <c r="BM87" i="11" s="1"/>
  <c r="BM2" i="11"/>
  <c r="BL34" i="11"/>
  <c r="BL43" i="11" s="1"/>
  <c r="BL79" i="11" s="1"/>
  <c r="BL87" i="11" s="1"/>
  <c r="BL2" i="11"/>
  <c r="AW34" i="11"/>
  <c r="AW43" i="11" s="1"/>
  <c r="AW79" i="11" s="1"/>
  <c r="AW87" i="11" s="1"/>
  <c r="BE34" i="11"/>
  <c r="BE43" i="11" s="1"/>
  <c r="BE79" i="11" s="1"/>
  <c r="BE87" i="11" s="1"/>
  <c r="BE2" i="11"/>
  <c r="BH34" i="11"/>
  <c r="BH43" i="11" s="1"/>
  <c r="BH79" i="11" s="1"/>
  <c r="BH87" i="11" s="1"/>
  <c r="BH2" i="11"/>
  <c r="X34" i="11"/>
  <c r="X43" i="11" s="1"/>
  <c r="X79" i="11" s="1"/>
  <c r="X87" i="11" s="1"/>
  <c r="BI34" i="11"/>
  <c r="BI43" i="11" s="1"/>
  <c r="BI79" i="11" s="1"/>
  <c r="BI87" i="11" s="1"/>
  <c r="BI2" i="11"/>
  <c r="AF34" i="11"/>
  <c r="AF43" i="11" s="1"/>
  <c r="AF79" i="11" s="1"/>
  <c r="AF87" i="11" s="1"/>
  <c r="BT34" i="11"/>
  <c r="BT43" i="11" s="1"/>
  <c r="BT79" i="11" s="1"/>
  <c r="BT87" i="11" s="1"/>
  <c r="BT2" i="11"/>
  <c r="AX82" i="11"/>
  <c r="AX52" i="11"/>
  <c r="AX55" i="11"/>
  <c r="AX41" i="12"/>
  <c r="AX48" i="12" s="1"/>
  <c r="AY67" i="12"/>
  <c r="AY44" i="12"/>
  <c r="AZ71" i="12"/>
  <c r="AZ67" i="12" s="1"/>
  <c r="BA76" i="12"/>
  <c r="BP39" i="6"/>
  <c r="BP4" i="6" s="1"/>
  <c r="BR39" i="6"/>
  <c r="BR4" i="6" s="1"/>
  <c r="BC39" i="7"/>
  <c r="BC45" i="7" s="1"/>
  <c r="BE39" i="8"/>
  <c r="BE45" i="8" s="1"/>
  <c r="BU39" i="8"/>
  <c r="BU45" i="8" s="1"/>
  <c r="AZ39" i="6"/>
  <c r="AZ4" i="6" s="1"/>
  <c r="BI39" i="7"/>
  <c r="BI45" i="7" s="1"/>
  <c r="BR39" i="8"/>
  <c r="BR45" i="8" s="1"/>
  <c r="BA81" i="5"/>
  <c r="AY39" i="5"/>
  <c r="AY4" i="5" s="1"/>
  <c r="AY39" i="6"/>
  <c r="AY4" i="6" s="1"/>
  <c r="BD39" i="6"/>
  <c r="BD4" i="6" s="1"/>
  <c r="BT39" i="6"/>
  <c r="BT4" i="6" s="1"/>
  <c r="BM39" i="6"/>
  <c r="BM4" i="6" s="1"/>
  <c r="BB39" i="6"/>
  <c r="BB4" i="6" s="1"/>
  <c r="BF39" i="6"/>
  <c r="BF4" i="6" s="1"/>
  <c r="BJ39" i="6"/>
  <c r="BD39" i="7"/>
  <c r="BD45" i="7" s="1"/>
  <c r="BT39" i="7"/>
  <c r="BT45" i="7" s="1"/>
  <c r="BM39" i="7"/>
  <c r="BM45" i="7" s="1"/>
  <c r="BG39" i="7"/>
  <c r="BK39" i="7"/>
  <c r="BK45" i="7" s="1"/>
  <c r="BQ39" i="8"/>
  <c r="BQ45" i="8" s="1"/>
  <c r="BL39" i="8"/>
  <c r="BL45" i="8" s="1"/>
  <c r="BF39" i="8"/>
  <c r="BF45" i="8" s="1"/>
  <c r="BA39" i="8"/>
  <c r="BA45" i="8" s="1"/>
  <c r="BK39" i="8"/>
  <c r="BK45" i="8" s="1"/>
  <c r="BC39" i="8"/>
  <c r="BC45" i="8" s="1"/>
  <c r="AX59" i="11"/>
  <c r="AX57" i="11"/>
  <c r="AX4" i="8"/>
  <c r="AX44" i="8"/>
  <c r="AX55" i="12" s="1"/>
  <c r="AX56" i="8"/>
  <c r="AX60" i="8"/>
  <c r="AX83" i="8"/>
  <c r="AX52" i="8"/>
  <c r="AX57" i="8"/>
  <c r="AX80" i="8"/>
  <c r="AX53" i="8"/>
  <c r="AX55" i="8"/>
  <c r="AX59" i="8"/>
  <c r="AX82" i="8"/>
  <c r="BI39" i="6"/>
  <c r="BI4" i="6" s="1"/>
  <c r="BO39" i="6"/>
  <c r="BO4" i="6" s="1"/>
  <c r="AZ39" i="7"/>
  <c r="BN39" i="7"/>
  <c r="BN45" i="7" s="1"/>
  <c r="BH39" i="8"/>
  <c r="BH45" i="8" s="1"/>
  <c r="AY39" i="8"/>
  <c r="AY45" i="8" s="1"/>
  <c r="BH39" i="6"/>
  <c r="BH4" i="6" s="1"/>
  <c r="BA39" i="7"/>
  <c r="BO39" i="7"/>
  <c r="BO45" i="7" s="1"/>
  <c r="AY39" i="7"/>
  <c r="BR39" i="7"/>
  <c r="BR45" i="7" s="1"/>
  <c r="BF39" i="7"/>
  <c r="BF45" i="7" s="1"/>
  <c r="AZ39" i="8"/>
  <c r="AZ45" i="8" s="1"/>
  <c r="BP39" i="8"/>
  <c r="BP45" i="8" s="1"/>
  <c r="BJ39" i="8"/>
  <c r="BJ45" i="8" s="1"/>
  <c r="BG39" i="8"/>
  <c r="BG45" i="8" s="1"/>
  <c r="BI39" i="8"/>
  <c r="BI45" i="8" s="1"/>
  <c r="AX81" i="11"/>
  <c r="AX60" i="11"/>
  <c r="AX56" i="11"/>
  <c r="BP39" i="7"/>
  <c r="BP45" i="7" s="1"/>
  <c r="BB39" i="8"/>
  <c r="BB45" i="8" s="1"/>
  <c r="BS39" i="8"/>
  <c r="BS45" i="8" s="1"/>
  <c r="AZ39" i="5"/>
  <c r="BS39" i="6"/>
  <c r="BS4" i="6" s="1"/>
  <c r="BA39" i="6"/>
  <c r="BA4" i="6" s="1"/>
  <c r="BQ39" i="6"/>
  <c r="BQ4" i="6" s="1"/>
  <c r="BC39" i="6"/>
  <c r="BC4" i="6" s="1"/>
  <c r="BH39" i="7"/>
  <c r="BH45" i="7" s="1"/>
  <c r="BQ39" i="7"/>
  <c r="BQ45" i="7" s="1"/>
  <c r="BL39" i="6"/>
  <c r="BL4" i="6" s="1"/>
  <c r="BE39" i="6"/>
  <c r="BE4" i="6" s="1"/>
  <c r="BU39" i="6"/>
  <c r="BU4" i="6" s="1"/>
  <c r="BK39" i="6"/>
  <c r="BK4" i="6" s="1"/>
  <c r="BG39" i="6"/>
  <c r="BG4" i="6" s="1"/>
  <c r="BN39" i="6"/>
  <c r="BN82" i="6" s="1"/>
  <c r="BS39" i="7"/>
  <c r="BS45" i="7" s="1"/>
  <c r="BL39" i="7"/>
  <c r="BL45" i="7" s="1"/>
  <c r="BE39" i="7"/>
  <c r="BE45" i="7" s="1"/>
  <c r="BU39" i="7"/>
  <c r="BU45" i="7" s="1"/>
  <c r="BJ39" i="7"/>
  <c r="BJ45" i="7" s="1"/>
  <c r="BB39" i="7"/>
  <c r="BB45" i="7" s="1"/>
  <c r="BD39" i="8"/>
  <c r="BD45" i="8" s="1"/>
  <c r="BT39" i="8"/>
  <c r="BT45" i="8" s="1"/>
  <c r="BN39" i="8"/>
  <c r="BN45" i="8" s="1"/>
  <c r="BO39" i="8"/>
  <c r="BO45" i="8" s="1"/>
  <c r="BM39" i="8"/>
  <c r="BM45" i="8" s="1"/>
  <c r="AX4" i="11"/>
  <c r="AX53" i="11"/>
  <c r="AX82" i="5"/>
  <c r="AX83" i="5"/>
  <c r="AX80" i="5"/>
  <c r="AY42" i="12"/>
  <c r="BU42" i="12"/>
  <c r="BH42" i="12"/>
  <c r="BT42" i="12"/>
  <c r="BJ42" i="12"/>
  <c r="BA42" i="12"/>
  <c r="BL42" i="12"/>
  <c r="AZ42" i="12"/>
  <c r="BM42" i="12"/>
  <c r="BI42" i="12"/>
  <c r="BO39" i="11"/>
  <c r="BP39" i="11"/>
  <c r="BD39" i="11"/>
  <c r="BT39" i="11"/>
  <c r="BK39" i="11"/>
  <c r="BU39" i="11"/>
  <c r="BF39" i="11"/>
  <c r="AZ39" i="11"/>
  <c r="BI39" i="11"/>
  <c r="BB39" i="11"/>
  <c r="BM39" i="11"/>
  <c r="BC39" i="11"/>
  <c r="BH39" i="11"/>
  <c r="BA39" i="11"/>
  <c r="AY39" i="11"/>
  <c r="BQ39" i="11"/>
  <c r="BR39" i="11"/>
  <c r="BG39" i="11"/>
  <c r="BL39" i="11"/>
  <c r="BE39" i="11"/>
  <c r="BS39" i="11"/>
  <c r="BN39" i="11"/>
  <c r="BJ39" i="11"/>
  <c r="BB76" i="12"/>
  <c r="BC77" i="12"/>
  <c r="BA71" i="12"/>
  <c r="BB72" i="12"/>
  <c r="BB73" i="12"/>
  <c r="BC74" i="12"/>
  <c r="AZ88" i="12"/>
  <c r="AY87" i="12"/>
  <c r="BA80" i="11"/>
  <c r="BA81" i="8"/>
  <c r="BA80" i="7"/>
  <c r="BA80" i="6"/>
  <c r="CK126" i="12" l="1"/>
  <c r="AX98" i="12"/>
  <c r="CK30" i="14"/>
  <c r="AY104" i="1"/>
  <c r="AY82" i="1"/>
  <c r="AZ104" i="1"/>
  <c r="AZ82" i="1"/>
  <c r="CK28" i="14"/>
  <c r="CK19" i="14"/>
  <c r="BA92" i="12"/>
  <c r="CK17" i="14"/>
  <c r="BA104" i="1"/>
  <c r="BA82" i="1"/>
  <c r="AX95" i="12"/>
  <c r="AL43" i="21"/>
  <c r="AM41" i="21" s="1"/>
  <c r="AL39" i="21" s="1"/>
  <c r="AX115" i="12"/>
  <c r="CL14" i="14"/>
  <c r="CK11" i="14"/>
  <c r="CK14" i="14"/>
  <c r="CK26" i="14"/>
  <c r="AY4" i="1"/>
  <c r="AZ4" i="1"/>
  <c r="BA4" i="1"/>
  <c r="AX51" i="5"/>
  <c r="BR79" i="6"/>
  <c r="AX51" i="6"/>
  <c r="BA108" i="1"/>
  <c r="AZ108" i="1"/>
  <c r="AY108" i="1"/>
  <c r="BF58" i="6"/>
  <c r="BD57" i="6"/>
  <c r="AY60" i="5"/>
  <c r="AY45" i="5"/>
  <c r="AY44" i="5" s="1"/>
  <c r="AZ45" i="5"/>
  <c r="AZ44" i="5" s="1"/>
  <c r="BG59" i="7"/>
  <c r="BG45" i="7"/>
  <c r="AY82" i="7"/>
  <c r="AY45" i="7"/>
  <c r="BA57" i="7"/>
  <c r="BA45" i="7"/>
  <c r="BF81" i="6"/>
  <c r="AZ82" i="7"/>
  <c r="AZ45" i="7"/>
  <c r="AY87" i="1"/>
  <c r="AZ87" i="1"/>
  <c r="BA87" i="1"/>
  <c r="AX5" i="11"/>
  <c r="AX7" i="11" s="1"/>
  <c r="AX8" i="11" s="1"/>
  <c r="BO60" i="11"/>
  <c r="BO45" i="11"/>
  <c r="BO44" i="11" s="1"/>
  <c r="BT57" i="8"/>
  <c r="BU4" i="7"/>
  <c r="BI57" i="8"/>
  <c r="BR81" i="7"/>
  <c r="BH57" i="8"/>
  <c r="BK57" i="8"/>
  <c r="BQ57" i="8"/>
  <c r="BT55" i="7"/>
  <c r="AY79" i="6"/>
  <c r="BS57" i="6"/>
  <c r="BE55" i="11"/>
  <c r="BE45" i="11"/>
  <c r="BE44" i="11" s="1"/>
  <c r="BQ52" i="11"/>
  <c r="BQ45" i="11"/>
  <c r="BQ44" i="11" s="1"/>
  <c r="BC52" i="11"/>
  <c r="BC45" i="11"/>
  <c r="BC44" i="11" s="1"/>
  <c r="BC5" i="11" s="1"/>
  <c r="BB4" i="11"/>
  <c r="BB45" i="11"/>
  <c r="BB44" i="11" s="1"/>
  <c r="BU4" i="11"/>
  <c r="BU45" i="11"/>
  <c r="BU44" i="11" s="1"/>
  <c r="BU57" i="8"/>
  <c r="BB82" i="6"/>
  <c r="BP56" i="11"/>
  <c r="BP45" i="11"/>
  <c r="BP44" i="11" s="1"/>
  <c r="BM57" i="8"/>
  <c r="BN44" i="8"/>
  <c r="BN57" i="8"/>
  <c r="BD57" i="8"/>
  <c r="BJ4" i="7"/>
  <c r="BS57" i="7"/>
  <c r="BQ4" i="7"/>
  <c r="BS57" i="8"/>
  <c r="BP55" i="7"/>
  <c r="BG57" i="8"/>
  <c r="BP44" i="8"/>
  <c r="BP57" i="8"/>
  <c r="BF55" i="7"/>
  <c r="BC44" i="8"/>
  <c r="BC57" i="8"/>
  <c r="BL57" i="8"/>
  <c r="BK60" i="7"/>
  <c r="BM81" i="7"/>
  <c r="BD53" i="7"/>
  <c r="BO57" i="8"/>
  <c r="BB55" i="7"/>
  <c r="BL82" i="7"/>
  <c r="BH81" i="7"/>
  <c r="BB57" i="8"/>
  <c r="BJ44" i="8"/>
  <c r="BJ57" i="8"/>
  <c r="BF57" i="8"/>
  <c r="BG81" i="7"/>
  <c r="BN59" i="11"/>
  <c r="BN45" i="11"/>
  <c r="BG57" i="11"/>
  <c r="BG45" i="11"/>
  <c r="BG44" i="11" s="1"/>
  <c r="BA59" i="11"/>
  <c r="BA45" i="11"/>
  <c r="BA44" i="11" s="1"/>
  <c r="AZ45" i="11"/>
  <c r="AZ44" i="11" s="1"/>
  <c r="BT53" i="11"/>
  <c r="BT45" i="11"/>
  <c r="BT44" i="11" s="1"/>
  <c r="BI53" i="7"/>
  <c r="BC56" i="7"/>
  <c r="BQ59" i="6"/>
  <c r="BH52" i="6"/>
  <c r="BT53" i="6"/>
  <c r="BT4" i="7"/>
  <c r="BJ59" i="11"/>
  <c r="BJ45" i="11"/>
  <c r="BS52" i="11"/>
  <c r="BS45" i="11"/>
  <c r="BS44" i="11" s="1"/>
  <c r="BS5" i="11" s="1"/>
  <c r="BL45" i="11"/>
  <c r="BL44" i="11" s="1"/>
  <c r="BL5" i="11" s="1"/>
  <c r="BR59" i="11"/>
  <c r="BR45" i="11"/>
  <c r="BR44" i="11" s="1"/>
  <c r="BR5" i="11" s="1"/>
  <c r="AY4" i="11"/>
  <c r="AY45" i="11"/>
  <c r="AY44" i="11" s="1"/>
  <c r="BH56" i="11"/>
  <c r="BH45" i="11"/>
  <c r="BH44" i="11" s="1"/>
  <c r="BM55" i="11"/>
  <c r="BM45" i="11"/>
  <c r="BM44" i="11" s="1"/>
  <c r="BI59" i="11"/>
  <c r="BI45" i="11"/>
  <c r="BI44" i="11" s="1"/>
  <c r="BF4" i="11"/>
  <c r="BF45" i="11"/>
  <c r="BF44" i="11" s="1"/>
  <c r="BF5" i="11" s="1"/>
  <c r="BK81" i="11"/>
  <c r="BK45" i="11"/>
  <c r="BK44" i="11" s="1"/>
  <c r="BD4" i="11"/>
  <c r="BD45" i="11"/>
  <c r="BD44" i="11" s="1"/>
  <c r="BN57" i="7"/>
  <c r="BR44" i="8"/>
  <c r="BR57" i="8"/>
  <c r="BE57" i="8"/>
  <c r="AY88" i="1"/>
  <c r="AZ88" i="1"/>
  <c r="BA88" i="1"/>
  <c r="AX55" i="6"/>
  <c r="BT82" i="7"/>
  <c r="BR4" i="7"/>
  <c r="BT53" i="7"/>
  <c r="BG52" i="7"/>
  <c r="BP57" i="6"/>
  <c r="BL57" i="6"/>
  <c r="BM52" i="11"/>
  <c r="BG56" i="7"/>
  <c r="BT57" i="7"/>
  <c r="BT81" i="7"/>
  <c r="BG53" i="7"/>
  <c r="AX83" i="6"/>
  <c r="AX12" i="6" s="1"/>
  <c r="BH12" i="14"/>
  <c r="BV20" i="13" s="1"/>
  <c r="BU56" i="11"/>
  <c r="BA57" i="11"/>
  <c r="BM57" i="7"/>
  <c r="BK81" i="7"/>
  <c r="BM55" i="7"/>
  <c r="BM60" i="7"/>
  <c r="BQ46" i="7"/>
  <c r="BQ44" i="7" s="1"/>
  <c r="BB46" i="7"/>
  <c r="AX51" i="7"/>
  <c r="BR59" i="6"/>
  <c r="AY56" i="6"/>
  <c r="BB53" i="6"/>
  <c r="BD82" i="6"/>
  <c r="BS82" i="6"/>
  <c r="BR53" i="6"/>
  <c r="BP81" i="6"/>
  <c r="BQ82" i="6"/>
  <c r="BF79" i="6"/>
  <c r="BT82" i="6"/>
  <c r="AY53" i="6"/>
  <c r="AY52" i="6"/>
  <c r="BB81" i="6"/>
  <c r="BB59" i="6"/>
  <c r="BT79" i="6"/>
  <c r="BT45" i="6"/>
  <c r="BT44" i="6" s="1"/>
  <c r="BK82" i="6"/>
  <c r="AY58" i="6"/>
  <c r="AY82" i="6"/>
  <c r="BB56" i="6"/>
  <c r="BT58" i="6"/>
  <c r="BT52" i="6"/>
  <c r="AY45" i="6"/>
  <c r="AY44" i="6" s="1"/>
  <c r="AY81" i="6"/>
  <c r="BB52" i="6"/>
  <c r="BT59" i="6"/>
  <c r="BT81" i="6"/>
  <c r="BP55" i="11"/>
  <c r="BH59" i="6"/>
  <c r="BU59" i="11"/>
  <c r="BP53" i="11"/>
  <c r="AX55" i="5"/>
  <c r="AX10" i="5" s="1"/>
  <c r="AY59" i="6"/>
  <c r="BB45" i="6"/>
  <c r="BB44" i="6" s="1"/>
  <c r="BG81" i="6"/>
  <c r="BN56" i="6"/>
  <c r="BA52" i="7"/>
  <c r="BT60" i="7"/>
  <c r="BT59" i="11"/>
  <c r="BO82" i="11"/>
  <c r="AY57" i="6"/>
  <c r="BF56" i="6"/>
  <c r="BB79" i="6"/>
  <c r="BN58" i="6"/>
  <c r="BK59" i="7"/>
  <c r="BT46" i="7"/>
  <c r="BA82" i="7"/>
  <c r="BT82" i="11"/>
  <c r="AX83" i="7"/>
  <c r="AX12" i="7" s="1"/>
  <c r="BE81" i="6"/>
  <c r="BE59" i="6"/>
  <c r="BD52" i="7"/>
  <c r="BK82" i="7"/>
  <c r="BC58" i="6"/>
  <c r="AX7" i="7"/>
  <c r="AX8" i="7" s="1"/>
  <c r="AX5" i="6"/>
  <c r="AX7" i="6" s="1"/>
  <c r="AX8" i="6" s="1"/>
  <c r="CL26" i="14"/>
  <c r="BO53" i="11"/>
  <c r="BL4" i="11"/>
  <c r="BO4" i="11"/>
  <c r="BP57" i="11"/>
  <c r="BP59" i="11"/>
  <c r="BP52" i="11"/>
  <c r="BP82" i="11"/>
  <c r="BJ57" i="11"/>
  <c r="BN55" i="11"/>
  <c r="BO59" i="11"/>
  <c r="BO52" i="11"/>
  <c r="BJ53" i="11"/>
  <c r="BM82" i="11"/>
  <c r="BO55" i="11"/>
  <c r="BH57" i="11"/>
  <c r="BJ55" i="11"/>
  <c r="BO81" i="11"/>
  <c r="BO57" i="11"/>
  <c r="BQ53" i="7"/>
  <c r="BC4" i="7"/>
  <c r="BU56" i="7"/>
  <c r="BU52" i="7"/>
  <c r="BB4" i="7"/>
  <c r="BL4" i="7"/>
  <c r="AX54" i="7"/>
  <c r="AX10" i="7" s="1"/>
  <c r="BC59" i="7"/>
  <c r="BU55" i="7"/>
  <c r="BU81" i="7"/>
  <c r="BQ56" i="7"/>
  <c r="AZ4" i="7"/>
  <c r="BC55" i="7"/>
  <c r="BI4" i="7"/>
  <c r="BU59" i="7"/>
  <c r="BL46" i="7"/>
  <c r="BB82" i="7"/>
  <c r="BA59" i="7"/>
  <c r="AY60" i="7"/>
  <c r="BM59" i="7"/>
  <c r="BA46" i="7"/>
  <c r="BK56" i="7"/>
  <c r="BM53" i="7"/>
  <c r="BD56" i="7"/>
  <c r="BS52" i="7"/>
  <c r="BU60" i="7"/>
  <c r="BU53" i="7"/>
  <c r="BL57" i="7"/>
  <c r="BL53" i="7"/>
  <c r="BQ55" i="7"/>
  <c r="AZ46" i="7"/>
  <c r="BI57" i="7"/>
  <c r="BU46" i="7"/>
  <c r="BU57" i="7"/>
  <c r="BL55" i="7"/>
  <c r="BB81" i="7"/>
  <c r="BB57" i="7"/>
  <c r="BB60" i="7"/>
  <c r="BE60" i="7"/>
  <c r="BE52" i="7"/>
  <c r="BB56" i="7"/>
  <c r="BU82" i="7"/>
  <c r="BN55" i="7"/>
  <c r="BG57" i="7"/>
  <c r="BG55" i="7"/>
  <c r="BE56" i="7"/>
  <c r="BE59" i="7"/>
  <c r="BT56" i="7"/>
  <c r="BT59" i="7"/>
  <c r="BO81" i="7"/>
  <c r="BG82" i="7"/>
  <c r="BE81" i="7"/>
  <c r="BE55" i="7"/>
  <c r="BR55" i="7"/>
  <c r="BG4" i="7"/>
  <c r="BG60" i="7"/>
  <c r="BG46" i="7"/>
  <c r="BE46" i="7"/>
  <c r="BE44" i="7" s="1"/>
  <c r="BE57" i="7"/>
  <c r="BJ56" i="7"/>
  <c r="BT52" i="7"/>
  <c r="BQ53" i="6"/>
  <c r="BH81" i="6"/>
  <c r="BB58" i="6"/>
  <c r="BB57" i="6"/>
  <c r="BT57" i="6"/>
  <c r="BT56" i="6"/>
  <c r="BK57" i="6"/>
  <c r="BE45" i="6"/>
  <c r="BE44" i="6" s="1"/>
  <c r="BS52" i="6"/>
  <c r="BS56" i="6"/>
  <c r="BH82" i="6"/>
  <c r="BH53" i="6"/>
  <c r="BE57" i="6"/>
  <c r="BE58" i="6"/>
  <c r="BS45" i="6"/>
  <c r="BS44" i="6" s="1"/>
  <c r="BN81" i="6"/>
  <c r="BR81" i="6"/>
  <c r="BR58" i="6"/>
  <c r="BR57" i="6"/>
  <c r="BP45" i="6"/>
  <c r="BP44" i="6" s="1"/>
  <c r="BQ56" i="6"/>
  <c r="BQ52" i="6"/>
  <c r="BH57" i="6"/>
  <c r="BH56" i="6"/>
  <c r="BG58" i="6"/>
  <c r="BK79" i="6"/>
  <c r="BK81" i="6"/>
  <c r="BE56" i="6"/>
  <c r="BE79" i="6"/>
  <c r="BL79" i="6"/>
  <c r="BC56" i="6"/>
  <c r="BS58" i="6"/>
  <c r="BS59" i="6"/>
  <c r="BN79" i="6"/>
  <c r="BN52" i="6"/>
  <c r="BO45" i="6"/>
  <c r="BO44" i="6" s="1"/>
  <c r="BR56" i="6"/>
  <c r="BR52" i="6"/>
  <c r="BG79" i="6"/>
  <c r="BL56" i="6"/>
  <c r="BA57" i="6"/>
  <c r="BO59" i="6"/>
  <c r="BR45" i="6"/>
  <c r="BR44" i="6" s="1"/>
  <c r="BR82" i="6"/>
  <c r="BP58" i="6"/>
  <c r="BQ57" i="6"/>
  <c r="BH79" i="6"/>
  <c r="BH58" i="6"/>
  <c r="BH45" i="6"/>
  <c r="BH44" i="6" s="1"/>
  <c r="BG52" i="6"/>
  <c r="BK59" i="6"/>
  <c r="BE82" i="6"/>
  <c r="BE53" i="6"/>
  <c r="BE52" i="6"/>
  <c r="BL53" i="6"/>
  <c r="BS79" i="6"/>
  <c r="BS53" i="6"/>
  <c r="BS81" i="6"/>
  <c r="AZ4" i="5"/>
  <c r="AZ56" i="5"/>
  <c r="AZ59" i="5"/>
  <c r="AZ53" i="5"/>
  <c r="AL34" i="11"/>
  <c r="AL43" i="11" s="1"/>
  <c r="AL79" i="11" s="1"/>
  <c r="AL87" i="11" s="1"/>
  <c r="Z34" i="11"/>
  <c r="Z43" i="11" s="1"/>
  <c r="Z79" i="11" s="1"/>
  <c r="Z87" i="11" s="1"/>
  <c r="BB34" i="11"/>
  <c r="BB43" i="11" s="1"/>
  <c r="BB79" i="11" s="1"/>
  <c r="BB87" i="11" s="1"/>
  <c r="BB2" i="11"/>
  <c r="N34" i="11"/>
  <c r="N43" i="11" s="1"/>
  <c r="N79" i="11" s="1"/>
  <c r="N87" i="11" s="1"/>
  <c r="V34" i="11"/>
  <c r="V43" i="11" s="1"/>
  <c r="V79" i="11" s="1"/>
  <c r="V87" i="11" s="1"/>
  <c r="BR34" i="11"/>
  <c r="BR43" i="11" s="1"/>
  <c r="BR79" i="11" s="1"/>
  <c r="BR87" i="11" s="1"/>
  <c r="BR2" i="11"/>
  <c r="AX34" i="11"/>
  <c r="AX43" i="11" s="1"/>
  <c r="AX79" i="11" s="1"/>
  <c r="AX87" i="11" s="1"/>
  <c r="AX2" i="11"/>
  <c r="BN34" i="11"/>
  <c r="BN43" i="11" s="1"/>
  <c r="BN79" i="11" s="1"/>
  <c r="BN87" i="11" s="1"/>
  <c r="BN2" i="11"/>
  <c r="AT34" i="11"/>
  <c r="AT43" i="11" s="1"/>
  <c r="AT79" i="11" s="1"/>
  <c r="AT87" i="11" s="1"/>
  <c r="AH34" i="11"/>
  <c r="AH43" i="11" s="1"/>
  <c r="AH79" i="11" s="1"/>
  <c r="AH87" i="11" s="1"/>
  <c r="R34" i="11"/>
  <c r="R43" i="11" s="1"/>
  <c r="R79" i="11" s="1"/>
  <c r="R87" i="11" s="1"/>
  <c r="BF34" i="11"/>
  <c r="BF43" i="11" s="1"/>
  <c r="BF79" i="11" s="1"/>
  <c r="BF87" i="11" s="1"/>
  <c r="BF2" i="11"/>
  <c r="AD34" i="11"/>
  <c r="AD43" i="11" s="1"/>
  <c r="AD79" i="11" s="1"/>
  <c r="AD87" i="11" s="1"/>
  <c r="BJ34" i="11"/>
  <c r="BJ43" i="11" s="1"/>
  <c r="BJ79" i="11" s="1"/>
  <c r="BJ87" i="11" s="1"/>
  <c r="BJ2" i="11"/>
  <c r="AP34" i="11"/>
  <c r="AP43" i="11" s="1"/>
  <c r="AP79" i="11" s="1"/>
  <c r="AP87" i="11" s="1"/>
  <c r="BO58" i="6"/>
  <c r="BG53" i="11"/>
  <c r="BE82" i="11"/>
  <c r="BR46" i="7"/>
  <c r="BN56" i="7"/>
  <c r="BR82" i="7"/>
  <c r="BO79" i="6"/>
  <c r="BO81" i="6"/>
  <c r="BR53" i="7"/>
  <c r="BR60" i="7"/>
  <c r="BG81" i="11"/>
  <c r="BA55" i="11"/>
  <c r="BN60" i="11"/>
  <c r="BE52" i="11"/>
  <c r="AX51" i="11"/>
  <c r="BO57" i="6"/>
  <c r="BR57" i="7"/>
  <c r="BA53" i="11"/>
  <c r="BO53" i="6"/>
  <c r="BO52" i="6"/>
  <c r="BO56" i="6"/>
  <c r="BR59" i="7"/>
  <c r="BR56" i="7"/>
  <c r="BG4" i="11"/>
  <c r="BI60" i="7"/>
  <c r="BC82" i="7"/>
  <c r="BA79" i="6"/>
  <c r="BS60" i="7"/>
  <c r="BU79" i="6"/>
  <c r="BA58" i="6"/>
  <c r="BH60" i="7"/>
  <c r="BJ59" i="7"/>
  <c r="BD60" i="7"/>
  <c r="BI56" i="7"/>
  <c r="BJ82" i="7"/>
  <c r="BD82" i="7"/>
  <c r="BC81" i="7"/>
  <c r="BL55" i="11"/>
  <c r="BC60" i="11"/>
  <c r="AX83" i="11"/>
  <c r="AX12" i="11" s="1"/>
  <c r="BS56" i="7"/>
  <c r="BK53" i="7"/>
  <c r="BK46" i="7"/>
  <c r="AY53" i="5"/>
  <c r="BG57" i="6"/>
  <c r="BU58" i="6"/>
  <c r="BC52" i="6"/>
  <c r="BM82" i="6"/>
  <c r="BN59" i="7"/>
  <c r="BH57" i="7"/>
  <c r="BS59" i="7"/>
  <c r="BO52" i="7"/>
  <c r="BE4" i="7"/>
  <c r="BJ55" i="7"/>
  <c r="BC57" i="7"/>
  <c r="BM46" i="7"/>
  <c r="BM52" i="7"/>
  <c r="BD59" i="7"/>
  <c r="BI59" i="7"/>
  <c r="BE82" i="7"/>
  <c r="BI82" i="7"/>
  <c r="BL60" i="11"/>
  <c r="BO56" i="11"/>
  <c r="BM81" i="6"/>
  <c r="BK4" i="7"/>
  <c r="BO57" i="7"/>
  <c r="BJ57" i="7"/>
  <c r="BC52" i="7"/>
  <c r="BN46" i="7"/>
  <c r="BH55" i="7"/>
  <c r="AY46" i="7"/>
  <c r="BH4" i="7"/>
  <c r="BK57" i="7"/>
  <c r="BK55" i="7"/>
  <c r="BC53" i="7"/>
  <c r="BC46" i="7"/>
  <c r="BD57" i="7"/>
  <c r="BI52" i="7"/>
  <c r="BH82" i="7"/>
  <c r="BD81" i="7"/>
  <c r="BF59" i="11"/>
  <c r="BH53" i="11"/>
  <c r="AY56" i="5"/>
  <c r="BD55" i="7"/>
  <c r="BI55" i="7"/>
  <c r="BN82" i="7"/>
  <c r="BI81" i="7"/>
  <c r="AY59" i="5"/>
  <c r="BI59" i="6"/>
  <c r="BF59" i="6"/>
  <c r="BD81" i="6"/>
  <c r="BC82" i="6"/>
  <c r="BM53" i="6"/>
  <c r="BN52" i="7"/>
  <c r="BH46" i="7"/>
  <c r="BK52" i="7"/>
  <c r="BO60" i="7"/>
  <c r="BE53" i="7"/>
  <c r="BJ52" i="7"/>
  <c r="BC60" i="7"/>
  <c r="BM56" i="7"/>
  <c r="BD46" i="7"/>
  <c r="BI46" i="7"/>
  <c r="BI44" i="7" s="1"/>
  <c r="BN81" i="7"/>
  <c r="BM82" i="7"/>
  <c r="BP81" i="7"/>
  <c r="AY58" i="5"/>
  <c r="BO82" i="6"/>
  <c r="BP52" i="6"/>
  <c r="BF57" i="6"/>
  <c r="BD56" i="6"/>
  <c r="BL58" i="6"/>
  <c r="BC59" i="6"/>
  <c r="BM79" i="6"/>
  <c r="BR52" i="7"/>
  <c r="BN60" i="7"/>
  <c r="BH53" i="7"/>
  <c r="AY53" i="7"/>
  <c r="BO56" i="7"/>
  <c r="BJ60" i="7"/>
  <c r="BM4" i="7"/>
  <c r="BD4" i="7"/>
  <c r="BO82" i="7"/>
  <c r="BP81" i="11"/>
  <c r="BP4" i="11"/>
  <c r="AX54" i="11"/>
  <c r="AX10" i="11" s="1"/>
  <c r="BS4" i="7"/>
  <c r="BS55" i="7"/>
  <c r="BO59" i="7"/>
  <c r="BJ46" i="7"/>
  <c r="BL52" i="7"/>
  <c r="BQ82" i="7"/>
  <c r="BS81" i="7"/>
  <c r="BJ81" i="7"/>
  <c r="BB53" i="7"/>
  <c r="BS60" i="11"/>
  <c r="BR57" i="11"/>
  <c r="BQ60" i="11"/>
  <c r="BS82" i="11"/>
  <c r="BQ45" i="6"/>
  <c r="BQ44" i="6" s="1"/>
  <c r="BK58" i="6"/>
  <c r="BU57" i="6"/>
  <c r="BN53" i="7"/>
  <c r="BQ60" i="7"/>
  <c r="BQ57" i="7"/>
  <c r="BH52" i="7"/>
  <c r="BS53" i="7"/>
  <c r="BS46" i="7"/>
  <c r="BO4" i="7"/>
  <c r="BO55" i="7"/>
  <c r="BJ53" i="7"/>
  <c r="BL56" i="7"/>
  <c r="BQ81" i="7"/>
  <c r="BS82" i="7"/>
  <c r="BS57" i="11"/>
  <c r="BR53" i="11"/>
  <c r="BI57" i="11"/>
  <c r="BQ81" i="11"/>
  <c r="BK56" i="6"/>
  <c r="AZ52" i="5"/>
  <c r="BQ79" i="6"/>
  <c r="BK45" i="6"/>
  <c r="BK44" i="6" s="1"/>
  <c r="BU56" i="6"/>
  <c r="BA59" i="6"/>
  <c r="BN4" i="7"/>
  <c r="BQ59" i="7"/>
  <c r="BQ52" i="7"/>
  <c r="BH56" i="7"/>
  <c r="BO53" i="7"/>
  <c r="BO46" i="7"/>
  <c r="BO44" i="7" s="1"/>
  <c r="BP4" i="7"/>
  <c r="BL60" i="7"/>
  <c r="AY81" i="7"/>
  <c r="BL81" i="7"/>
  <c r="BD55" i="11"/>
  <c r="BR55" i="11"/>
  <c r="BI53" i="11"/>
  <c r="BP60" i="11"/>
  <c r="BQ4" i="11"/>
  <c r="BK52" i="6"/>
  <c r="AZ58" i="5"/>
  <c r="BQ81" i="6"/>
  <c r="BQ58" i="6"/>
  <c r="BK53" i="6"/>
  <c r="BU59" i="6"/>
  <c r="BA82" i="6"/>
  <c r="BH59" i="7"/>
  <c r="BP46" i="7"/>
  <c r="BL59" i="7"/>
  <c r="BB52" i="7"/>
  <c r="BB59" i="7"/>
  <c r="BF82" i="11"/>
  <c r="BD56" i="11"/>
  <c r="BI55" i="11"/>
  <c r="BH81" i="11"/>
  <c r="BF60" i="11"/>
  <c r="BF55" i="11"/>
  <c r="BD59" i="11"/>
  <c r="BD57" i="11"/>
  <c r="BD53" i="11"/>
  <c r="BJ56" i="11"/>
  <c r="BJ44" i="11"/>
  <c r="BJ52" i="11"/>
  <c r="BS59" i="11"/>
  <c r="BS55" i="11"/>
  <c r="BS4" i="11"/>
  <c r="BL59" i="11"/>
  <c r="BL56" i="11"/>
  <c r="BR60" i="11"/>
  <c r="BR52" i="11"/>
  <c r="BB82" i="11"/>
  <c r="AZ52" i="11"/>
  <c r="BH55" i="11"/>
  <c r="BH82" i="11"/>
  <c r="BC57" i="11"/>
  <c r="BF53" i="11"/>
  <c r="BF56" i="11"/>
  <c r="BF52" i="11"/>
  <c r="BD81" i="11"/>
  <c r="BD82" i="11"/>
  <c r="BJ60" i="11"/>
  <c r="BJ81" i="11"/>
  <c r="BJ4" i="11"/>
  <c r="BS53" i="11"/>
  <c r="BS81" i="11"/>
  <c r="BL81" i="11"/>
  <c r="BL57" i="11"/>
  <c r="BL53" i="11"/>
  <c r="BR56" i="11"/>
  <c r="BR81" i="11"/>
  <c r="BR4" i="11"/>
  <c r="BB59" i="11"/>
  <c r="AZ60" i="11"/>
  <c r="BH52" i="11"/>
  <c r="BH60" i="11"/>
  <c r="BH4" i="11"/>
  <c r="BF57" i="11"/>
  <c r="BF81" i="11"/>
  <c r="BD52" i="11"/>
  <c r="BD60" i="11"/>
  <c r="BJ82" i="11"/>
  <c r="BS56" i="11"/>
  <c r="BL52" i="11"/>
  <c r="BL82" i="11"/>
  <c r="BR82" i="11"/>
  <c r="AZ4" i="11"/>
  <c r="BH59" i="11"/>
  <c r="BC82" i="11"/>
  <c r="BK56" i="11"/>
  <c r="BK59" i="11"/>
  <c r="AY52" i="11"/>
  <c r="BK52" i="11"/>
  <c r="AY60" i="11"/>
  <c r="BK60" i="11"/>
  <c r="BK53" i="11"/>
  <c r="BK57" i="11"/>
  <c r="AY82" i="11"/>
  <c r="AY56" i="11"/>
  <c r="AY55" i="11"/>
  <c r="BK55" i="11"/>
  <c r="BK4" i="11"/>
  <c r="AY59" i="11"/>
  <c r="AY53" i="11"/>
  <c r="AY57" i="11"/>
  <c r="BK82" i="11"/>
  <c r="AY81" i="11"/>
  <c r="BA4" i="7"/>
  <c r="BA53" i="7"/>
  <c r="AZ57" i="7"/>
  <c r="AZ56" i="7"/>
  <c r="AZ53" i="7"/>
  <c r="AY56" i="7"/>
  <c r="BP52" i="7"/>
  <c r="BP56" i="7"/>
  <c r="BP53" i="7"/>
  <c r="BF82" i="7"/>
  <c r="BA81" i="7"/>
  <c r="BP82" i="7"/>
  <c r="BA56" i="7"/>
  <c r="AZ52" i="7"/>
  <c r="AZ59" i="7"/>
  <c r="AY52" i="7"/>
  <c r="AY59" i="7"/>
  <c r="BP57" i="7"/>
  <c r="BP59" i="7"/>
  <c r="BF81" i="7"/>
  <c r="AZ81" i="7"/>
  <c r="BF59" i="7"/>
  <c r="BA60" i="7"/>
  <c r="BA55" i="7"/>
  <c r="AZ60" i="7"/>
  <c r="AZ55" i="7"/>
  <c r="AY4" i="7"/>
  <c r="AY57" i="7"/>
  <c r="AY55" i="7"/>
  <c r="BP60" i="7"/>
  <c r="BF45" i="6"/>
  <c r="BF44" i="6" s="1"/>
  <c r="BF52" i="6"/>
  <c r="BD59" i="6"/>
  <c r="BD79" i="6"/>
  <c r="BD53" i="6"/>
  <c r="BG53" i="6"/>
  <c r="BG82" i="6"/>
  <c r="BG56" i="6"/>
  <c r="BU82" i="6"/>
  <c r="BU53" i="6"/>
  <c r="BU52" i="6"/>
  <c r="BL59" i="6"/>
  <c r="BL52" i="6"/>
  <c r="BL45" i="6"/>
  <c r="BL44" i="6" s="1"/>
  <c r="BC45" i="6"/>
  <c r="BC44" i="6" s="1"/>
  <c r="BC57" i="6"/>
  <c r="BA81" i="6"/>
  <c r="BA53" i="6"/>
  <c r="BA52" i="6"/>
  <c r="BM56" i="6"/>
  <c r="BM58" i="6"/>
  <c r="BI57" i="6"/>
  <c r="AZ52" i="6"/>
  <c r="BI58" i="6"/>
  <c r="BP82" i="6"/>
  <c r="BP56" i="6"/>
  <c r="AZ59" i="6"/>
  <c r="BP79" i="6"/>
  <c r="BP59" i="6"/>
  <c r="BP53" i="6"/>
  <c r="AZ53" i="6"/>
  <c r="BF53" i="6"/>
  <c r="BF82" i="6"/>
  <c r="BD58" i="6"/>
  <c r="BD52" i="6"/>
  <c r="BD45" i="6"/>
  <c r="BD44" i="6" s="1"/>
  <c r="BG45" i="6"/>
  <c r="BG44" i="6" s="1"/>
  <c r="BG59" i="6"/>
  <c r="BU81" i="6"/>
  <c r="BU45" i="6"/>
  <c r="BU44" i="6" s="1"/>
  <c r="BL82" i="6"/>
  <c r="BL81" i="6"/>
  <c r="BC79" i="6"/>
  <c r="BC53" i="6"/>
  <c r="BC81" i="6"/>
  <c r="BA56" i="6"/>
  <c r="BA45" i="6"/>
  <c r="BA44" i="6" s="1"/>
  <c r="BM57" i="6"/>
  <c r="BM59" i="6"/>
  <c r="AZ45" i="6"/>
  <c r="AZ44" i="6" s="1"/>
  <c r="BI56" i="6"/>
  <c r="BI52" i="6"/>
  <c r="AZ58" i="6"/>
  <c r="BI81" i="6"/>
  <c r="BI45" i="6"/>
  <c r="BI44" i="6" s="1"/>
  <c r="AZ79" i="6"/>
  <c r="AZ81" i="6"/>
  <c r="BM52" i="6"/>
  <c r="BI53" i="6"/>
  <c r="AZ82" i="6"/>
  <c r="BI82" i="6"/>
  <c r="BI79" i="6"/>
  <c r="AZ57" i="6"/>
  <c r="AZ56" i="6"/>
  <c r="BM45" i="6"/>
  <c r="BM44" i="6" s="1"/>
  <c r="AZ60" i="5"/>
  <c r="AY52" i="5"/>
  <c r="BK41" i="12"/>
  <c r="BA41" i="12"/>
  <c r="BJ41" i="12"/>
  <c r="BT41" i="12"/>
  <c r="BH41" i="12"/>
  <c r="AY41" i="12"/>
  <c r="AY48" i="12" s="1"/>
  <c r="AY115" i="12" s="1"/>
  <c r="AZ44" i="12"/>
  <c r="BI41" i="12"/>
  <c r="BM41" i="12"/>
  <c r="AZ41" i="12"/>
  <c r="BL41" i="12"/>
  <c r="BU41" i="12"/>
  <c r="AX54" i="8"/>
  <c r="AX51" i="8"/>
  <c r="AX84" i="5"/>
  <c r="AX12" i="5" s="1"/>
  <c r="AX5" i="5"/>
  <c r="AX7" i="5" s="1"/>
  <c r="AX8" i="5" s="1"/>
  <c r="AX84" i="8"/>
  <c r="AX12" i="8" s="1"/>
  <c r="BK4" i="8"/>
  <c r="BK55" i="8"/>
  <c r="BK59" i="8"/>
  <c r="BK82" i="8"/>
  <c r="BK44" i="8"/>
  <c r="BK56" i="8"/>
  <c r="BK60" i="8"/>
  <c r="BK83" i="8"/>
  <c r="BK52" i="8"/>
  <c r="BK80" i="8"/>
  <c r="BK53" i="8"/>
  <c r="BL4" i="8"/>
  <c r="BL53" i="8"/>
  <c r="BL55" i="8"/>
  <c r="BL59" i="8"/>
  <c r="BL82" i="8"/>
  <c r="BL44" i="8"/>
  <c r="BL56" i="8"/>
  <c r="BL60" i="8"/>
  <c r="BL83" i="8"/>
  <c r="BL80" i="8"/>
  <c r="BL52" i="8"/>
  <c r="BU4" i="8"/>
  <c r="BU52" i="8"/>
  <c r="BU80" i="8"/>
  <c r="BU53" i="8"/>
  <c r="BU55" i="8"/>
  <c r="BU59" i="8"/>
  <c r="BU82" i="8"/>
  <c r="BU44" i="8"/>
  <c r="BU56" i="8"/>
  <c r="BU60" i="8"/>
  <c r="BU83" i="8"/>
  <c r="BU57" i="11"/>
  <c r="BU53" i="11"/>
  <c r="BU55" i="11"/>
  <c r="BT81" i="11"/>
  <c r="BT60" i="11"/>
  <c r="BT4" i="11"/>
  <c r="BG60" i="11"/>
  <c r="BA82" i="11"/>
  <c r="BA52" i="11"/>
  <c r="BM60" i="11"/>
  <c r="BM81" i="11"/>
  <c r="BM4" i="11"/>
  <c r="BI82" i="11"/>
  <c r="BI52" i="11"/>
  <c r="BN82" i="11"/>
  <c r="BN56" i="11"/>
  <c r="BN52" i="11"/>
  <c r="BE60" i="11"/>
  <c r="BE81" i="11"/>
  <c r="BE4" i="11"/>
  <c r="BQ56" i="11"/>
  <c r="BQ59" i="11"/>
  <c r="BO4" i="8"/>
  <c r="BO55" i="8"/>
  <c r="BO59" i="8"/>
  <c r="BO82" i="8"/>
  <c r="BO44" i="8"/>
  <c r="BO56" i="8"/>
  <c r="BO60" i="8"/>
  <c r="BO83" i="8"/>
  <c r="BO52" i="8"/>
  <c r="BO80" i="8"/>
  <c r="BO53" i="8"/>
  <c r="BT4" i="8"/>
  <c r="BT53" i="8"/>
  <c r="BT55" i="8"/>
  <c r="BT59" i="8"/>
  <c r="BT82" i="8"/>
  <c r="BT44" i="8"/>
  <c r="BT56" i="8"/>
  <c r="BT60" i="8"/>
  <c r="BT83" i="8"/>
  <c r="BT52" i="8"/>
  <c r="BT80" i="8"/>
  <c r="BN59" i="6"/>
  <c r="BN4" i="6"/>
  <c r="BN57" i="6"/>
  <c r="BN45" i="6"/>
  <c r="BN44" i="6" s="1"/>
  <c r="BN53" i="6"/>
  <c r="BB4" i="8"/>
  <c r="BB44" i="8"/>
  <c r="BB56" i="8"/>
  <c r="BB60" i="8"/>
  <c r="BB83" i="8"/>
  <c r="BB52" i="8"/>
  <c r="BB80" i="8"/>
  <c r="BB53" i="8"/>
  <c r="BB55" i="8"/>
  <c r="BB59" i="8"/>
  <c r="BB82" i="8"/>
  <c r="BG4" i="8"/>
  <c r="BG55" i="8"/>
  <c r="BG59" i="8"/>
  <c r="BG82" i="8"/>
  <c r="BG44" i="8"/>
  <c r="BG56" i="8"/>
  <c r="BG60" i="8"/>
  <c r="BG83" i="8"/>
  <c r="BG52" i="8"/>
  <c r="BG80" i="8"/>
  <c r="BG53" i="8"/>
  <c r="BP4" i="8"/>
  <c r="BP53" i="8"/>
  <c r="BP55" i="8"/>
  <c r="BP59" i="8"/>
  <c r="BP82" i="8"/>
  <c r="BP56" i="8"/>
  <c r="BP60" i="8"/>
  <c r="BP83" i="8"/>
  <c r="BP52" i="8"/>
  <c r="BP80" i="8"/>
  <c r="BF60" i="7"/>
  <c r="BF57" i="7"/>
  <c r="BF46" i="7"/>
  <c r="BF53" i="7"/>
  <c r="BF4" i="7"/>
  <c r="BF56" i="7"/>
  <c r="BF52" i="7"/>
  <c r="BH4" i="8"/>
  <c r="BH53" i="8"/>
  <c r="BH55" i="8"/>
  <c r="BH59" i="8"/>
  <c r="BH82" i="8"/>
  <c r="BH44" i="8"/>
  <c r="BH56" i="8"/>
  <c r="BH60" i="8"/>
  <c r="BH83" i="8"/>
  <c r="BH52" i="8"/>
  <c r="BH80" i="8"/>
  <c r="BA39" i="5"/>
  <c r="BA45" i="5" s="1"/>
  <c r="BJ4" i="6"/>
  <c r="BJ57" i="6"/>
  <c r="BJ58" i="6"/>
  <c r="BJ81" i="6"/>
  <c r="BJ79" i="6"/>
  <c r="BJ53" i="6"/>
  <c r="BJ59" i="6"/>
  <c r="BJ52" i="6"/>
  <c r="BJ82" i="6"/>
  <c r="BJ45" i="6"/>
  <c r="BJ44" i="6" s="1"/>
  <c r="BJ56" i="6"/>
  <c r="AY80" i="5"/>
  <c r="AY83" i="5"/>
  <c r="AY82" i="5"/>
  <c r="BB81" i="5"/>
  <c r="BU82" i="11"/>
  <c r="BU52" i="11"/>
  <c r="BT52" i="11"/>
  <c r="BT56" i="11"/>
  <c r="BG82" i="11"/>
  <c r="BG52" i="11"/>
  <c r="BG55" i="11"/>
  <c r="BA60" i="11"/>
  <c r="BA81" i="11"/>
  <c r="BA4" i="11"/>
  <c r="BM56" i="11"/>
  <c r="BM59" i="11"/>
  <c r="BI60" i="11"/>
  <c r="BI81" i="11"/>
  <c r="BI4" i="11"/>
  <c r="BN57" i="11"/>
  <c r="BN81" i="11"/>
  <c r="BN4" i="11"/>
  <c r="BE56" i="11"/>
  <c r="BE59" i="11"/>
  <c r="BQ57" i="11"/>
  <c r="BQ53" i="11"/>
  <c r="BQ55" i="11"/>
  <c r="AZ82" i="5"/>
  <c r="AZ80" i="5"/>
  <c r="AZ83" i="5"/>
  <c r="AX5" i="8"/>
  <c r="AX7" i="8" s="1"/>
  <c r="BC4" i="8"/>
  <c r="BC55" i="8"/>
  <c r="BC59" i="8"/>
  <c r="BC82" i="8"/>
  <c r="BC56" i="8"/>
  <c r="BC60" i="8"/>
  <c r="BC83" i="8"/>
  <c r="BC52" i="8"/>
  <c r="BC80" i="8"/>
  <c r="BC53" i="8"/>
  <c r="BA4" i="8"/>
  <c r="BA52" i="8"/>
  <c r="BA57" i="8"/>
  <c r="BA80" i="8"/>
  <c r="BA53" i="8"/>
  <c r="BA55" i="8"/>
  <c r="BA59" i="8"/>
  <c r="BA82" i="8"/>
  <c r="BA44" i="8"/>
  <c r="BA56" i="8"/>
  <c r="BA83" i="8"/>
  <c r="BA60" i="8"/>
  <c r="BF4" i="8"/>
  <c r="BF44" i="8"/>
  <c r="BF56" i="8"/>
  <c r="BF60" i="8"/>
  <c r="BF83" i="8"/>
  <c r="BF52" i="8"/>
  <c r="BF80" i="8"/>
  <c r="BF53" i="8"/>
  <c r="BF55" i="8"/>
  <c r="BF59" i="8"/>
  <c r="BF82" i="8"/>
  <c r="BQ4" i="8"/>
  <c r="BQ52" i="8"/>
  <c r="BQ80" i="8"/>
  <c r="BQ53" i="8"/>
  <c r="BQ55" i="8"/>
  <c r="BQ59" i="8"/>
  <c r="BQ82" i="8"/>
  <c r="BQ60" i="8"/>
  <c r="BQ44" i="8"/>
  <c r="BQ56" i="8"/>
  <c r="BQ83" i="8"/>
  <c r="BE4" i="8"/>
  <c r="BE52" i="8"/>
  <c r="BE80" i="8"/>
  <c r="BE53" i="8"/>
  <c r="BE55" i="8"/>
  <c r="BE59" i="8"/>
  <c r="BE82" i="8"/>
  <c r="BE44" i="8"/>
  <c r="BE56" i="8"/>
  <c r="BE60" i="8"/>
  <c r="BE83" i="8"/>
  <c r="BU60" i="11"/>
  <c r="BU81" i="11"/>
  <c r="BT55" i="11"/>
  <c r="BT57" i="11"/>
  <c r="BG59" i="11"/>
  <c r="BG56" i="11"/>
  <c r="BA56" i="11"/>
  <c r="BM57" i="11"/>
  <c r="BM53" i="11"/>
  <c r="BI56" i="11"/>
  <c r="BN53" i="11"/>
  <c r="BE57" i="11"/>
  <c r="BE53" i="11"/>
  <c r="BQ82" i="11"/>
  <c r="BM4" i="8"/>
  <c r="BM52" i="8"/>
  <c r="BM80" i="8"/>
  <c r="BM53" i="8"/>
  <c r="BM55" i="8"/>
  <c r="BM59" i="8"/>
  <c r="BM82" i="8"/>
  <c r="BM44" i="8"/>
  <c r="BM56" i="8"/>
  <c r="BM60" i="8"/>
  <c r="BM83" i="8"/>
  <c r="BN4" i="8"/>
  <c r="BN56" i="8"/>
  <c r="BN60" i="8"/>
  <c r="BN83" i="8"/>
  <c r="BN52" i="8"/>
  <c r="BN80" i="8"/>
  <c r="BN53" i="8"/>
  <c r="BN55" i="8"/>
  <c r="BN59" i="8"/>
  <c r="BN82" i="8"/>
  <c r="BD4" i="8"/>
  <c r="BD53" i="8"/>
  <c r="BD55" i="8"/>
  <c r="BD59" i="8"/>
  <c r="BD82" i="8"/>
  <c r="BD44" i="8"/>
  <c r="BD56" i="8"/>
  <c r="BD60" i="8"/>
  <c r="BD83" i="8"/>
  <c r="BD52" i="8"/>
  <c r="BD80" i="8"/>
  <c r="BS4" i="8"/>
  <c r="BS55" i="8"/>
  <c r="BS59" i="8"/>
  <c r="BS82" i="8"/>
  <c r="BS44" i="8"/>
  <c r="BS56" i="8"/>
  <c r="BS60" i="8"/>
  <c r="BS83" i="8"/>
  <c r="BS52" i="8"/>
  <c r="BS80" i="8"/>
  <c r="BS53" i="8"/>
  <c r="BI4" i="8"/>
  <c r="BI52" i="8"/>
  <c r="BI80" i="8"/>
  <c r="BI53" i="8"/>
  <c r="BI55" i="8"/>
  <c r="BI59" i="8"/>
  <c r="BI82" i="8"/>
  <c r="BI44" i="8"/>
  <c r="BI56" i="8"/>
  <c r="BI60" i="8"/>
  <c r="BI83" i="8"/>
  <c r="BJ4" i="8"/>
  <c r="BJ56" i="8"/>
  <c r="BJ60" i="8"/>
  <c r="BJ83" i="8"/>
  <c r="BJ52" i="8"/>
  <c r="BJ80" i="8"/>
  <c r="BJ53" i="8"/>
  <c r="BJ59" i="8"/>
  <c r="BJ55" i="8"/>
  <c r="BJ82" i="8"/>
  <c r="AZ4" i="8"/>
  <c r="AZ53" i="8"/>
  <c r="AZ55" i="8"/>
  <c r="AZ59" i="8"/>
  <c r="AZ82" i="8"/>
  <c r="AZ44" i="8"/>
  <c r="AZ56" i="8"/>
  <c r="AZ60" i="8"/>
  <c r="AZ83" i="8"/>
  <c r="AZ52" i="8"/>
  <c r="AZ57" i="8"/>
  <c r="AZ80" i="8"/>
  <c r="AY4" i="8"/>
  <c r="AY55" i="8"/>
  <c r="AY59" i="8"/>
  <c r="AY82" i="8"/>
  <c r="AY44" i="8"/>
  <c r="AY56" i="8"/>
  <c r="AY60" i="8"/>
  <c r="AY83" i="8"/>
  <c r="AY52" i="8"/>
  <c r="AY57" i="8"/>
  <c r="AY80" i="8"/>
  <c r="AY53" i="8"/>
  <c r="BR4" i="8"/>
  <c r="BR56" i="8"/>
  <c r="BR60" i="8"/>
  <c r="BR83" i="8"/>
  <c r="BR52" i="8"/>
  <c r="BR80" i="8"/>
  <c r="BR53" i="8"/>
  <c r="BR55" i="8"/>
  <c r="BR59" i="8"/>
  <c r="BR82" i="8"/>
  <c r="BB57" i="11"/>
  <c r="BB53" i="11"/>
  <c r="BB55" i="11"/>
  <c r="AZ59" i="11"/>
  <c r="AZ56" i="11"/>
  <c r="BC59" i="11"/>
  <c r="BC55" i="11"/>
  <c r="BC4" i="11"/>
  <c r="BB56" i="11"/>
  <c r="BB52" i="11"/>
  <c r="AZ81" i="11"/>
  <c r="AZ57" i="11"/>
  <c r="AZ53" i="11"/>
  <c r="BC53" i="11"/>
  <c r="BC81" i="11"/>
  <c r="BB60" i="11"/>
  <c r="BB81" i="11"/>
  <c r="AZ55" i="11"/>
  <c r="AZ82" i="11"/>
  <c r="BC56" i="11"/>
  <c r="BD77" i="12"/>
  <c r="BC76" i="12"/>
  <c r="BC72" i="12"/>
  <c r="BB71" i="12"/>
  <c r="BB67" i="12" s="1"/>
  <c r="BA67" i="12"/>
  <c r="BD74" i="12"/>
  <c r="BC73" i="12"/>
  <c r="CM3" i="14"/>
  <c r="CL11" i="14"/>
  <c r="CL17" i="14"/>
  <c r="CL19" i="14"/>
  <c r="CL28" i="14"/>
  <c r="CL30" i="14"/>
  <c r="AZ87" i="12"/>
  <c r="BA88" i="12"/>
  <c r="BB80" i="11"/>
  <c r="BB81" i="8"/>
  <c r="BB80" i="7"/>
  <c r="BB80" i="6"/>
  <c r="BN44" i="11" l="1"/>
  <c r="AX62" i="12"/>
  <c r="AZ95" i="12"/>
  <c r="AY95" i="12"/>
  <c r="BH51" i="6"/>
  <c r="AZ98" i="12"/>
  <c r="BB92" i="12"/>
  <c r="AY98" i="12"/>
  <c r="AX10" i="8"/>
  <c r="AX65" i="12"/>
  <c r="AX4" i="12"/>
  <c r="AY4" i="12"/>
  <c r="AM43" i="21"/>
  <c r="AN41" i="21" s="1"/>
  <c r="AM39" i="21" s="1"/>
  <c r="AM38" i="21" s="1"/>
  <c r="AS5" i="14" s="1"/>
  <c r="CN3" i="14"/>
  <c r="CM14" i="14"/>
  <c r="BE51" i="7"/>
  <c r="BS51" i="6"/>
  <c r="BJ51" i="11"/>
  <c r="BO51" i="11"/>
  <c r="AZ51" i="6"/>
  <c r="AZ44" i="7"/>
  <c r="AZ55" i="12" s="1"/>
  <c r="BL51" i="11"/>
  <c r="BS51" i="11"/>
  <c r="BT51" i="8"/>
  <c r="BP5" i="6"/>
  <c r="BP7" i="6" s="1"/>
  <c r="BP8" i="6" s="1"/>
  <c r="BT51" i="6"/>
  <c r="AZ48" i="12"/>
  <c r="AY83" i="6"/>
  <c r="AY12" i="6" s="1"/>
  <c r="BD51" i="8"/>
  <c r="BI51" i="7"/>
  <c r="BC51" i="11"/>
  <c r="BG51" i="7"/>
  <c r="AX10" i="6"/>
  <c r="BT51" i="11"/>
  <c r="AY83" i="7"/>
  <c r="AY12" i="7" s="1"/>
  <c r="BQ51" i="11"/>
  <c r="BP51" i="8"/>
  <c r="AZ5" i="11"/>
  <c r="AZ7" i="11" s="1"/>
  <c r="AZ8" i="11" s="1"/>
  <c r="BR51" i="6"/>
  <c r="BD51" i="7"/>
  <c r="BF7" i="11"/>
  <c r="BF8" i="11" s="1"/>
  <c r="BM44" i="7"/>
  <c r="BT51" i="7"/>
  <c r="BU44" i="7"/>
  <c r="AZ51" i="8"/>
  <c r="AY55" i="6"/>
  <c r="BG5" i="6"/>
  <c r="BG7" i="6" s="1"/>
  <c r="BG8" i="6" s="1"/>
  <c r="BO51" i="6"/>
  <c r="BQ51" i="6"/>
  <c r="BS55" i="6"/>
  <c r="BS10" i="6" s="1"/>
  <c r="BS5" i="6"/>
  <c r="BS7" i="6" s="1"/>
  <c r="BS8" i="6" s="1"/>
  <c r="BE51" i="6"/>
  <c r="BT55" i="6"/>
  <c r="BT10" i="6" s="1"/>
  <c r="BA51" i="11"/>
  <c r="BT5" i="11"/>
  <c r="BT7" i="11" s="1"/>
  <c r="BT8" i="11" s="1"/>
  <c r="BM51" i="11"/>
  <c r="BG44" i="7"/>
  <c r="BB44" i="7"/>
  <c r="BL44" i="7"/>
  <c r="BA51" i="7"/>
  <c r="BK51" i="7"/>
  <c r="BE55" i="6"/>
  <c r="BE10" i="6" s="1"/>
  <c r="BH55" i="6"/>
  <c r="BB5" i="6"/>
  <c r="BB7" i="6" s="1"/>
  <c r="BB8" i="6" s="1"/>
  <c r="BG51" i="6"/>
  <c r="BR55" i="6"/>
  <c r="BR10" i="6" s="1"/>
  <c r="BB55" i="6"/>
  <c r="BB10" i="6" s="1"/>
  <c r="BB51" i="6"/>
  <c r="BT5" i="6"/>
  <c r="BT7" i="6" s="1"/>
  <c r="BT8" i="6" s="1"/>
  <c r="AY51" i="6"/>
  <c r="AY5" i="6"/>
  <c r="AY7" i="6" s="1"/>
  <c r="AY8" i="6" s="1"/>
  <c r="BP51" i="6"/>
  <c r="AZ51" i="11"/>
  <c r="BP5" i="11"/>
  <c r="BP7" i="11" s="1"/>
  <c r="BP8" i="11" s="1"/>
  <c r="BL7" i="11"/>
  <c r="BL8" i="11" s="1"/>
  <c r="BJ44" i="7"/>
  <c r="BM51" i="7"/>
  <c r="BQ51" i="7"/>
  <c r="BD44" i="7"/>
  <c r="BA44" i="7"/>
  <c r="BS51" i="7"/>
  <c r="BR44" i="7"/>
  <c r="BH44" i="7"/>
  <c r="BO5" i="11"/>
  <c r="BO7" i="11" s="1"/>
  <c r="BO8" i="11" s="1"/>
  <c r="BE51" i="11"/>
  <c r="BP54" i="11"/>
  <c r="BP10" i="11" s="1"/>
  <c r="BM5" i="11"/>
  <c r="BM7" i="11" s="1"/>
  <c r="BM8" i="11" s="1"/>
  <c r="BG51" i="11"/>
  <c r="BU54" i="7"/>
  <c r="BK44" i="7"/>
  <c r="BK5" i="7" s="1"/>
  <c r="BK7" i="7" s="1"/>
  <c r="BK8" i="7" s="1"/>
  <c r="BE54" i="7"/>
  <c r="BC5" i="6"/>
  <c r="BC7" i="6" s="1"/>
  <c r="BC8" i="6" s="1"/>
  <c r="BT44" i="7"/>
  <c r="BP51" i="11"/>
  <c r="BO54" i="11"/>
  <c r="BA51" i="6"/>
  <c r="BU51" i="6"/>
  <c r="BO5" i="6"/>
  <c r="BO7" i="6" s="1"/>
  <c r="BO8" i="6" s="1"/>
  <c r="BQ55" i="6"/>
  <c r="BQ10" i="6" s="1"/>
  <c r="BH51" i="7"/>
  <c r="BL51" i="7"/>
  <c r="AZ51" i="5"/>
  <c r="BF51" i="7"/>
  <c r="BA54" i="11"/>
  <c r="BA10" i="11" s="1"/>
  <c r="BU51" i="11"/>
  <c r="BF44" i="7"/>
  <c r="BE5" i="6"/>
  <c r="BE7" i="6" s="1"/>
  <c r="BE8" i="6" s="1"/>
  <c r="CM26" i="14"/>
  <c r="BI51" i="11"/>
  <c r="BF54" i="11"/>
  <c r="BF51" i="11"/>
  <c r="BJ54" i="11"/>
  <c r="BH5" i="11"/>
  <c r="BH7" i="11" s="1"/>
  <c r="BH8" i="11" s="1"/>
  <c r="AY51" i="11"/>
  <c r="BH51" i="11"/>
  <c r="BN54" i="11"/>
  <c r="BD51" i="11"/>
  <c r="BR54" i="11"/>
  <c r="BR10" i="11" s="1"/>
  <c r="BS54" i="11"/>
  <c r="BS10" i="11" s="1"/>
  <c r="BU51" i="7"/>
  <c r="BB51" i="7"/>
  <c r="AY51" i="7"/>
  <c r="BN54" i="7"/>
  <c r="BN10" i="7" s="1"/>
  <c r="BM54" i="7"/>
  <c r="BM10" i="7" s="1"/>
  <c r="AY44" i="7"/>
  <c r="AY55" i="12" s="1"/>
  <c r="BN51" i="7"/>
  <c r="BC54" i="7"/>
  <c r="BC10" i="7" s="1"/>
  <c r="BR54" i="7"/>
  <c r="BR10" i="7" s="1"/>
  <c r="BG54" i="7"/>
  <c r="BG10" i="7" s="1"/>
  <c r="BB54" i="7"/>
  <c r="BB10" i="7" s="1"/>
  <c r="BP54" i="7"/>
  <c r="BP10" i="7" s="1"/>
  <c r="AZ83" i="7"/>
  <c r="AZ12" i="7" s="1"/>
  <c r="BA54" i="7"/>
  <c r="BA10" i="7" s="1"/>
  <c r="BL54" i="7"/>
  <c r="BL10" i="7" s="1"/>
  <c r="BO51" i="7"/>
  <c r="BQ54" i="7"/>
  <c r="BQ10" i="7" s="1"/>
  <c r="BJ51" i="7"/>
  <c r="BO54" i="7"/>
  <c r="BR51" i="7"/>
  <c r="BC44" i="7"/>
  <c r="BT54" i="7"/>
  <c r="BT10" i="7" s="1"/>
  <c r="BS44" i="7"/>
  <c r="BK54" i="7"/>
  <c r="BK10" i="7" s="1"/>
  <c r="BH54" i="7"/>
  <c r="BD54" i="7"/>
  <c r="BD10" i="7" s="1"/>
  <c r="BN44" i="7"/>
  <c r="AZ55" i="6"/>
  <c r="BH5" i="6"/>
  <c r="BH7" i="6" s="1"/>
  <c r="BH8" i="6" s="1"/>
  <c r="BI55" i="6"/>
  <c r="BU5" i="6"/>
  <c r="BU7" i="6" s="1"/>
  <c r="BU8" i="6" s="1"/>
  <c r="BK55" i="6"/>
  <c r="BK10" i="6" s="1"/>
  <c r="BC55" i="6"/>
  <c r="BN51" i="6"/>
  <c r="BR5" i="6"/>
  <c r="BR7" i="6" s="1"/>
  <c r="BR8" i="6" s="1"/>
  <c r="BF51" i="6"/>
  <c r="BQ5" i="6"/>
  <c r="BQ7" i="6" s="1"/>
  <c r="BQ8" i="6" s="1"/>
  <c r="BC51" i="6"/>
  <c r="BO55" i="6"/>
  <c r="BO10" i="6" s="1"/>
  <c r="BM51" i="6"/>
  <c r="BA55" i="6"/>
  <c r="BA10" i="6" s="1"/>
  <c r="BG55" i="6"/>
  <c r="BL51" i="6"/>
  <c r="BK51" i="6"/>
  <c r="AZ55" i="5"/>
  <c r="AZ10" i="5" s="1"/>
  <c r="BS54" i="7"/>
  <c r="BD5" i="11"/>
  <c r="BD7" i="11" s="1"/>
  <c r="BD8" i="11" s="1"/>
  <c r="BK5" i="6"/>
  <c r="BK7" i="6" s="1"/>
  <c r="BK8" i="6" s="1"/>
  <c r="BI51" i="6"/>
  <c r="BJ51" i="8"/>
  <c r="BI51" i="8"/>
  <c r="BI5" i="6"/>
  <c r="BI7" i="6" s="1"/>
  <c r="BI8" i="6" s="1"/>
  <c r="BP44" i="7"/>
  <c r="BD54" i="11"/>
  <c r="BD10" i="11" s="1"/>
  <c r="BU55" i="6"/>
  <c r="BU10" i="6" s="1"/>
  <c r="BR51" i="11"/>
  <c r="BL55" i="6"/>
  <c r="BF55" i="6"/>
  <c r="BF10" i="6" s="1"/>
  <c r="AY55" i="5"/>
  <c r="BC51" i="7"/>
  <c r="BJ54" i="7"/>
  <c r="BJ10" i="7" s="1"/>
  <c r="BI54" i="7"/>
  <c r="AY51" i="5"/>
  <c r="BI54" i="11"/>
  <c r="BI10" i="11" s="1"/>
  <c r="BE5" i="11"/>
  <c r="BE7" i="11" s="1"/>
  <c r="BE8" i="11" s="1"/>
  <c r="BK54" i="11"/>
  <c r="BL54" i="11"/>
  <c r="BD55" i="6"/>
  <c r="BP55" i="6"/>
  <c r="BD51" i="6"/>
  <c r="BU54" i="11"/>
  <c r="BU10" i="11" s="1"/>
  <c r="BA5" i="6"/>
  <c r="BA7" i="6" s="1"/>
  <c r="BA8" i="6" s="1"/>
  <c r="BE54" i="11"/>
  <c r="BE10" i="11" s="1"/>
  <c r="AY54" i="7"/>
  <c r="AZ54" i="7"/>
  <c r="BQ54" i="11"/>
  <c r="BM55" i="6"/>
  <c r="BM10" i="6" s="1"/>
  <c r="BR7" i="11"/>
  <c r="BR8" i="11" s="1"/>
  <c r="BA83" i="11"/>
  <c r="BA12" i="11" s="1"/>
  <c r="BL5" i="6"/>
  <c r="BL7" i="6" s="1"/>
  <c r="BL8" i="6" s="1"/>
  <c r="BE51" i="8"/>
  <c r="BB51" i="8"/>
  <c r="BD5" i="6"/>
  <c r="BD7" i="6" s="1"/>
  <c r="BD8" i="6" s="1"/>
  <c r="AZ51" i="7"/>
  <c r="BP51" i="7"/>
  <c r="BK51" i="11"/>
  <c r="BC54" i="11"/>
  <c r="BC10" i="11" s="1"/>
  <c r="BH54" i="11"/>
  <c r="BJ5" i="11"/>
  <c r="BJ7" i="11" s="1"/>
  <c r="BJ8" i="11" s="1"/>
  <c r="BS7" i="11"/>
  <c r="BS8" i="11" s="1"/>
  <c r="BM5" i="6"/>
  <c r="BM7" i="6" s="1"/>
  <c r="BM8" i="6" s="1"/>
  <c r="BF5" i="6"/>
  <c r="BF7" i="6" s="1"/>
  <c r="BF8" i="6" s="1"/>
  <c r="BB51" i="11"/>
  <c r="AY5" i="11"/>
  <c r="AY7" i="11" s="1"/>
  <c r="AY8" i="11" s="1"/>
  <c r="AY54" i="11"/>
  <c r="AY83" i="11"/>
  <c r="AY12" i="11" s="1"/>
  <c r="BK5" i="11"/>
  <c r="BK7" i="11" s="1"/>
  <c r="BK8" i="11" s="1"/>
  <c r="BB54" i="8"/>
  <c r="BN51" i="8"/>
  <c r="BM51" i="8"/>
  <c r="BH51" i="8"/>
  <c r="BA83" i="7"/>
  <c r="BA12" i="7" s="1"/>
  <c r="BA83" i="6"/>
  <c r="BA12" i="6" s="1"/>
  <c r="AZ83" i="6"/>
  <c r="AZ12" i="6" s="1"/>
  <c r="AZ5" i="6"/>
  <c r="AZ7" i="6" s="1"/>
  <c r="AZ8" i="6" s="1"/>
  <c r="BN55" i="6"/>
  <c r="BJ55" i="6"/>
  <c r="BA44" i="12"/>
  <c r="BA48" i="12" s="1"/>
  <c r="AZ84" i="8"/>
  <c r="AZ12" i="8" s="1"/>
  <c r="BQ51" i="8"/>
  <c r="BF51" i="8"/>
  <c r="BA51" i="8"/>
  <c r="BL51" i="8"/>
  <c r="BN51" i="11"/>
  <c r="BM54" i="11"/>
  <c r="BK51" i="8"/>
  <c r="AZ54" i="11"/>
  <c r="AZ10" i="11" s="1"/>
  <c r="AY84" i="8"/>
  <c r="AY12" i="8" s="1"/>
  <c r="BJ54" i="8"/>
  <c r="BG54" i="11"/>
  <c r="BT54" i="11"/>
  <c r="BC51" i="8"/>
  <c r="BJ51" i="6"/>
  <c r="BG51" i="8"/>
  <c r="BU51" i="8"/>
  <c r="BB54" i="11"/>
  <c r="BB10" i="11" s="1"/>
  <c r="AY51" i="8"/>
  <c r="AY5" i="8"/>
  <c r="AY7" i="8" s="1"/>
  <c r="AY8" i="8" s="1"/>
  <c r="BI5" i="8"/>
  <c r="BI7" i="8" s="1"/>
  <c r="BI8" i="8" s="1"/>
  <c r="BS54" i="8"/>
  <c r="BM5" i="8"/>
  <c r="BM7" i="8" s="1"/>
  <c r="BM8" i="8" s="1"/>
  <c r="BB83" i="6"/>
  <c r="BB12" i="6" s="1"/>
  <c r="BE5" i="8"/>
  <c r="BE7" i="8" s="1"/>
  <c r="BE8" i="8" s="1"/>
  <c r="BA5" i="8"/>
  <c r="BA7" i="8" s="1"/>
  <c r="BA8" i="8" s="1"/>
  <c r="BC5" i="8"/>
  <c r="BC7" i="8" s="1"/>
  <c r="BC8" i="8" s="1"/>
  <c r="BJ5" i="6"/>
  <c r="BJ7" i="6" s="1"/>
  <c r="BJ8" i="6" s="1"/>
  <c r="BH54" i="8"/>
  <c r="BP54" i="8"/>
  <c r="BB84" i="8"/>
  <c r="BB12" i="8" s="1"/>
  <c r="BT5" i="8"/>
  <c r="BT7" i="8" s="1"/>
  <c r="BT8" i="8" s="1"/>
  <c r="BO54" i="8"/>
  <c r="BI5" i="11"/>
  <c r="BI7" i="11" s="1"/>
  <c r="BI8" i="11" s="1"/>
  <c r="BU5" i="8"/>
  <c r="BU7" i="8" s="1"/>
  <c r="BU8" i="8" s="1"/>
  <c r="BL54" i="8"/>
  <c r="BQ5" i="7"/>
  <c r="BQ7" i="7" s="1"/>
  <c r="BQ8" i="7" s="1"/>
  <c r="BB83" i="7"/>
  <c r="BB12" i="7" s="1"/>
  <c r="BR54" i="8"/>
  <c r="BR51" i="8"/>
  <c r="BR5" i="8"/>
  <c r="BR7" i="8" s="1"/>
  <c r="BR8" i="8" s="1"/>
  <c r="AX8" i="8"/>
  <c r="BS51" i="8"/>
  <c r="BS5" i="8"/>
  <c r="BS7" i="8" s="1"/>
  <c r="BS8" i="8" s="1"/>
  <c r="BA84" i="8"/>
  <c r="BA12" i="8" s="1"/>
  <c r="BA82" i="5"/>
  <c r="BA95" i="12" s="1"/>
  <c r="BA80" i="5"/>
  <c r="BA83" i="5"/>
  <c r="BA98" i="12" s="1"/>
  <c r="BA52" i="5"/>
  <c r="BA60" i="5"/>
  <c r="BA44" i="5"/>
  <c r="BA58" i="5"/>
  <c r="BA4" i="5"/>
  <c r="BA56" i="5"/>
  <c r="BA53" i="5"/>
  <c r="BA59" i="5"/>
  <c r="BH5" i="8"/>
  <c r="BH7" i="8" s="1"/>
  <c r="BH8" i="8" s="1"/>
  <c r="BF54" i="7"/>
  <c r="BP5" i="8"/>
  <c r="BP7" i="8" s="1"/>
  <c r="BP8" i="8" s="1"/>
  <c r="BG54" i="8"/>
  <c r="BO51" i="8"/>
  <c r="BO5" i="8"/>
  <c r="BO7" i="8" s="1"/>
  <c r="BO8" i="8" s="1"/>
  <c r="BG5" i="11"/>
  <c r="BG7" i="11" s="1"/>
  <c r="BG8" i="11" s="1"/>
  <c r="BL5" i="8"/>
  <c r="BL7" i="8" s="1"/>
  <c r="BL8" i="8" s="1"/>
  <c r="BK54" i="8"/>
  <c r="AZ54" i="8"/>
  <c r="BD54" i="8"/>
  <c r="BQ5" i="11"/>
  <c r="BQ7" i="11" s="1"/>
  <c r="BQ8" i="11" s="1"/>
  <c r="BU5" i="11"/>
  <c r="BU7" i="11" s="1"/>
  <c r="BU8" i="11" s="1"/>
  <c r="BC81" i="5"/>
  <c r="BG5" i="8"/>
  <c r="BG7" i="8" s="1"/>
  <c r="BG8" i="8" s="1"/>
  <c r="BB39" i="5"/>
  <c r="BB45" i="5" s="1"/>
  <c r="BB5" i="8"/>
  <c r="BB7" i="8" s="1"/>
  <c r="BB8" i="8" s="1"/>
  <c r="BN5" i="6"/>
  <c r="BN7" i="6" s="1"/>
  <c r="BN8" i="6" s="1"/>
  <c r="BA5" i="11"/>
  <c r="BA7" i="11" s="1"/>
  <c r="BA8" i="11" s="1"/>
  <c r="BK5" i="8"/>
  <c r="BK7" i="8" s="1"/>
  <c r="BK8" i="8" s="1"/>
  <c r="BB5" i="11"/>
  <c r="BB7" i="11" s="1"/>
  <c r="BB8" i="11" s="1"/>
  <c r="AY54" i="8"/>
  <c r="AZ5" i="8"/>
  <c r="AZ7" i="8" s="1"/>
  <c r="AZ8" i="8" s="1"/>
  <c r="BJ5" i="8"/>
  <c r="BJ7" i="8" s="1"/>
  <c r="BJ8" i="8" s="1"/>
  <c r="BI54" i="8"/>
  <c r="BD5" i="8"/>
  <c r="BD7" i="8" s="1"/>
  <c r="BD8" i="8" s="1"/>
  <c r="BN54" i="8"/>
  <c r="BN5" i="8"/>
  <c r="BN7" i="8" s="1"/>
  <c r="BN8" i="8" s="1"/>
  <c r="BM54" i="8"/>
  <c r="BE54" i="8"/>
  <c r="BQ5" i="8"/>
  <c r="BQ7" i="8" s="1"/>
  <c r="BQ8" i="8" s="1"/>
  <c r="BQ54" i="8"/>
  <c r="BF54" i="8"/>
  <c r="BF5" i="8"/>
  <c r="BF7" i="8" s="1"/>
  <c r="BF8" i="8" s="1"/>
  <c r="BA54" i="8"/>
  <c r="BC54" i="8"/>
  <c r="AZ84" i="5"/>
  <c r="AZ12" i="5" s="1"/>
  <c r="AY84" i="5"/>
  <c r="AY12" i="5" s="1"/>
  <c r="BT54" i="8"/>
  <c r="AZ5" i="5"/>
  <c r="AZ7" i="5" s="1"/>
  <c r="AZ8" i="5" s="1"/>
  <c r="BU54" i="8"/>
  <c r="AY5" i="5"/>
  <c r="AY7" i="5" s="1"/>
  <c r="AY8" i="5" s="1"/>
  <c r="BB83" i="11"/>
  <c r="BB12" i="11" s="1"/>
  <c r="BC7" i="11"/>
  <c r="BC8" i="11" s="1"/>
  <c r="AZ83" i="11"/>
  <c r="AZ12" i="11" s="1"/>
  <c r="BD76" i="12"/>
  <c r="BE77" i="12"/>
  <c r="BC71" i="12"/>
  <c r="BD72" i="12"/>
  <c r="BD73" i="12"/>
  <c r="BE74" i="12"/>
  <c r="CM11" i="14"/>
  <c r="CM17" i="14"/>
  <c r="CM28" i="14"/>
  <c r="CM30" i="14"/>
  <c r="CM19" i="14"/>
  <c r="CM13" i="14"/>
  <c r="BB88" i="12"/>
  <c r="BA87" i="12"/>
  <c r="BC80" i="11"/>
  <c r="BC81" i="8"/>
  <c r="AZ5" i="7"/>
  <c r="AZ7" i="7" s="1"/>
  <c r="AZ8" i="7" s="1"/>
  <c r="BI5" i="7"/>
  <c r="BI7" i="7" s="1"/>
  <c r="BI8" i="7" s="1"/>
  <c r="BO5" i="7"/>
  <c r="BO7" i="7" s="1"/>
  <c r="BO8" i="7" s="1"/>
  <c r="BE5" i="7"/>
  <c r="BE7" i="7" s="1"/>
  <c r="BE8" i="7" s="1"/>
  <c r="BC80" i="7"/>
  <c r="BC80" i="6"/>
  <c r="BN10" i="11" l="1"/>
  <c r="BN5" i="11"/>
  <c r="BC92" i="12"/>
  <c r="AY62" i="12"/>
  <c r="BA55" i="12"/>
  <c r="AY65" i="12"/>
  <c r="AZ62" i="12"/>
  <c r="AZ65" i="12"/>
  <c r="BA115" i="12"/>
  <c r="AZ115" i="12"/>
  <c r="AN43" i="21"/>
  <c r="AO41" i="21" s="1"/>
  <c r="AN39" i="21" s="1"/>
  <c r="AN38" i="21" s="1"/>
  <c r="AT5" i="14" s="1"/>
  <c r="AO43" i="21"/>
  <c r="AP41" i="21" s="1"/>
  <c r="AO39" i="21" s="1"/>
  <c r="CN13" i="14"/>
  <c r="CN14" i="14"/>
  <c r="CN30" i="14"/>
  <c r="CN17" i="14"/>
  <c r="CN26" i="14"/>
  <c r="CN19" i="14"/>
  <c r="CN28" i="14"/>
  <c r="CN11" i="14"/>
  <c r="BE10" i="7"/>
  <c r="BB5" i="7"/>
  <c r="BB7" i="7" s="1"/>
  <c r="BB8" i="7" s="1"/>
  <c r="BO10" i="11"/>
  <c r="AZ10" i="6"/>
  <c r="BF10" i="11"/>
  <c r="BU5" i="7"/>
  <c r="BU7" i="7" s="1"/>
  <c r="BU8" i="7" s="1"/>
  <c r="BM5" i="7"/>
  <c r="BM7" i="7" s="1"/>
  <c r="BM8" i="7" s="1"/>
  <c r="BL5" i="7"/>
  <c r="BL7" i="7" s="1"/>
  <c r="BL8" i="7" s="1"/>
  <c r="AY10" i="6"/>
  <c r="BJ10" i="11"/>
  <c r="BH10" i="6"/>
  <c r="BI10" i="6"/>
  <c r="BG5" i="7"/>
  <c r="BG7" i="7" s="1"/>
  <c r="BG8" i="7" s="1"/>
  <c r="BD5" i="7"/>
  <c r="BD7" i="7" s="1"/>
  <c r="BD8" i="7" s="1"/>
  <c r="BR5" i="7"/>
  <c r="BR7" i="7" s="1"/>
  <c r="BR8" i="7" s="1"/>
  <c r="BA5" i="7"/>
  <c r="BA7" i="7" s="1"/>
  <c r="BA8" i="7" s="1"/>
  <c r="BJ5" i="7"/>
  <c r="BJ7" i="7" s="1"/>
  <c r="BJ8" i="7" s="1"/>
  <c r="BC10" i="6"/>
  <c r="BK10" i="11"/>
  <c r="BU10" i="7"/>
  <c r="BT5" i="7"/>
  <c r="BT7" i="7" s="1"/>
  <c r="BT8" i="7" s="1"/>
  <c r="AY5" i="7"/>
  <c r="AY7" i="7" s="1"/>
  <c r="AY8" i="7" s="1"/>
  <c r="BH5" i="7"/>
  <c r="BH7" i="7" s="1"/>
  <c r="BH8" i="7" s="1"/>
  <c r="BN10" i="6"/>
  <c r="BI10" i="7"/>
  <c r="BG10" i="6"/>
  <c r="BH10" i="11"/>
  <c r="BF5" i="7"/>
  <c r="BF7" i="7" s="1"/>
  <c r="BF8" i="7" s="1"/>
  <c r="BH10" i="7"/>
  <c r="BT10" i="11"/>
  <c r="BG10" i="11"/>
  <c r="BL10" i="11"/>
  <c r="BM10" i="11"/>
  <c r="BQ10" i="11"/>
  <c r="BB10" i="8"/>
  <c r="BC5" i="7"/>
  <c r="BC7" i="7" s="1"/>
  <c r="BC8" i="7" s="1"/>
  <c r="AZ10" i="7"/>
  <c r="BP5" i="7"/>
  <c r="BP7" i="7" s="1"/>
  <c r="BP8" i="7" s="1"/>
  <c r="BO10" i="7"/>
  <c r="BN5" i="7"/>
  <c r="BN7" i="7" s="1"/>
  <c r="BN8" i="7" s="1"/>
  <c r="BS5" i="7"/>
  <c r="BS7" i="7" s="1"/>
  <c r="BS8" i="7" s="1"/>
  <c r="AY10" i="7"/>
  <c r="BD10" i="6"/>
  <c r="BL10" i="6"/>
  <c r="CM12" i="14"/>
  <c r="AY10" i="11"/>
  <c r="BJ10" i="8"/>
  <c r="BS10" i="7"/>
  <c r="AY10" i="5"/>
  <c r="BJ10" i="6"/>
  <c r="BP10" i="6"/>
  <c r="BU10" i="8"/>
  <c r="BT10" i="8"/>
  <c r="BN10" i="8"/>
  <c r="AY10" i="8"/>
  <c r="BC39" i="5"/>
  <c r="BC45" i="5" s="1"/>
  <c r="BD10" i="8"/>
  <c r="BA51" i="5"/>
  <c r="BA62" i="12" s="1"/>
  <c r="BH10" i="8"/>
  <c r="BC10" i="8"/>
  <c r="BF10" i="8"/>
  <c r="BM10" i="8"/>
  <c r="BD81" i="5"/>
  <c r="BC84" i="8"/>
  <c r="BC12" i="8" s="1"/>
  <c r="AZ10" i="8"/>
  <c r="BS10" i="8"/>
  <c r="BA10" i="8"/>
  <c r="BQ10" i="8"/>
  <c r="BE10" i="8"/>
  <c r="BB83" i="5"/>
  <c r="BB98" i="12" s="1"/>
  <c r="BB80" i="5"/>
  <c r="BB82" i="5"/>
  <c r="BB95" i="12" s="1"/>
  <c r="BB4" i="5"/>
  <c r="BB58" i="5"/>
  <c r="BB59" i="5"/>
  <c r="BB53" i="5"/>
  <c r="BB60" i="5"/>
  <c r="BB52" i="5"/>
  <c r="BB56" i="5"/>
  <c r="BB44" i="5"/>
  <c r="BB55" i="12" s="1"/>
  <c r="BK10" i="8"/>
  <c r="BF10" i="7"/>
  <c r="BA5" i="5"/>
  <c r="BA7" i="5" s="1"/>
  <c r="BA8" i="5" s="1"/>
  <c r="BL10" i="8"/>
  <c r="BC83" i="6"/>
  <c r="BC12" i="6" s="1"/>
  <c r="BC83" i="7"/>
  <c r="BC12" i="7" s="1"/>
  <c r="BI10" i="8"/>
  <c r="BG10" i="8"/>
  <c r="BA55" i="5"/>
  <c r="BA65" i="12" s="1"/>
  <c r="BA84" i="5"/>
  <c r="BA12" i="5" s="1"/>
  <c r="BR10" i="8"/>
  <c r="BO10" i="8"/>
  <c r="BP10" i="8"/>
  <c r="BC83" i="11"/>
  <c r="BC12" i="11" s="1"/>
  <c r="BE76" i="12"/>
  <c r="BF77" i="12"/>
  <c r="BD71" i="12"/>
  <c r="BD67" i="12" s="1"/>
  <c r="BE72" i="12"/>
  <c r="BC67" i="12"/>
  <c r="BE73" i="12"/>
  <c r="BF74" i="12"/>
  <c r="BB87" i="12"/>
  <c r="BC88" i="12"/>
  <c r="BD80" i="11"/>
  <c r="BD81" i="8"/>
  <c r="BD80" i="7"/>
  <c r="BD80" i="6"/>
  <c r="BN7" i="11" l="1"/>
  <c r="BN8" i="11" s="1"/>
  <c r="BD92" i="12"/>
  <c r="AZ4" i="12"/>
  <c r="BA4" i="12"/>
  <c r="AO38" i="21"/>
  <c r="AU5" i="14" s="1"/>
  <c r="CN12" i="14"/>
  <c r="BD83" i="7"/>
  <c r="BD12" i="7" s="1"/>
  <c r="BB5" i="5"/>
  <c r="BB7" i="5" s="1"/>
  <c r="BB8" i="5" s="1"/>
  <c r="BD39" i="5"/>
  <c r="BD45" i="5" s="1"/>
  <c r="BD83" i="6"/>
  <c r="BD12" i="6" s="1"/>
  <c r="BB55" i="5"/>
  <c r="BB65" i="12" s="1"/>
  <c r="BD84" i="8"/>
  <c r="BD12" i="8" s="1"/>
  <c r="BA10" i="5"/>
  <c r="BB51" i="5"/>
  <c r="BB62" i="12" s="1"/>
  <c r="BB84" i="5"/>
  <c r="BB12" i="5" s="1"/>
  <c r="BE81" i="5"/>
  <c r="BC80" i="5"/>
  <c r="BC83" i="5"/>
  <c r="BC98" i="12" s="1"/>
  <c r="BC82" i="5"/>
  <c r="BC95" i="12" s="1"/>
  <c r="BC59" i="5"/>
  <c r="BC52" i="5"/>
  <c r="BC53" i="5"/>
  <c r="BC60" i="5"/>
  <c r="BC4" i="5"/>
  <c r="BC58" i="5"/>
  <c r="BC56" i="5"/>
  <c r="BC44" i="5"/>
  <c r="BC55" i="12" s="1"/>
  <c r="BD83" i="11"/>
  <c r="BD12" i="11" s="1"/>
  <c r="BG77" i="12"/>
  <c r="BF76" i="12"/>
  <c r="BF72" i="12"/>
  <c r="BE71" i="12"/>
  <c r="BE67" i="12" s="1"/>
  <c r="BG74" i="12"/>
  <c r="BF73" i="12"/>
  <c r="BC87" i="12"/>
  <c r="BD88" i="12"/>
  <c r="BE80" i="11"/>
  <c r="BE81" i="8"/>
  <c r="BE80" i="7"/>
  <c r="BE80" i="6"/>
  <c r="BE92" i="12" l="1"/>
  <c r="BE83" i="7"/>
  <c r="BE12" i="7" s="1"/>
  <c r="BC5" i="5"/>
  <c r="BC7" i="5" s="1"/>
  <c r="BC8" i="5" s="1"/>
  <c r="BC55" i="5"/>
  <c r="BC65" i="12" s="1"/>
  <c r="BD82" i="5"/>
  <c r="BD95" i="12" s="1"/>
  <c r="BD80" i="5"/>
  <c r="BD83" i="5"/>
  <c r="BD98" i="12" s="1"/>
  <c r="BD44" i="5"/>
  <c r="BD55" i="12" s="1"/>
  <c r="BD60" i="5"/>
  <c r="BD53" i="5"/>
  <c r="BD52" i="5"/>
  <c r="BD56" i="5"/>
  <c r="BD59" i="5"/>
  <c r="BD58" i="5"/>
  <c r="BD4" i="5"/>
  <c r="BE83" i="6"/>
  <c r="BE12" i="6" s="1"/>
  <c r="BE84" i="8"/>
  <c r="BE12" i="8" s="1"/>
  <c r="BC51" i="5"/>
  <c r="BC62" i="12" s="1"/>
  <c r="BC84" i="5"/>
  <c r="BC12" i="5" s="1"/>
  <c r="BF81" i="5"/>
  <c r="BB10" i="5"/>
  <c r="BE39" i="5"/>
  <c r="BE45" i="5" s="1"/>
  <c r="BE83" i="11"/>
  <c r="BE12" i="11" s="1"/>
  <c r="BH77" i="12"/>
  <c r="BG76" i="12"/>
  <c r="BG72" i="12"/>
  <c r="BF71" i="12"/>
  <c r="BF67" i="12" s="1"/>
  <c r="BH74" i="12"/>
  <c r="BG73" i="12"/>
  <c r="BE88" i="12"/>
  <c r="BD87" i="12"/>
  <c r="BF80" i="11"/>
  <c r="BF81" i="8"/>
  <c r="BF80" i="7"/>
  <c r="BF80" i="6"/>
  <c r="BF92" i="12" l="1"/>
  <c r="BD51" i="5"/>
  <c r="BD62" i="12" s="1"/>
  <c r="BD55" i="5"/>
  <c r="BE82" i="5"/>
  <c r="BE95" i="12" s="1"/>
  <c r="BE83" i="5"/>
  <c r="BE98" i="12" s="1"/>
  <c r="BE80" i="5"/>
  <c r="BE53" i="5"/>
  <c r="BE58" i="5"/>
  <c r="BE4" i="5"/>
  <c r="BE44" i="5"/>
  <c r="BE55" i="12" s="1"/>
  <c r="BE56" i="5"/>
  <c r="BE52" i="5"/>
  <c r="BE59" i="5"/>
  <c r="BE60" i="5"/>
  <c r="BD5" i="5"/>
  <c r="BD7" i="5" s="1"/>
  <c r="BD8" i="5" s="1"/>
  <c r="BF83" i="6"/>
  <c r="BF12" i="6" s="1"/>
  <c r="BG81" i="5"/>
  <c r="BF39" i="5"/>
  <c r="BF45" i="5" s="1"/>
  <c r="BD84" i="5"/>
  <c r="BD12" i="5" s="1"/>
  <c r="BF84" i="8"/>
  <c r="BF12" i="8" s="1"/>
  <c r="BF83" i="7"/>
  <c r="BF12" i="7" s="1"/>
  <c r="BC10" i="5"/>
  <c r="BF83" i="11"/>
  <c r="BF12" i="11" s="1"/>
  <c r="BH76" i="12"/>
  <c r="BI77" i="12"/>
  <c r="BH72" i="12"/>
  <c r="BG71" i="12"/>
  <c r="BG67" i="12" s="1"/>
  <c r="BH73" i="12"/>
  <c r="BI74" i="12"/>
  <c r="BF88" i="12"/>
  <c r="BE87" i="12"/>
  <c r="BG80" i="11"/>
  <c r="BG81" i="8"/>
  <c r="BG80" i="7"/>
  <c r="BG80" i="6"/>
  <c r="BG92" i="12" l="1"/>
  <c r="BD10" i="5"/>
  <c r="BD65" i="12"/>
  <c r="BE51" i="5"/>
  <c r="BE62" i="12" s="1"/>
  <c r="BF44" i="12"/>
  <c r="BE84" i="5"/>
  <c r="BE12" i="5" s="1"/>
  <c r="BG84" i="8"/>
  <c r="BG12" i="8" s="1"/>
  <c r="BH81" i="5"/>
  <c r="BE5" i="5"/>
  <c r="BE7" i="5" s="1"/>
  <c r="BE8" i="5" s="1"/>
  <c r="BG83" i="6"/>
  <c r="BG12" i="6" s="1"/>
  <c r="BG39" i="5"/>
  <c r="BG45" i="5" s="1"/>
  <c r="BG83" i="7"/>
  <c r="BG12" i="7" s="1"/>
  <c r="BF60" i="5"/>
  <c r="BF82" i="5"/>
  <c r="BF95" i="12" s="1"/>
  <c r="BF80" i="5"/>
  <c r="BF83" i="5"/>
  <c r="BF98" i="12" s="1"/>
  <c r="BF59" i="5"/>
  <c r="BF53" i="5"/>
  <c r="BF44" i="5"/>
  <c r="BF55" i="12" s="1"/>
  <c r="BF52" i="5"/>
  <c r="BF4" i="5"/>
  <c r="BF58" i="5"/>
  <c r="BF56" i="5"/>
  <c r="BE55" i="5"/>
  <c r="BE65" i="12" s="1"/>
  <c r="BG83" i="11"/>
  <c r="BG12" i="11" s="1"/>
  <c r="BI76" i="12"/>
  <c r="BJ77" i="12"/>
  <c r="BH71" i="12"/>
  <c r="BH67" i="12" s="1"/>
  <c r="BI72" i="12"/>
  <c r="BI73" i="12"/>
  <c r="BJ74" i="12"/>
  <c r="BG88" i="12"/>
  <c r="BF87" i="12"/>
  <c r="BH80" i="11"/>
  <c r="BH81" i="8"/>
  <c r="BH80" i="7"/>
  <c r="BH80" i="6"/>
  <c r="BH92" i="12" l="1"/>
  <c r="BF51" i="5"/>
  <c r="BF62" i="12" s="1"/>
  <c r="BG44" i="12"/>
  <c r="BG80" i="5"/>
  <c r="BG83" i="5"/>
  <c r="BG98" i="12" s="1"/>
  <c r="BG82" i="5"/>
  <c r="BG95" i="12" s="1"/>
  <c r="BG59" i="5"/>
  <c r="BG53" i="5"/>
  <c r="BG4" i="5"/>
  <c r="BG56" i="5"/>
  <c r="BG60" i="5"/>
  <c r="BG58" i="5"/>
  <c r="BG44" i="5"/>
  <c r="BG55" i="12" s="1"/>
  <c r="BG52" i="5"/>
  <c r="BH84" i="8"/>
  <c r="BH12" i="8" s="1"/>
  <c r="BI81" i="5"/>
  <c r="BE10" i="5"/>
  <c r="BF55" i="5"/>
  <c r="BF65" i="12" s="1"/>
  <c r="BF5" i="5"/>
  <c r="BF7" i="5" s="1"/>
  <c r="BF8" i="5" s="1"/>
  <c r="BF84" i="5"/>
  <c r="BF12" i="5" s="1"/>
  <c r="BH39" i="5"/>
  <c r="BH45" i="5" s="1"/>
  <c r="BH83" i="7"/>
  <c r="BH12" i="7" s="1"/>
  <c r="BH83" i="6"/>
  <c r="BH12" i="6" s="1"/>
  <c r="BH83" i="11"/>
  <c r="BH12" i="11" s="1"/>
  <c r="BK77" i="12"/>
  <c r="BJ76" i="12"/>
  <c r="BI71" i="12"/>
  <c r="BI67" i="12" s="1"/>
  <c r="BJ72" i="12"/>
  <c r="BK74" i="12"/>
  <c r="BJ73" i="12"/>
  <c r="BG87" i="12"/>
  <c r="BH88" i="12"/>
  <c r="BI80" i="11"/>
  <c r="BI81" i="8"/>
  <c r="BI80" i="7"/>
  <c r="BI80" i="6"/>
  <c r="BI92" i="12" l="1"/>
  <c r="BG51" i="5"/>
  <c r="BG62" i="12" s="1"/>
  <c r="BH44" i="12"/>
  <c r="BG55" i="5"/>
  <c r="BI83" i="6"/>
  <c r="BI12" i="6" s="1"/>
  <c r="BI84" i="8"/>
  <c r="BI12" i="8" s="1"/>
  <c r="BI39" i="5"/>
  <c r="BI45" i="5" s="1"/>
  <c r="BF10" i="5"/>
  <c r="BI83" i="7"/>
  <c r="BI12" i="7" s="1"/>
  <c r="BG5" i="5"/>
  <c r="BG7" i="5" s="1"/>
  <c r="BG8" i="5" s="1"/>
  <c r="BH82" i="5"/>
  <c r="BH95" i="12" s="1"/>
  <c r="BH80" i="5"/>
  <c r="BH83" i="5"/>
  <c r="BH98" i="12" s="1"/>
  <c r="BH53" i="5"/>
  <c r="BH52" i="5"/>
  <c r="BH59" i="5"/>
  <c r="BH44" i="5"/>
  <c r="BH55" i="12" s="1"/>
  <c r="BH56" i="5"/>
  <c r="BH60" i="5"/>
  <c r="BH4" i="5"/>
  <c r="BH58" i="5"/>
  <c r="BJ81" i="5"/>
  <c r="BG84" i="5"/>
  <c r="BG12" i="5" s="1"/>
  <c r="BI83" i="11"/>
  <c r="BI12" i="11" s="1"/>
  <c r="BL77" i="12"/>
  <c r="BK76" i="12"/>
  <c r="BK72" i="12"/>
  <c r="BJ71" i="12"/>
  <c r="BJ67" i="12" s="1"/>
  <c r="BL74" i="12"/>
  <c r="BK73" i="12"/>
  <c r="BH87" i="12"/>
  <c r="BI88" i="12"/>
  <c r="BJ80" i="11"/>
  <c r="BJ81" i="8"/>
  <c r="BJ80" i="7"/>
  <c r="BJ80" i="6"/>
  <c r="BJ92" i="12" l="1"/>
  <c r="BG10" i="5"/>
  <c r="BG65" i="12"/>
  <c r="BI44" i="12"/>
  <c r="BH51" i="5"/>
  <c r="BH62" i="12" s="1"/>
  <c r="BH84" i="5"/>
  <c r="BH12" i="5" s="1"/>
  <c r="BJ39" i="5"/>
  <c r="BJ45" i="5" s="1"/>
  <c r="BJ84" i="8"/>
  <c r="BJ12" i="8" s="1"/>
  <c r="BJ83" i="6"/>
  <c r="BJ12" i="6" s="1"/>
  <c r="BJ83" i="7"/>
  <c r="BJ12" i="7" s="1"/>
  <c r="BK81" i="5"/>
  <c r="BH55" i="5"/>
  <c r="BH65" i="12" s="1"/>
  <c r="BI82" i="5"/>
  <c r="BI95" i="12" s="1"/>
  <c r="BI80" i="5"/>
  <c r="BI83" i="5"/>
  <c r="BI98" i="12" s="1"/>
  <c r="BI4" i="5"/>
  <c r="BI56" i="5"/>
  <c r="BI60" i="5"/>
  <c r="BI52" i="5"/>
  <c r="BI53" i="5"/>
  <c r="BI44" i="5"/>
  <c r="BI55" i="12" s="1"/>
  <c r="BI59" i="5"/>
  <c r="BI58" i="5"/>
  <c r="BH5" i="5"/>
  <c r="BH7" i="5" s="1"/>
  <c r="BH8" i="5" s="1"/>
  <c r="BJ83" i="11"/>
  <c r="BJ12" i="11" s="1"/>
  <c r="BL76" i="12"/>
  <c r="BM77" i="12"/>
  <c r="BL72" i="12"/>
  <c r="BK71" i="12"/>
  <c r="BK67" i="12" s="1"/>
  <c r="BL73" i="12"/>
  <c r="BM74" i="12"/>
  <c r="BJ88" i="12"/>
  <c r="BI87" i="12"/>
  <c r="BK80" i="11"/>
  <c r="BK81" i="8"/>
  <c r="BK80" i="7"/>
  <c r="BK80" i="6"/>
  <c r="BK92" i="12" l="1"/>
  <c r="BJ44" i="12"/>
  <c r="BI55" i="5"/>
  <c r="BI65" i="12" s="1"/>
  <c r="BI51" i="5"/>
  <c r="BI62" i="12" s="1"/>
  <c r="BI84" i="5"/>
  <c r="BI12" i="5" s="1"/>
  <c r="BK84" i="8"/>
  <c r="BK12" i="8" s="1"/>
  <c r="BL81" i="5"/>
  <c r="BK39" i="5"/>
  <c r="BK45" i="5" s="1"/>
  <c r="BK83" i="7"/>
  <c r="BK12" i="7" s="1"/>
  <c r="BJ83" i="5"/>
  <c r="BJ98" i="12" s="1"/>
  <c r="BJ80" i="5"/>
  <c r="BJ82" i="5"/>
  <c r="BJ95" i="12" s="1"/>
  <c r="BJ4" i="5"/>
  <c r="BJ56" i="5"/>
  <c r="BJ59" i="5"/>
  <c r="BJ60" i="5"/>
  <c r="BJ53" i="5"/>
  <c r="BJ52" i="5"/>
  <c r="BJ58" i="5"/>
  <c r="BJ44" i="5"/>
  <c r="BJ55" i="12" s="1"/>
  <c r="BH10" i="5"/>
  <c r="BI5" i="5"/>
  <c r="BI7" i="5" s="1"/>
  <c r="BI8" i="5" s="1"/>
  <c r="BK83" i="6"/>
  <c r="BK12" i="6" s="1"/>
  <c r="BN107" i="1"/>
  <c r="BK83" i="11"/>
  <c r="BK12" i="11" s="1"/>
  <c r="BM76" i="12"/>
  <c r="BN77" i="12"/>
  <c r="BL71" i="12"/>
  <c r="BL67" i="12" s="1"/>
  <c r="BM72" i="12"/>
  <c r="BM73" i="12"/>
  <c r="BN74" i="12"/>
  <c r="BJ87" i="12"/>
  <c r="BK88" i="12"/>
  <c r="BL80" i="11"/>
  <c r="BL81" i="8"/>
  <c r="BL80" i="7"/>
  <c r="BL80" i="6"/>
  <c r="BL92" i="12" l="1"/>
  <c r="BI10" i="5"/>
  <c r="BJ51" i="5"/>
  <c r="BJ62" i="12" s="1"/>
  <c r="BK44" i="12"/>
  <c r="BL84" i="8"/>
  <c r="BL12" i="8" s="1"/>
  <c r="BJ55" i="5"/>
  <c r="BJ65" i="12" s="1"/>
  <c r="BL83" i="6"/>
  <c r="BL12" i="6" s="1"/>
  <c r="BL83" i="7"/>
  <c r="BL12" i="7" s="1"/>
  <c r="BJ84" i="5"/>
  <c r="BJ12" i="5" s="1"/>
  <c r="BL39" i="5"/>
  <c r="BL45" i="5" s="1"/>
  <c r="BM81" i="5"/>
  <c r="BJ5" i="5"/>
  <c r="BJ7" i="5" s="1"/>
  <c r="BJ8" i="5" s="1"/>
  <c r="BK80" i="5"/>
  <c r="BK83" i="5"/>
  <c r="BK98" i="12" s="1"/>
  <c r="BK82" i="5"/>
  <c r="BK95" i="12" s="1"/>
  <c r="BK58" i="5"/>
  <c r="BK56" i="5"/>
  <c r="BK60" i="5"/>
  <c r="BK4" i="5"/>
  <c r="BK52" i="5"/>
  <c r="BK53" i="5"/>
  <c r="BK59" i="5"/>
  <c r="BK44" i="5"/>
  <c r="BK55" i="12" s="1"/>
  <c r="BO107" i="1"/>
  <c r="BL83" i="11"/>
  <c r="BL12" i="11" s="1"/>
  <c r="BN76" i="12"/>
  <c r="BO77" i="12"/>
  <c r="BM71" i="12"/>
  <c r="BM67" i="12" s="1"/>
  <c r="BN72" i="12"/>
  <c r="BO74" i="12"/>
  <c r="BN73" i="12"/>
  <c r="BK87" i="12"/>
  <c r="BL88" i="12"/>
  <c r="BM80" i="11"/>
  <c r="BM81" i="8"/>
  <c r="BM80" i="7"/>
  <c r="BM80" i="6"/>
  <c r="BM92" i="12" l="1"/>
  <c r="BL44" i="12"/>
  <c r="BK55" i="5"/>
  <c r="BM83" i="6"/>
  <c r="BM12" i="6" s="1"/>
  <c r="BM84" i="8"/>
  <c r="BM12" i="8" s="1"/>
  <c r="BM83" i="7"/>
  <c r="BM12" i="7" s="1"/>
  <c r="BL82" i="5"/>
  <c r="BL95" i="12" s="1"/>
  <c r="BL80" i="5"/>
  <c r="BL83" i="5"/>
  <c r="BL98" i="12" s="1"/>
  <c r="BL4" i="5"/>
  <c r="BL58" i="5"/>
  <c r="BL44" i="5"/>
  <c r="BL55" i="12" s="1"/>
  <c r="BL60" i="5"/>
  <c r="BL59" i="5"/>
  <c r="BL53" i="5"/>
  <c r="BL52" i="5"/>
  <c r="BL56" i="5"/>
  <c r="BJ10" i="5"/>
  <c r="BK51" i="5"/>
  <c r="BK62" i="12" s="1"/>
  <c r="BK84" i="5"/>
  <c r="BK12" i="5" s="1"/>
  <c r="BK5" i="5"/>
  <c r="BK7" i="5" s="1"/>
  <c r="BK8" i="5" s="1"/>
  <c r="BN81" i="5"/>
  <c r="BM39" i="5"/>
  <c r="BM45" i="5" s="1"/>
  <c r="BP107" i="1"/>
  <c r="BM83" i="11"/>
  <c r="BM12" i="11" s="1"/>
  <c r="BP77" i="12"/>
  <c r="BO76" i="12"/>
  <c r="BO72" i="12"/>
  <c r="BN71" i="12"/>
  <c r="BP74" i="12"/>
  <c r="BO73" i="12"/>
  <c r="BL87" i="12"/>
  <c r="BM88" i="12"/>
  <c r="BN80" i="11"/>
  <c r="BN83" i="11" s="1"/>
  <c r="BN81" i="8"/>
  <c r="BN80" i="7"/>
  <c r="BN80" i="6"/>
  <c r="BK10" i="5" l="1"/>
  <c r="BK65" i="12"/>
  <c r="BN92" i="12"/>
  <c r="BN67" i="12"/>
  <c r="BM44" i="12"/>
  <c r="BL51" i="5"/>
  <c r="BL62" i="12" s="1"/>
  <c r="BN83" i="7"/>
  <c r="BN12" i="7" s="1"/>
  <c r="BO81" i="5"/>
  <c r="BN83" i="6"/>
  <c r="BN12" i="6" s="1"/>
  <c r="BN84" i="8"/>
  <c r="BN12" i="8" s="1"/>
  <c r="BM82" i="5"/>
  <c r="BM95" i="12" s="1"/>
  <c r="BM83" i="5"/>
  <c r="BM98" i="12" s="1"/>
  <c r="BM80" i="5"/>
  <c r="BM53" i="5"/>
  <c r="BM58" i="5"/>
  <c r="BM56" i="5"/>
  <c r="BM4" i="5"/>
  <c r="BM44" i="5"/>
  <c r="BM55" i="12" s="1"/>
  <c r="BM52" i="5"/>
  <c r="BM59" i="5"/>
  <c r="BM60" i="5"/>
  <c r="BL55" i="5"/>
  <c r="BL65" i="12" s="1"/>
  <c r="BL5" i="5"/>
  <c r="BL7" i="5" s="1"/>
  <c r="BL8" i="5" s="1"/>
  <c r="BN39" i="5"/>
  <c r="BL84" i="5"/>
  <c r="BL12" i="5" s="1"/>
  <c r="BQ107" i="1"/>
  <c r="BP76" i="12"/>
  <c r="BQ77" i="12"/>
  <c r="BO71" i="12"/>
  <c r="BO67" i="12" s="1"/>
  <c r="BP72" i="12"/>
  <c r="BP73" i="12"/>
  <c r="BQ74" i="12"/>
  <c r="BN88" i="12"/>
  <c r="BM87" i="12"/>
  <c r="BO80" i="11"/>
  <c r="BN12" i="11"/>
  <c r="BO81" i="8"/>
  <c r="BO80" i="7"/>
  <c r="BO80" i="6"/>
  <c r="BN45" i="5" l="1"/>
  <c r="BO92" i="12"/>
  <c r="BM84" i="5"/>
  <c r="BM12" i="5" s="1"/>
  <c r="BM55" i="5"/>
  <c r="BM51" i="5"/>
  <c r="BM62" i="12" s="1"/>
  <c r="BP81" i="5"/>
  <c r="BO39" i="5"/>
  <c r="BO45" i="5" s="1"/>
  <c r="BO83" i="6"/>
  <c r="BO12" i="6" s="1"/>
  <c r="BN82" i="5"/>
  <c r="BN83" i="5"/>
  <c r="BN80" i="5"/>
  <c r="BN59" i="5"/>
  <c r="BN44" i="5"/>
  <c r="BN60" i="5"/>
  <c r="BN4" i="5"/>
  <c r="BN52" i="5"/>
  <c r="BN56" i="5"/>
  <c r="BN58" i="5"/>
  <c r="BN53" i="5"/>
  <c r="BL10" i="5"/>
  <c r="BM5" i="5"/>
  <c r="BM7" i="5" s="1"/>
  <c r="BM8" i="5" s="1"/>
  <c r="BO84" i="8"/>
  <c r="BO12" i="8" s="1"/>
  <c r="BO83" i="7"/>
  <c r="BO12" i="7" s="1"/>
  <c r="BR107" i="1"/>
  <c r="BO83" i="11"/>
  <c r="BQ76" i="12"/>
  <c r="BR77" i="12"/>
  <c r="BP71" i="12"/>
  <c r="BQ72" i="12"/>
  <c r="BQ73" i="12"/>
  <c r="BR74" i="12"/>
  <c r="BO88" i="12"/>
  <c r="BN87" i="12"/>
  <c r="BP80" i="11"/>
  <c r="BP81" i="8"/>
  <c r="BP80" i="7"/>
  <c r="BP80" i="6"/>
  <c r="BN98" i="12" l="1"/>
  <c r="BN95" i="12"/>
  <c r="BN55" i="12"/>
  <c r="BO12" i="11"/>
  <c r="BP92" i="12"/>
  <c r="BM10" i="5"/>
  <c r="BM65" i="12"/>
  <c r="BP67" i="12"/>
  <c r="BN55" i="5"/>
  <c r="BN84" i="5"/>
  <c r="BP83" i="7"/>
  <c r="BP12" i="7" s="1"/>
  <c r="BP83" i="6"/>
  <c r="BP12" i="6" s="1"/>
  <c r="BO80" i="5"/>
  <c r="BO83" i="5"/>
  <c r="BO98" i="12" s="1"/>
  <c r="BO82" i="5"/>
  <c r="BO95" i="12" s="1"/>
  <c r="BO60" i="5"/>
  <c r="BO44" i="5"/>
  <c r="BO55" i="12" s="1"/>
  <c r="BO53" i="5"/>
  <c r="BO59" i="5"/>
  <c r="BO52" i="5"/>
  <c r="BO4" i="5"/>
  <c r="BO56" i="5"/>
  <c r="BO58" i="5"/>
  <c r="BQ81" i="5"/>
  <c r="BN5" i="5"/>
  <c r="BP39" i="5"/>
  <c r="BP45" i="5" s="1"/>
  <c r="BP84" i="8"/>
  <c r="BP12" i="8" s="1"/>
  <c r="BN51" i="5"/>
  <c r="BS107" i="1"/>
  <c r="BP83" i="11"/>
  <c r="BP12" i="11" s="1"/>
  <c r="BS77" i="12"/>
  <c r="BR76" i="12"/>
  <c r="BR72" i="12"/>
  <c r="BQ71" i="12"/>
  <c r="BQ67" i="12" s="1"/>
  <c r="BS74" i="12"/>
  <c r="BR73" i="12"/>
  <c r="BO87" i="12"/>
  <c r="BP88" i="12"/>
  <c r="BQ80" i="11"/>
  <c r="BQ81" i="8"/>
  <c r="BQ80" i="7"/>
  <c r="BQ80" i="6"/>
  <c r="BN12" i="5" l="1"/>
  <c r="BN62" i="12"/>
  <c r="BN7" i="5"/>
  <c r="BN8" i="5" s="1"/>
  <c r="BQ92" i="12"/>
  <c r="BN10" i="5"/>
  <c r="BN65" i="12"/>
  <c r="BO51" i="5"/>
  <c r="BO62" i="12" s="1"/>
  <c r="BR81" i="5"/>
  <c r="BO5" i="5"/>
  <c r="BO7" i="5" s="1"/>
  <c r="BO8" i="5" s="1"/>
  <c r="BO84" i="5"/>
  <c r="BO12" i="5" s="1"/>
  <c r="BQ83" i="7"/>
  <c r="BQ12" i="7" s="1"/>
  <c r="BP82" i="5"/>
  <c r="BP80" i="5"/>
  <c r="BP83" i="5"/>
  <c r="BP98" i="12" s="1"/>
  <c r="BP53" i="5"/>
  <c r="BP59" i="5"/>
  <c r="BP56" i="5"/>
  <c r="BP52" i="5"/>
  <c r="BP60" i="5"/>
  <c r="BP4" i="5"/>
  <c r="BP58" i="5"/>
  <c r="BP44" i="5"/>
  <c r="BP55" i="12" s="1"/>
  <c r="BQ83" i="6"/>
  <c r="BQ12" i="6" s="1"/>
  <c r="BQ84" i="8"/>
  <c r="BQ12" i="8" s="1"/>
  <c r="BQ39" i="5"/>
  <c r="BO55" i="5"/>
  <c r="BO65" i="12" s="1"/>
  <c r="BT107" i="1"/>
  <c r="BQ83" i="11"/>
  <c r="BT77" i="12"/>
  <c r="BS76" i="12"/>
  <c r="BS72" i="12"/>
  <c r="BR71" i="12"/>
  <c r="BT74" i="12"/>
  <c r="BS73" i="12"/>
  <c r="BP87" i="12"/>
  <c r="BQ88" i="12"/>
  <c r="BR80" i="11"/>
  <c r="BR81" i="8"/>
  <c r="BR80" i="7"/>
  <c r="BR80" i="6"/>
  <c r="BQ45" i="5" l="1"/>
  <c r="BP95" i="12"/>
  <c r="BQ12" i="11"/>
  <c r="BR92" i="12"/>
  <c r="BR67" i="12"/>
  <c r="BP84" i="5"/>
  <c r="BO10" i="5"/>
  <c r="BS81" i="5"/>
  <c r="BR83" i="7"/>
  <c r="BR12" i="7" s="1"/>
  <c r="BR84" i="8"/>
  <c r="BR12" i="8" s="1"/>
  <c r="BR83" i="6"/>
  <c r="BR12" i="6" s="1"/>
  <c r="BQ82" i="5"/>
  <c r="BQ95" i="12" s="1"/>
  <c r="BQ80" i="5"/>
  <c r="BQ83" i="5"/>
  <c r="BQ4" i="5"/>
  <c r="BQ56" i="5"/>
  <c r="BQ52" i="5"/>
  <c r="BQ60" i="5"/>
  <c r="BQ58" i="5"/>
  <c r="BQ53" i="5"/>
  <c r="BQ59" i="5"/>
  <c r="BP5" i="5"/>
  <c r="BP7" i="5" s="1"/>
  <c r="BP8" i="5" s="1"/>
  <c r="BP51" i="5"/>
  <c r="BR39" i="5"/>
  <c r="BR45" i="5" s="1"/>
  <c r="BP55" i="5"/>
  <c r="BU107" i="1"/>
  <c r="BV107" i="1" s="1"/>
  <c r="BR83" i="11"/>
  <c r="BR12" i="11" s="1"/>
  <c r="BT76" i="12"/>
  <c r="BU77" i="12"/>
  <c r="BV77" i="12" s="1"/>
  <c r="BT72" i="12"/>
  <c r="BS71" i="12"/>
  <c r="BS67" i="12" s="1"/>
  <c r="BT73" i="12"/>
  <c r="BU74" i="12"/>
  <c r="BV74" i="12" s="1"/>
  <c r="BR88" i="12"/>
  <c r="BR87" i="12" s="1"/>
  <c r="BQ87" i="12"/>
  <c r="BS80" i="11"/>
  <c r="BS81" i="8"/>
  <c r="BS80" i="7"/>
  <c r="BS80" i="6"/>
  <c r="BP65" i="12" l="1"/>
  <c r="BQ98" i="12"/>
  <c r="BQ44" i="5"/>
  <c r="BP12" i="5"/>
  <c r="BP62" i="12"/>
  <c r="BS92" i="12"/>
  <c r="BV73" i="12"/>
  <c r="BW74" i="12"/>
  <c r="BV76" i="12"/>
  <c r="BW77" i="12"/>
  <c r="BW107" i="1"/>
  <c r="BR44" i="12"/>
  <c r="BQ84" i="5"/>
  <c r="BQ12" i="5" s="1"/>
  <c r="BQ55" i="5"/>
  <c r="BT81" i="5"/>
  <c r="BS84" i="8"/>
  <c r="BS12" i="8" s="1"/>
  <c r="BP10" i="5"/>
  <c r="BS39" i="5"/>
  <c r="BS83" i="6"/>
  <c r="BS12" i="6" s="1"/>
  <c r="BS83" i="7"/>
  <c r="BS12" i="7" s="1"/>
  <c r="BR83" i="5"/>
  <c r="BR98" i="12" s="1"/>
  <c r="BR80" i="5"/>
  <c r="BR82" i="5"/>
  <c r="BR95" i="12" s="1"/>
  <c r="BR44" i="5"/>
  <c r="BR55" i="12" s="1"/>
  <c r="BR60" i="5"/>
  <c r="BR4" i="5"/>
  <c r="BR58" i="5"/>
  <c r="BR59" i="5"/>
  <c r="BR56" i="5"/>
  <c r="BR53" i="5"/>
  <c r="BR52" i="5"/>
  <c r="BQ51" i="5"/>
  <c r="BQ62" i="12" s="1"/>
  <c r="BS83" i="11"/>
  <c r="BU76" i="12"/>
  <c r="BT71" i="12"/>
  <c r="BT67" i="12" s="1"/>
  <c r="BU72" i="12"/>
  <c r="BV72" i="12" s="1"/>
  <c r="BU73" i="12"/>
  <c r="BS88" i="12"/>
  <c r="BT80" i="11"/>
  <c r="BT81" i="8"/>
  <c r="BT80" i="7"/>
  <c r="BT80" i="6"/>
  <c r="BQ55" i="12" l="1"/>
  <c r="BS45" i="5"/>
  <c r="BQ5" i="5"/>
  <c r="BS12" i="11"/>
  <c r="BT92" i="12"/>
  <c r="BQ10" i="5"/>
  <c r="BQ65" i="12"/>
  <c r="BR51" i="5"/>
  <c r="BR62" i="12" s="1"/>
  <c r="BV71" i="12"/>
  <c r="BV67" i="12" s="1"/>
  <c r="BW72" i="12"/>
  <c r="BX77" i="12"/>
  <c r="BY77" i="12" s="1"/>
  <c r="BW76" i="12"/>
  <c r="BW73" i="12"/>
  <c r="BX74" i="12"/>
  <c r="BY74" i="12" s="1"/>
  <c r="BX107" i="1"/>
  <c r="BY107" i="1" s="1"/>
  <c r="BZ107" i="1" s="1"/>
  <c r="CA107" i="1" s="1"/>
  <c r="CB107" i="1" s="1"/>
  <c r="CC107" i="1" s="1"/>
  <c r="CD107" i="1" s="1"/>
  <c r="CE107" i="1" s="1"/>
  <c r="CF107" i="1" s="1"/>
  <c r="CG107" i="1" s="1"/>
  <c r="CH107" i="1" s="1"/>
  <c r="CI107" i="1" s="1"/>
  <c r="CJ107" i="1" s="1"/>
  <c r="CK107" i="1" s="1"/>
  <c r="BS44" i="12"/>
  <c r="BT83" i="6"/>
  <c r="BT12" i="6" s="1"/>
  <c r="BR84" i="5"/>
  <c r="BS80" i="5"/>
  <c r="BS83" i="5"/>
  <c r="BS82" i="5"/>
  <c r="BS95" i="12" s="1"/>
  <c r="BS58" i="5"/>
  <c r="BS44" i="5"/>
  <c r="BS55" i="12" s="1"/>
  <c r="BS60" i="5"/>
  <c r="BS56" i="5"/>
  <c r="BS59" i="5"/>
  <c r="BS52" i="5"/>
  <c r="BS53" i="5"/>
  <c r="BS4" i="5"/>
  <c r="BT83" i="7"/>
  <c r="BT12" i="7" s="1"/>
  <c r="BT84" i="8"/>
  <c r="BT12" i="8" s="1"/>
  <c r="BR55" i="5"/>
  <c r="BR65" i="12" s="1"/>
  <c r="BT39" i="5"/>
  <c r="BT45" i="5" s="1"/>
  <c r="BR5" i="5"/>
  <c r="BR7" i="5" s="1"/>
  <c r="BR8" i="5" s="1"/>
  <c r="BU81" i="5"/>
  <c r="BT83" i="11"/>
  <c r="BT12" i="11" s="1"/>
  <c r="BU71" i="12"/>
  <c r="BS87" i="12"/>
  <c r="BT88" i="12"/>
  <c r="BU80" i="11"/>
  <c r="BV80" i="11" s="1"/>
  <c r="BU81" i="8"/>
  <c r="BV81" i="8" s="1"/>
  <c r="BU80" i="7"/>
  <c r="BV80" i="7" s="1"/>
  <c r="BU80" i="6"/>
  <c r="BV80" i="6" s="1"/>
  <c r="BQ7" i="5" l="1"/>
  <c r="BQ8" i="5" s="1"/>
  <c r="BS98" i="12"/>
  <c r="BR12" i="5"/>
  <c r="BZ77" i="12"/>
  <c r="BY76" i="12"/>
  <c r="BZ74" i="12"/>
  <c r="BY73" i="12"/>
  <c r="BV81" i="5"/>
  <c r="BW81" i="5" s="1"/>
  <c r="BU92" i="12"/>
  <c r="BW80" i="11"/>
  <c r="BV83" i="11"/>
  <c r="BV12" i="11" s="1"/>
  <c r="BW81" i="8"/>
  <c r="BV84" i="8"/>
  <c r="BV12" i="8" s="1"/>
  <c r="BW80" i="7"/>
  <c r="BV83" i="7"/>
  <c r="BV12" i="7" s="1"/>
  <c r="BW80" i="6"/>
  <c r="BV83" i="6"/>
  <c r="BV12" i="6" s="1"/>
  <c r="BU67" i="12"/>
  <c r="BX76" i="12"/>
  <c r="BX73" i="12"/>
  <c r="BW71" i="12"/>
  <c r="BW67" i="12" s="1"/>
  <c r="BX72" i="12"/>
  <c r="BY72" i="12" s="1"/>
  <c r="BS55" i="5"/>
  <c r="BT44" i="12"/>
  <c r="BS51" i="5"/>
  <c r="BU83" i="6"/>
  <c r="BU12" i="6" s="1"/>
  <c r="BU84" i="8"/>
  <c r="BU12" i="8" s="1"/>
  <c r="BU83" i="7"/>
  <c r="BU12" i="7" s="1"/>
  <c r="BT82" i="5"/>
  <c r="BT80" i="5"/>
  <c r="BT83" i="5"/>
  <c r="BT98" i="12" s="1"/>
  <c r="BT56" i="5"/>
  <c r="BT59" i="5"/>
  <c r="BT4" i="5"/>
  <c r="BT58" i="5"/>
  <c r="BT53" i="5"/>
  <c r="BT44" i="5"/>
  <c r="BT55" i="12" s="1"/>
  <c r="BT52" i="5"/>
  <c r="BT60" i="5"/>
  <c r="BS5" i="5"/>
  <c r="BS7" i="5" s="1"/>
  <c r="BS8" i="5" s="1"/>
  <c r="BS84" i="5"/>
  <c r="BS12" i="5" s="1"/>
  <c r="BR10" i="5"/>
  <c r="BU39" i="5"/>
  <c r="BU83" i="11"/>
  <c r="BU12" i="11" s="1"/>
  <c r="BT87" i="12"/>
  <c r="BU88" i="12"/>
  <c r="BV88" i="12" s="1"/>
  <c r="BS62" i="12" l="1"/>
  <c r="BT95" i="12"/>
  <c r="BU45" i="5"/>
  <c r="BY71" i="12"/>
  <c r="BY67" i="12" s="1"/>
  <c r="BZ72" i="12"/>
  <c r="BZ73" i="12"/>
  <c r="CA74" i="12"/>
  <c r="BZ76" i="12"/>
  <c r="CA77" i="12"/>
  <c r="BW84" i="5"/>
  <c r="BW12" i="5" s="1"/>
  <c r="BW92" i="12"/>
  <c r="BS10" i="5"/>
  <c r="BS65" i="12"/>
  <c r="BV84" i="5"/>
  <c r="BV12" i="5" s="1"/>
  <c r="BV92" i="12"/>
  <c r="BX80" i="11"/>
  <c r="BY80" i="11" s="1"/>
  <c r="BW83" i="11"/>
  <c r="BW12" i="11" s="1"/>
  <c r="BX81" i="8"/>
  <c r="BY81" i="8" s="1"/>
  <c r="BW84" i="8"/>
  <c r="BW12" i="8" s="1"/>
  <c r="BX80" i="7"/>
  <c r="BY80" i="7" s="1"/>
  <c r="BW83" i="7"/>
  <c r="BW12" i="7" s="1"/>
  <c r="BX80" i="6"/>
  <c r="BY80" i="6" s="1"/>
  <c r="BW83" i="6"/>
  <c r="BW12" i="6" s="1"/>
  <c r="BX81" i="5"/>
  <c r="BY81" i="5" s="1"/>
  <c r="BV87" i="12"/>
  <c r="BW88" i="12"/>
  <c r="BX71" i="12"/>
  <c r="BX67" i="12" s="1"/>
  <c r="BU44" i="12"/>
  <c r="BT51" i="5"/>
  <c r="BT62" i="12" s="1"/>
  <c r="BT84" i="5"/>
  <c r="BT5" i="5"/>
  <c r="BT7" i="5" s="1"/>
  <c r="BT8" i="5" s="1"/>
  <c r="BT55" i="5"/>
  <c r="BT65" i="12" s="1"/>
  <c r="BU82" i="5"/>
  <c r="BU95" i="12" s="1"/>
  <c r="BU83" i="5"/>
  <c r="BU80" i="5"/>
  <c r="BU60" i="5"/>
  <c r="BU4" i="5"/>
  <c r="BU56" i="5"/>
  <c r="BU58" i="5"/>
  <c r="BU52" i="5"/>
  <c r="BU59" i="5"/>
  <c r="BU53" i="5"/>
  <c r="BU87" i="12"/>
  <c r="BY92" i="12" l="1"/>
  <c r="BZ80" i="11"/>
  <c r="BY83" i="11"/>
  <c r="BY12" i="11" s="1"/>
  <c r="BU44" i="5"/>
  <c r="BU98" i="12"/>
  <c r="BT12" i="5"/>
  <c r="CA76" i="12"/>
  <c r="CB77" i="12"/>
  <c r="BZ71" i="12"/>
  <c r="BZ67" i="12" s="1"/>
  <c r="CA72" i="12"/>
  <c r="CA73" i="12"/>
  <c r="CB74" i="12"/>
  <c r="BZ81" i="8"/>
  <c r="BY84" i="8"/>
  <c r="BY12" i="8" s="1"/>
  <c r="BZ80" i="7"/>
  <c r="BY83" i="7"/>
  <c r="BY12" i="7" s="1"/>
  <c r="BZ80" i="6"/>
  <c r="BY83" i="6"/>
  <c r="BY12" i="6" s="1"/>
  <c r="BZ81" i="5"/>
  <c r="BY84" i="5"/>
  <c r="BY12" i="5" s="1"/>
  <c r="BX84" i="5"/>
  <c r="BX12" i="5" s="1"/>
  <c r="BX92" i="12"/>
  <c r="BX83" i="11"/>
  <c r="BX84" i="8"/>
  <c r="BX12" i="8" s="1"/>
  <c r="BX83" i="7"/>
  <c r="BX12" i="7" s="1"/>
  <c r="BX83" i="6"/>
  <c r="BX12" i="6" s="1"/>
  <c r="BW87" i="12"/>
  <c r="BX88" i="12"/>
  <c r="BY88" i="12" s="1"/>
  <c r="BU51" i="5"/>
  <c r="BU62" i="12" s="1"/>
  <c r="BT10" i="5"/>
  <c r="BU5" i="5"/>
  <c r="BU55" i="5"/>
  <c r="BU84" i="5"/>
  <c r="BU12" i="5" s="1"/>
  <c r="CA80" i="11" l="1"/>
  <c r="BZ83" i="11"/>
  <c r="BZ12" i="11" s="1"/>
  <c r="BZ92" i="12"/>
  <c r="BU65" i="12"/>
  <c r="BU7" i="5"/>
  <c r="BU8" i="5" s="1"/>
  <c r="BU55" i="12"/>
  <c r="BX12" i="11"/>
  <c r="BY87" i="12"/>
  <c r="BZ88" i="12"/>
  <c r="CB72" i="12"/>
  <c r="CA71" i="12"/>
  <c r="CA67" i="12" s="1"/>
  <c r="CC77" i="12"/>
  <c r="CB76" i="12"/>
  <c r="CB73" i="12"/>
  <c r="CC74" i="12"/>
  <c r="CA81" i="8"/>
  <c r="BZ84" i="8"/>
  <c r="BZ12" i="8" s="1"/>
  <c r="CA80" i="7"/>
  <c r="BZ83" i="7"/>
  <c r="BZ12" i="7" s="1"/>
  <c r="CA80" i="6"/>
  <c r="BZ83" i="6"/>
  <c r="BZ12" i="6" s="1"/>
  <c r="CA81" i="5"/>
  <c r="BZ84" i="5"/>
  <c r="BX87" i="12"/>
  <c r="BU10" i="5"/>
  <c r="M18" i="12"/>
  <c r="U10" i="13" s="1"/>
  <c r="N18" i="12"/>
  <c r="V10" i="13" s="1"/>
  <c r="L18" i="12"/>
  <c r="CG5" i="14"/>
  <c r="CG6" i="14"/>
  <c r="T25" i="13"/>
  <c r="CA92" i="12" l="1"/>
  <c r="CB80" i="11"/>
  <c r="CA83" i="11"/>
  <c r="CA12" i="11" s="1"/>
  <c r="BZ12" i="5"/>
  <c r="CD74" i="12"/>
  <c r="CC73" i="12"/>
  <c r="CD77" i="12"/>
  <c r="CC76" i="12"/>
  <c r="CC72" i="12"/>
  <c r="CB71" i="12"/>
  <c r="CB67" i="12" s="1"/>
  <c r="BZ87" i="12"/>
  <c r="CA88" i="12"/>
  <c r="CB81" i="8"/>
  <c r="CA84" i="8"/>
  <c r="CA12" i="8" s="1"/>
  <c r="CB80" i="7"/>
  <c r="CA83" i="7"/>
  <c r="CA12" i="7" s="1"/>
  <c r="CB80" i="6"/>
  <c r="CA83" i="6"/>
  <c r="CA12" i="6" s="1"/>
  <c r="CB81" i="5"/>
  <c r="CB92" i="12" s="1"/>
  <c r="CA84" i="5"/>
  <c r="CA12" i="5" s="1"/>
  <c r="T10" i="13"/>
  <c r="U25" i="13"/>
  <c r="CG4" i="14"/>
  <c r="CG31" i="14" s="1"/>
  <c r="CI20" i="14"/>
  <c r="CM8" i="12"/>
  <c r="CM9" i="12" s="1"/>
  <c r="CC80" i="11" l="1"/>
  <c r="CB83" i="11"/>
  <c r="CB12" i="11" s="1"/>
  <c r="CA87" i="12"/>
  <c r="CB88" i="12"/>
  <c r="CD72" i="12"/>
  <c r="CC71" i="12"/>
  <c r="CC67" i="12" s="1"/>
  <c r="CE77" i="12"/>
  <c r="CD76" i="12"/>
  <c r="CE74" i="12"/>
  <c r="CD73" i="12"/>
  <c r="CC81" i="8"/>
  <c r="CB84" i="8"/>
  <c r="CB12" i="8" s="1"/>
  <c r="CC80" i="7"/>
  <c r="CB83" i="7"/>
  <c r="CB12" i="7" s="1"/>
  <c r="CC80" i="6"/>
  <c r="CB83" i="6"/>
  <c r="CB12" i="6" s="1"/>
  <c r="CC81" i="5"/>
  <c r="CB84" i="5"/>
  <c r="V25" i="13"/>
  <c r="P18" i="12"/>
  <c r="O18" i="12"/>
  <c r="AL2" i="13"/>
  <c r="AM2" i="13"/>
  <c r="AN2" i="13"/>
  <c r="AO2" i="13"/>
  <c r="AP2" i="13"/>
  <c r="AQ2" i="13"/>
  <c r="AR2" i="13"/>
  <c r="AS2" i="13"/>
  <c r="AT2" i="13"/>
  <c r="AU2" i="13"/>
  <c r="AV2" i="13"/>
  <c r="AW2" i="13"/>
  <c r="AX2" i="13"/>
  <c r="AY2" i="13"/>
  <c r="AZ2" i="13"/>
  <c r="BA2" i="13"/>
  <c r="BB2" i="13"/>
  <c r="T2" i="13"/>
  <c r="U2" i="13"/>
  <c r="V2" i="13"/>
  <c r="W2" i="13"/>
  <c r="X2" i="13"/>
  <c r="Y2" i="13"/>
  <c r="Z2" i="13"/>
  <c r="AA2" i="13"/>
  <c r="AB2" i="13"/>
  <c r="AC2" i="13"/>
  <c r="AD2" i="13"/>
  <c r="AE2" i="13"/>
  <c r="AF2" i="13"/>
  <c r="AG2" i="13"/>
  <c r="AH2" i="13"/>
  <c r="AI2" i="13"/>
  <c r="AJ2" i="13"/>
  <c r="AK2" i="13"/>
  <c r="K26" i="13"/>
  <c r="K25" i="13"/>
  <c r="I21" i="13" l="1"/>
  <c r="I13" i="13"/>
  <c r="I18" i="13"/>
  <c r="J18" i="13"/>
  <c r="J20" i="13"/>
  <c r="J21" i="13"/>
  <c r="J13" i="13"/>
  <c r="J10" i="13"/>
  <c r="J17" i="13" s="1"/>
  <c r="I20" i="13"/>
  <c r="CC92" i="12"/>
  <c r="CD80" i="11"/>
  <c r="CC83" i="11"/>
  <c r="CC12" i="11" s="1"/>
  <c r="CB12" i="5"/>
  <c r="CF77" i="12"/>
  <c r="CE76" i="12"/>
  <c r="CD71" i="12"/>
  <c r="CD67" i="12" s="1"/>
  <c r="CE72" i="12"/>
  <c r="CC88" i="12"/>
  <c r="CB87" i="12"/>
  <c r="CE73" i="12"/>
  <c r="CF74" i="12"/>
  <c r="CD81" i="8"/>
  <c r="CC84" i="8"/>
  <c r="CC12" i="8" s="1"/>
  <c r="CD80" i="7"/>
  <c r="CC83" i="7"/>
  <c r="CC12" i="7" s="1"/>
  <c r="CD80" i="6"/>
  <c r="CC83" i="6"/>
  <c r="CC12" i="6" s="1"/>
  <c r="CD81" i="5"/>
  <c r="CC84" i="5"/>
  <c r="CC12" i="5" s="1"/>
  <c r="D13" i="13"/>
  <c r="E13" i="13"/>
  <c r="F13" i="13"/>
  <c r="G13" i="13"/>
  <c r="H13" i="13"/>
  <c r="H20" i="13"/>
  <c r="H21" i="13"/>
  <c r="T17" i="13"/>
  <c r="W10" i="13"/>
  <c r="U17" i="13"/>
  <c r="X10" i="13"/>
  <c r="W25" i="13"/>
  <c r="Q18" i="12"/>
  <c r="F21" i="13"/>
  <c r="G21" i="13"/>
  <c r="E21" i="13"/>
  <c r="CD92" i="12" l="1"/>
  <c r="CE80" i="11"/>
  <c r="CD83" i="11"/>
  <c r="CD12" i="11" s="1"/>
  <c r="CC87" i="12"/>
  <c r="CD88" i="12"/>
  <c r="CE71" i="12"/>
  <c r="CE67" i="12" s="1"/>
  <c r="CF72" i="12"/>
  <c r="CG74" i="12"/>
  <c r="CF73" i="12"/>
  <c r="CF76" i="12"/>
  <c r="CG77" i="12"/>
  <c r="CE81" i="8"/>
  <c r="CD84" i="8"/>
  <c r="CD12" i="8" s="1"/>
  <c r="CE80" i="7"/>
  <c r="CD83" i="7"/>
  <c r="CD12" i="7" s="1"/>
  <c r="CE80" i="6"/>
  <c r="CD83" i="6"/>
  <c r="CD12" i="6" s="1"/>
  <c r="CE81" i="5"/>
  <c r="CD84" i="5"/>
  <c r="CD12" i="5" s="1"/>
  <c r="BF4" i="13"/>
  <c r="AX89" i="12"/>
  <c r="AX91" i="1"/>
  <c r="AX90" i="1"/>
  <c r="AX86" i="1"/>
  <c r="AX79" i="1"/>
  <c r="AX106" i="1"/>
  <c r="AX97" i="12"/>
  <c r="AX81" i="1"/>
  <c r="AX61" i="12" s="1"/>
  <c r="AX60" i="12" s="1"/>
  <c r="AX71" i="1"/>
  <c r="AX69" i="1" s="1"/>
  <c r="AX5" i="1" s="1"/>
  <c r="V17" i="13"/>
  <c r="Y10" i="13"/>
  <c r="D10" i="13" s="1"/>
  <c r="X25" i="13"/>
  <c r="CE92" i="12" l="1"/>
  <c r="CF80" i="11"/>
  <c r="CE83" i="11"/>
  <c r="CE12" i="11" s="1"/>
  <c r="CG72" i="12"/>
  <c r="CF71" i="12"/>
  <c r="CF67" i="12" s="1"/>
  <c r="CE88" i="12"/>
  <c r="CD87" i="12"/>
  <c r="CG76" i="12"/>
  <c r="CH77" i="12"/>
  <c r="CH74" i="12"/>
  <c r="CG73" i="12"/>
  <c r="CF81" i="8"/>
  <c r="CE84" i="8"/>
  <c r="CE12" i="8" s="1"/>
  <c r="CF80" i="7"/>
  <c r="CE83" i="7"/>
  <c r="CE12" i="7" s="1"/>
  <c r="CF80" i="6"/>
  <c r="CE83" i="6"/>
  <c r="CE12" i="6" s="1"/>
  <c r="CF81" i="5"/>
  <c r="CE84" i="5"/>
  <c r="CE12" i="5" s="1"/>
  <c r="AX94" i="12"/>
  <c r="AX93" i="12" s="1"/>
  <c r="BG4" i="13"/>
  <c r="AX54" i="12"/>
  <c r="AX7" i="1"/>
  <c r="AX8" i="1" s="1"/>
  <c r="AY89" i="12"/>
  <c r="AY106" i="1"/>
  <c r="AY86" i="1"/>
  <c r="AY91" i="1"/>
  <c r="AY81" i="1"/>
  <c r="AY61" i="12" s="1"/>
  <c r="AY60" i="12" s="1"/>
  <c r="AY97" i="12"/>
  <c r="AY71" i="1"/>
  <c r="AY69" i="1" s="1"/>
  <c r="AY5" i="1" s="1"/>
  <c r="AY90" i="1"/>
  <c r="AY79" i="1"/>
  <c r="AX85" i="1"/>
  <c r="AX96" i="12"/>
  <c r="R18" i="12"/>
  <c r="Y25" i="13"/>
  <c r="S18" i="12"/>
  <c r="AA10" i="13" s="1"/>
  <c r="K21" i="13"/>
  <c r="CF92" i="12" l="1"/>
  <c r="CG80" i="11"/>
  <c r="CF83" i="11"/>
  <c r="CF12" i="11" s="1"/>
  <c r="CG71" i="12"/>
  <c r="CG67" i="12" s="1"/>
  <c r="CH72" i="12"/>
  <c r="CI77" i="12"/>
  <c r="CH76" i="12"/>
  <c r="CE87" i="12"/>
  <c r="CF88" i="12"/>
  <c r="CH73" i="12"/>
  <c r="CI74" i="12"/>
  <c r="CG81" i="8"/>
  <c r="CF84" i="8"/>
  <c r="CF12" i="8" s="1"/>
  <c r="CG80" i="7"/>
  <c r="CF83" i="7"/>
  <c r="CF12" i="7" s="1"/>
  <c r="CG80" i="6"/>
  <c r="CF83" i="6"/>
  <c r="CF12" i="6" s="1"/>
  <c r="CG81" i="5"/>
  <c r="CF84" i="5"/>
  <c r="CF12" i="5" s="1"/>
  <c r="AX6" i="12"/>
  <c r="AY94" i="12"/>
  <c r="AY93" i="12" s="1"/>
  <c r="AX53" i="12"/>
  <c r="AQ6" i="14" s="1"/>
  <c r="BH4" i="13"/>
  <c r="AX64" i="12"/>
  <c r="AX63" i="12" s="1"/>
  <c r="AX11" i="12" s="1"/>
  <c r="AX10" i="1"/>
  <c r="AY54" i="12"/>
  <c r="AY7" i="1"/>
  <c r="AY8" i="1" s="1"/>
  <c r="AZ89" i="12"/>
  <c r="AZ79" i="1"/>
  <c r="AZ81" i="1"/>
  <c r="AZ61" i="12" s="1"/>
  <c r="AZ60" i="12" s="1"/>
  <c r="AZ90" i="1"/>
  <c r="AZ97" i="12"/>
  <c r="AZ71" i="1"/>
  <c r="AZ69" i="1" s="1"/>
  <c r="AZ5" i="1" s="1"/>
  <c r="AZ86" i="1"/>
  <c r="AZ91" i="1"/>
  <c r="AZ106" i="1"/>
  <c r="AY85" i="1"/>
  <c r="AY96" i="12"/>
  <c r="W17" i="13"/>
  <c r="Z10" i="13"/>
  <c r="Z25" i="13"/>
  <c r="X17" i="13"/>
  <c r="T18" i="12"/>
  <c r="CG92" i="12" l="1"/>
  <c r="CH80" i="11"/>
  <c r="CG83" i="11"/>
  <c r="CG12" i="11" s="1"/>
  <c r="CJ77" i="12"/>
  <c r="CI76" i="12"/>
  <c r="CH71" i="12"/>
  <c r="CH67" i="12" s="1"/>
  <c r="CI72" i="12"/>
  <c r="CG88" i="12"/>
  <c r="CF87" i="12"/>
  <c r="CI73" i="12"/>
  <c r="CJ74" i="12"/>
  <c r="CH81" i="8"/>
  <c r="CG84" i="8"/>
  <c r="CG12" i="8" s="1"/>
  <c r="CH80" i="7"/>
  <c r="CG83" i="7"/>
  <c r="CG12" i="7" s="1"/>
  <c r="CH80" i="6"/>
  <c r="CG83" i="6"/>
  <c r="CG12" i="6" s="1"/>
  <c r="CH81" i="5"/>
  <c r="CG84" i="5"/>
  <c r="CG12" i="5" s="1"/>
  <c r="AY6" i="12"/>
  <c r="AZ94" i="12"/>
  <c r="AZ93" i="12" s="1"/>
  <c r="AY53" i="12"/>
  <c r="AR6" i="14" s="1"/>
  <c r="AZ85" i="1"/>
  <c r="AZ10" i="1" s="1"/>
  <c r="BF5" i="13"/>
  <c r="BF6" i="13" s="1"/>
  <c r="AX8" i="12"/>
  <c r="AX9" i="12" s="1"/>
  <c r="BI4" i="13"/>
  <c r="AZ7" i="1"/>
  <c r="AZ8" i="1" s="1"/>
  <c r="AZ54" i="12"/>
  <c r="AY64" i="12"/>
  <c r="AY63" i="12" s="1"/>
  <c r="AY11" i="12" s="1"/>
  <c r="AY10" i="1"/>
  <c r="BA89" i="12"/>
  <c r="BA97" i="12"/>
  <c r="BA71" i="1"/>
  <c r="BA69" i="1" s="1"/>
  <c r="BA5" i="1" s="1"/>
  <c r="BA86" i="1"/>
  <c r="BA79" i="1"/>
  <c r="BA106" i="1"/>
  <c r="BA91" i="1"/>
  <c r="BA81" i="1"/>
  <c r="BA61" i="12" s="1"/>
  <c r="BA60" i="12" s="1"/>
  <c r="BA90" i="1"/>
  <c r="AZ96" i="12"/>
  <c r="Y17" i="13"/>
  <c r="AB10" i="13"/>
  <c r="AA25" i="13"/>
  <c r="U18" i="12"/>
  <c r="AC10" i="13" s="1"/>
  <c r="M106" i="12"/>
  <c r="N106" i="12"/>
  <c r="O106" i="12"/>
  <c r="P106" i="12"/>
  <c r="Q106" i="12"/>
  <c r="R106" i="12"/>
  <c r="S106" i="12"/>
  <c r="T106" i="12"/>
  <c r="U106" i="12"/>
  <c r="V106" i="12"/>
  <c r="W106" i="12"/>
  <c r="X106" i="12"/>
  <c r="Y106" i="12"/>
  <c r="Z106" i="12"/>
  <c r="AA106" i="12"/>
  <c r="AB106" i="12"/>
  <c r="AC106" i="12"/>
  <c r="C7" i="24"/>
  <c r="Q7" i="24" s="1"/>
  <c r="F7" i="24"/>
  <c r="G7" i="24"/>
  <c r="AM106" i="12"/>
  <c r="N7" i="24" s="1"/>
  <c r="AN106" i="12"/>
  <c r="O7" i="24" s="1"/>
  <c r="AO106" i="12"/>
  <c r="P7" i="24" s="1"/>
  <c r="AP106" i="12"/>
  <c r="AQ106" i="12"/>
  <c r="AR106" i="12"/>
  <c r="AS106" i="12"/>
  <c r="AT106" i="12"/>
  <c r="AU106" i="12"/>
  <c r="AV106" i="12"/>
  <c r="AW106" i="12"/>
  <c r="R91" i="12"/>
  <c r="S91" i="12"/>
  <c r="X76" i="12"/>
  <c r="Y76" i="12"/>
  <c r="Z76" i="12"/>
  <c r="AA76" i="12"/>
  <c r="AB76" i="12"/>
  <c r="AC76" i="12"/>
  <c r="AD76" i="12"/>
  <c r="AE76" i="12"/>
  <c r="AF76" i="12"/>
  <c r="AG76" i="12"/>
  <c r="AH76" i="12"/>
  <c r="AI76" i="12"/>
  <c r="AJ76" i="12"/>
  <c r="AK76" i="12"/>
  <c r="AL76" i="12"/>
  <c r="AM76" i="12"/>
  <c r="AN76" i="12"/>
  <c r="AO76" i="12"/>
  <c r="AP76" i="12"/>
  <c r="AQ76" i="12"/>
  <c r="AR76" i="12"/>
  <c r="AS76" i="12"/>
  <c r="AT76" i="12"/>
  <c r="AU76" i="12"/>
  <c r="AV76" i="12"/>
  <c r="AW76" i="12"/>
  <c r="X73" i="12"/>
  <c r="Y73" i="12"/>
  <c r="Z73" i="12"/>
  <c r="AA73" i="12"/>
  <c r="AB73" i="12"/>
  <c r="AC73" i="12"/>
  <c r="AD73" i="12"/>
  <c r="AE73" i="12"/>
  <c r="AF73" i="12"/>
  <c r="AG73" i="12"/>
  <c r="AH73" i="12"/>
  <c r="AI73" i="12"/>
  <c r="AJ73" i="12"/>
  <c r="AK73" i="12"/>
  <c r="AL73" i="12"/>
  <c r="AM73" i="12"/>
  <c r="AN73" i="12"/>
  <c r="AO73" i="12"/>
  <c r="AP73" i="12"/>
  <c r="AQ73" i="12"/>
  <c r="AR73" i="12"/>
  <c r="AS73" i="12"/>
  <c r="AT73" i="12"/>
  <c r="AU73" i="12"/>
  <c r="AV73" i="12"/>
  <c r="AW73" i="12"/>
  <c r="X71" i="12"/>
  <c r="Y71" i="12"/>
  <c r="Z71" i="12"/>
  <c r="AA71" i="12"/>
  <c r="AB71" i="12"/>
  <c r="AC71" i="12"/>
  <c r="AD71" i="12"/>
  <c r="AE71" i="12"/>
  <c r="AF71" i="12"/>
  <c r="AG71" i="12"/>
  <c r="AH71" i="12"/>
  <c r="AI71" i="12"/>
  <c r="AJ71" i="12"/>
  <c r="AK71" i="12"/>
  <c r="AL71" i="12"/>
  <c r="AM71" i="12"/>
  <c r="AN71" i="12"/>
  <c r="AO71" i="12"/>
  <c r="AP71" i="12"/>
  <c r="AQ71" i="12"/>
  <c r="AR71" i="12"/>
  <c r="AS71" i="12"/>
  <c r="AT71" i="12"/>
  <c r="AU71" i="12"/>
  <c r="AV71" i="12"/>
  <c r="AW71" i="12"/>
  <c r="X68" i="12"/>
  <c r="Y68" i="12"/>
  <c r="Z68" i="12"/>
  <c r="AA68" i="12"/>
  <c r="AB68" i="12"/>
  <c r="AC68" i="12"/>
  <c r="AD68" i="12"/>
  <c r="AE68" i="12"/>
  <c r="AF68" i="12"/>
  <c r="AG68" i="12"/>
  <c r="AH68" i="12"/>
  <c r="AI68" i="12"/>
  <c r="AJ68" i="12"/>
  <c r="AK68" i="12"/>
  <c r="AL68" i="12"/>
  <c r="AM68" i="12"/>
  <c r="AN68" i="12"/>
  <c r="AO68" i="12"/>
  <c r="AP68" i="12"/>
  <c r="AQ68" i="12"/>
  <c r="AR68" i="12"/>
  <c r="AS68" i="12"/>
  <c r="AT68" i="12"/>
  <c r="AU68" i="12"/>
  <c r="AV68" i="12"/>
  <c r="AW68"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S87" i="12"/>
  <c r="T87" i="12"/>
  <c r="U87" i="12"/>
  <c r="V87" i="12"/>
  <c r="W87" i="12"/>
  <c r="X87" i="12"/>
  <c r="Y87" i="12"/>
  <c r="Z87" i="12"/>
  <c r="AA87" i="12"/>
  <c r="AB87" i="12"/>
  <c r="AC87" i="12"/>
  <c r="AD87" i="12"/>
  <c r="AE87" i="12"/>
  <c r="AF87" i="12"/>
  <c r="AG87" i="12"/>
  <c r="AH87" i="12"/>
  <c r="AI87" i="12"/>
  <c r="AJ87" i="12"/>
  <c r="AK87" i="12"/>
  <c r="AL87" i="12"/>
  <c r="AM87" i="12"/>
  <c r="AN87" i="12"/>
  <c r="AO87" i="12"/>
  <c r="AP87" i="12"/>
  <c r="AQ87" i="12"/>
  <c r="AR87" i="12"/>
  <c r="AS87" i="12"/>
  <c r="AT87" i="12"/>
  <c r="AU87" i="12"/>
  <c r="AV87" i="12"/>
  <c r="AW87" i="12"/>
  <c r="M45" i="12"/>
  <c r="N45" i="12"/>
  <c r="O45" i="12"/>
  <c r="P45" i="12"/>
  <c r="Q45" i="12"/>
  <c r="R45" i="12"/>
  <c r="S45" i="12"/>
  <c r="T45" i="12"/>
  <c r="U45" i="12"/>
  <c r="V45" i="12"/>
  <c r="W45" i="12"/>
  <c r="X45" i="12"/>
  <c r="Y45" i="12"/>
  <c r="Z45" i="12"/>
  <c r="AA45" i="12"/>
  <c r="AB45" i="12"/>
  <c r="AC45" i="12"/>
  <c r="AD45" i="12"/>
  <c r="AE45" i="12"/>
  <c r="AF45" i="12"/>
  <c r="AH45" i="12"/>
  <c r="AI45" i="12"/>
  <c r="AJ45" i="12"/>
  <c r="AK45" i="12"/>
  <c r="AL45" i="12"/>
  <c r="AM45" i="12"/>
  <c r="AN45" i="12"/>
  <c r="AO45" i="12"/>
  <c r="AT45" i="12"/>
  <c r="AU45" i="12"/>
  <c r="AV45" i="12"/>
  <c r="AW45" i="12"/>
  <c r="CP104" i="12"/>
  <c r="CP86" i="12"/>
  <c r="CQ86" i="12" s="1"/>
  <c r="CR86" i="12" s="1"/>
  <c r="CS86" i="12" s="1"/>
  <c r="CT86" i="12" s="1"/>
  <c r="CU86" i="12" s="1"/>
  <c r="CP52" i="12"/>
  <c r="CQ52" i="12" s="1"/>
  <c r="CR52" i="12" s="1"/>
  <c r="CS52" i="12" s="1"/>
  <c r="CT52" i="12" s="1"/>
  <c r="CU52" i="12" s="1"/>
  <c r="CP40" i="12"/>
  <c r="CQ40" i="12" s="1"/>
  <c r="CR40" i="12" s="1"/>
  <c r="CS40" i="12" s="1"/>
  <c r="CT40" i="12" s="1"/>
  <c r="CU40" i="12" s="1"/>
  <c r="CO3" i="12"/>
  <c r="AW2" i="12"/>
  <c r="AV2" i="12"/>
  <c r="AU2" i="12"/>
  <c r="AT2" i="12"/>
  <c r="AS2" i="12"/>
  <c r="AR2" i="12"/>
  <c r="AQ2" i="12"/>
  <c r="AP2" i="12"/>
  <c r="AO2" i="12"/>
  <c r="AN2" i="12"/>
  <c r="AM2" i="12"/>
  <c r="AL2" i="12"/>
  <c r="AK2" i="12"/>
  <c r="AJ2" i="12"/>
  <c r="AI2" i="12"/>
  <c r="AH2" i="12"/>
  <c r="AG2" i="12"/>
  <c r="AF2" i="12"/>
  <c r="AE2" i="12"/>
  <c r="AD2" i="12"/>
  <c r="AC2" i="12"/>
  <c r="AB2" i="12"/>
  <c r="AA2" i="12"/>
  <c r="Z2" i="12"/>
  <c r="Y2" i="12"/>
  <c r="X2" i="12"/>
  <c r="W2" i="12"/>
  <c r="V2" i="12"/>
  <c r="U2" i="12"/>
  <c r="T2" i="12"/>
  <c r="S2" i="12"/>
  <c r="R2" i="12"/>
  <c r="Q2" i="12"/>
  <c r="P2" i="12"/>
  <c r="O2" i="12"/>
  <c r="N2" i="12"/>
  <c r="M2" i="12"/>
  <c r="L2" i="12"/>
  <c r="AW91" i="11"/>
  <c r="AV91" i="11"/>
  <c r="AU91" i="11"/>
  <c r="AT91" i="11"/>
  <c r="AS91" i="11"/>
  <c r="AR91" i="11"/>
  <c r="AQ91" i="11"/>
  <c r="AP91" i="11"/>
  <c r="AO91" i="11"/>
  <c r="AN91" i="11"/>
  <c r="AM91" i="11"/>
  <c r="AL91" i="11"/>
  <c r="AK91" i="11"/>
  <c r="AJ91" i="11"/>
  <c r="AI91" i="11"/>
  <c r="AH91" i="11"/>
  <c r="AG91" i="11"/>
  <c r="AF91" i="11"/>
  <c r="AE91" i="11"/>
  <c r="AD91" i="11"/>
  <c r="AC91" i="11"/>
  <c r="AB91" i="11"/>
  <c r="AA91" i="11"/>
  <c r="Z91" i="11"/>
  <c r="Y91" i="11"/>
  <c r="X91" i="11"/>
  <c r="W91" i="11"/>
  <c r="V91" i="11"/>
  <c r="U91" i="11"/>
  <c r="T91" i="11"/>
  <c r="S91" i="11"/>
  <c r="R91" i="11"/>
  <c r="Q91" i="11"/>
  <c r="P91" i="11"/>
  <c r="O91" i="11"/>
  <c r="N91" i="11"/>
  <c r="M91" i="11"/>
  <c r="L91" i="11"/>
  <c r="CN87" i="11"/>
  <c r="CO87" i="11" s="1"/>
  <c r="CP87" i="11" s="1"/>
  <c r="CQ87" i="11" s="1"/>
  <c r="CR87" i="11" s="1"/>
  <c r="CS87" i="11" s="1"/>
  <c r="R12" i="11"/>
  <c r="AQ80" i="11"/>
  <c r="AK80" i="11"/>
  <c r="CN79" i="11"/>
  <c r="CO79" i="11" s="1"/>
  <c r="CP79" i="11" s="1"/>
  <c r="CQ79" i="11" s="1"/>
  <c r="CR79" i="11" s="1"/>
  <c r="CS79" i="11" s="1"/>
  <c r="L61" i="11"/>
  <c r="AW58" i="11"/>
  <c r="AV58" i="11"/>
  <c r="AU58" i="11"/>
  <c r="AT58" i="11"/>
  <c r="AS58" i="11"/>
  <c r="AR58" i="11"/>
  <c r="AQ58" i="11"/>
  <c r="AP58" i="11"/>
  <c r="AO58" i="11"/>
  <c r="AN58" i="11"/>
  <c r="AM58" i="11"/>
  <c r="AL58" i="11"/>
  <c r="AK58" i="11"/>
  <c r="AI58" i="11"/>
  <c r="AH58" i="11"/>
  <c r="AG58" i="11"/>
  <c r="AF58" i="11"/>
  <c r="R54" i="11"/>
  <c r="Q54" i="11"/>
  <c r="P54" i="11"/>
  <c r="O54" i="11"/>
  <c r="N54" i="11"/>
  <c r="M54" i="11"/>
  <c r="L54" i="11"/>
  <c r="R51" i="11"/>
  <c r="Q51" i="11"/>
  <c r="P51" i="11"/>
  <c r="O51" i="11"/>
  <c r="N51" i="11"/>
  <c r="M51" i="11"/>
  <c r="L51" i="11"/>
  <c r="T48" i="11"/>
  <c r="AE48" i="11"/>
  <c r="S48" i="11"/>
  <c r="R48" i="11"/>
  <c r="Q48" i="11"/>
  <c r="P48" i="11"/>
  <c r="O48" i="11"/>
  <c r="N48" i="11"/>
  <c r="M48" i="11"/>
  <c r="L48" i="11"/>
  <c r="AW46" i="11"/>
  <c r="AV46" i="11"/>
  <c r="AU46" i="11"/>
  <c r="AT46" i="11"/>
  <c r="AS46" i="11"/>
  <c r="AR46" i="11"/>
  <c r="AQ46" i="11"/>
  <c r="AP46" i="11"/>
  <c r="AO46" i="11"/>
  <c r="AN46" i="11"/>
  <c r="AM46" i="11"/>
  <c r="AL46" i="11"/>
  <c r="AK46" i="11"/>
  <c r="AJ46" i="11"/>
  <c r="R44" i="11"/>
  <c r="R5" i="11" s="1"/>
  <c r="Q44" i="11"/>
  <c r="Q5" i="11" s="1"/>
  <c r="P44" i="11"/>
  <c r="P5" i="11" s="1"/>
  <c r="O44" i="11"/>
  <c r="O5" i="11" s="1"/>
  <c r="N44" i="11"/>
  <c r="N5" i="11" s="1"/>
  <c r="M44" i="11"/>
  <c r="M5" i="11" s="1"/>
  <c r="L44" i="11"/>
  <c r="CN43" i="11"/>
  <c r="CO43" i="11" s="1"/>
  <c r="CP43" i="11" s="1"/>
  <c r="CQ43" i="11" s="1"/>
  <c r="CR43" i="11" s="1"/>
  <c r="CS43" i="11" s="1"/>
  <c r="CN34" i="11"/>
  <c r="CO34" i="11" s="1"/>
  <c r="CP34" i="11" s="1"/>
  <c r="CQ34" i="11" s="1"/>
  <c r="CR34" i="11" s="1"/>
  <c r="CS34" i="11" s="1"/>
  <c r="CN3" i="11"/>
  <c r="AW2" i="11"/>
  <c r="AV2" i="11"/>
  <c r="AU2" i="11"/>
  <c r="AT2" i="11"/>
  <c r="AS2" i="11"/>
  <c r="AR2" i="11"/>
  <c r="AQ2" i="11"/>
  <c r="AP2" i="11"/>
  <c r="AO2" i="11"/>
  <c r="AN2" i="11"/>
  <c r="AM2" i="11"/>
  <c r="AL2" i="11"/>
  <c r="AK2" i="11"/>
  <c r="AJ2" i="11"/>
  <c r="AI2" i="11"/>
  <c r="AH2" i="11"/>
  <c r="AG2" i="11"/>
  <c r="AF2" i="11"/>
  <c r="AE2" i="11"/>
  <c r="AD2" i="11"/>
  <c r="AC2" i="11"/>
  <c r="AB2" i="11"/>
  <c r="AA2" i="11"/>
  <c r="Z2" i="11"/>
  <c r="Y2" i="11"/>
  <c r="X2" i="11"/>
  <c r="W2" i="11"/>
  <c r="V2" i="11"/>
  <c r="U2" i="11"/>
  <c r="T2" i="11"/>
  <c r="S2" i="11"/>
  <c r="R2" i="11"/>
  <c r="Q2" i="11"/>
  <c r="P2" i="11"/>
  <c r="O2" i="11"/>
  <c r="N2" i="11"/>
  <c r="M2" i="11"/>
  <c r="L2" i="11"/>
  <c r="AW91" i="8"/>
  <c r="AV91" i="8"/>
  <c r="AU91" i="8"/>
  <c r="AT91" i="8"/>
  <c r="AS91" i="8"/>
  <c r="AR91" i="8"/>
  <c r="AQ91" i="8"/>
  <c r="AP91" i="8"/>
  <c r="AO91"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CN88" i="8"/>
  <c r="CO88" i="8" s="1"/>
  <c r="CP88" i="8" s="1"/>
  <c r="CQ88" i="8" s="1"/>
  <c r="CR88" i="8" s="1"/>
  <c r="CS88" i="8" s="1"/>
  <c r="AK81" i="8"/>
  <c r="AF81" i="8"/>
  <c r="CN79" i="8"/>
  <c r="CO79" i="8" s="1"/>
  <c r="CP79" i="8" s="1"/>
  <c r="CQ79" i="8" s="1"/>
  <c r="CR79" i="8" s="1"/>
  <c r="CS79" i="8" s="1"/>
  <c r="L61" i="8"/>
  <c r="AW58" i="8"/>
  <c r="AV58" i="8"/>
  <c r="AU58" i="8"/>
  <c r="AT58" i="8"/>
  <c r="AS58" i="8"/>
  <c r="AR58" i="8"/>
  <c r="AQ58" i="8"/>
  <c r="AP58" i="8"/>
  <c r="AO58" i="8"/>
  <c r="AN58" i="8"/>
  <c r="AM58" i="8"/>
  <c r="AL58" i="8"/>
  <c r="AK58" i="8"/>
  <c r="AJ58" i="8"/>
  <c r="AI58" i="8"/>
  <c r="AH58" i="8"/>
  <c r="AG58" i="8"/>
  <c r="AF58" i="8"/>
  <c r="AE58" i="8"/>
  <c r="AD58" i="8"/>
  <c r="AC58" i="8"/>
  <c r="AB58" i="8"/>
  <c r="AA58" i="8"/>
  <c r="Z58" i="8"/>
  <c r="Y58" i="8"/>
  <c r="X58" i="8"/>
  <c r="W58" i="8"/>
  <c r="V58" i="8"/>
  <c r="U58" i="8"/>
  <c r="T58" i="8"/>
  <c r="S58" i="8"/>
  <c r="O54" i="8"/>
  <c r="N54" i="8"/>
  <c r="M54" i="8"/>
  <c r="L54" i="8"/>
  <c r="O51" i="8"/>
  <c r="N51" i="8"/>
  <c r="M51" i="8"/>
  <c r="L51" i="8"/>
  <c r="U50" i="8"/>
  <c r="V50" i="8" s="1"/>
  <c r="S48" i="8"/>
  <c r="R48" i="8"/>
  <c r="Q48" i="8"/>
  <c r="P48" i="8"/>
  <c r="O48" i="8"/>
  <c r="N48" i="8"/>
  <c r="M48" i="8"/>
  <c r="L48" i="8"/>
  <c r="AW46" i="8"/>
  <c r="AV46" i="8"/>
  <c r="AU46" i="8"/>
  <c r="AT46" i="8"/>
  <c r="AS46" i="8"/>
  <c r="AR46" i="8"/>
  <c r="AQ46" i="8"/>
  <c r="AP46" i="8"/>
  <c r="AO46" i="8"/>
  <c r="AN46" i="8"/>
  <c r="AM46" i="8"/>
  <c r="AL46" i="8"/>
  <c r="AK46" i="8"/>
  <c r="AJ46" i="8"/>
  <c r="AI46" i="8"/>
  <c r="AH46" i="8"/>
  <c r="AG46" i="8"/>
  <c r="AF46" i="8"/>
  <c r="AE46" i="8"/>
  <c r="AD46" i="8"/>
  <c r="AC46" i="8"/>
  <c r="AB46" i="8"/>
  <c r="AA46" i="8"/>
  <c r="Z46" i="8"/>
  <c r="Y46" i="8"/>
  <c r="X46" i="8"/>
  <c r="O44" i="8"/>
  <c r="O5" i="8" s="1"/>
  <c r="N44" i="8"/>
  <c r="M44" i="8"/>
  <c r="L44" i="8"/>
  <c r="CN43" i="8"/>
  <c r="CO43" i="8" s="1"/>
  <c r="CP43" i="8" s="1"/>
  <c r="CQ43" i="8" s="1"/>
  <c r="CR43" i="8" s="1"/>
  <c r="CS43" i="8" s="1"/>
  <c r="CN34" i="8"/>
  <c r="CO34" i="8" s="1"/>
  <c r="CP34" i="8" s="1"/>
  <c r="CQ34" i="8" s="1"/>
  <c r="CR34" i="8" s="1"/>
  <c r="CS34" i="8" s="1"/>
  <c r="CN3" i="8"/>
  <c r="CO3" i="8" s="1"/>
  <c r="CP3" i="8" s="1"/>
  <c r="AW2" i="8"/>
  <c r="AV2" i="8"/>
  <c r="AU2" i="8"/>
  <c r="AT2" i="8"/>
  <c r="AS2" i="8"/>
  <c r="AR2" i="8"/>
  <c r="AQ2" i="8"/>
  <c r="AP2" i="8"/>
  <c r="AO2" i="8"/>
  <c r="AN2" i="8"/>
  <c r="AM2" i="8"/>
  <c r="AL2" i="8"/>
  <c r="AK2" i="8"/>
  <c r="AJ2" i="8"/>
  <c r="AI2" i="8"/>
  <c r="AH2" i="8"/>
  <c r="AG2" i="8"/>
  <c r="AF2" i="8"/>
  <c r="AE2" i="8"/>
  <c r="AD2" i="8"/>
  <c r="AC2" i="8"/>
  <c r="AB2" i="8"/>
  <c r="AA2" i="8"/>
  <c r="Z2" i="8"/>
  <c r="Y2" i="8"/>
  <c r="X2" i="8"/>
  <c r="W2" i="8"/>
  <c r="V2" i="8"/>
  <c r="U2" i="8"/>
  <c r="T2" i="8"/>
  <c r="S2" i="8"/>
  <c r="R2" i="8"/>
  <c r="Q2" i="8"/>
  <c r="P2" i="8"/>
  <c r="O2" i="8"/>
  <c r="N2" i="8"/>
  <c r="M2" i="8"/>
  <c r="L2" i="8"/>
  <c r="AW90" i="7"/>
  <c r="AV90" i="7"/>
  <c r="AU90" i="7"/>
  <c r="AT90" i="7"/>
  <c r="AS90" i="7"/>
  <c r="AR90" i="7"/>
  <c r="AQ90" i="7"/>
  <c r="AP90" i="7"/>
  <c r="AO90" i="7"/>
  <c r="AN90" i="7"/>
  <c r="AM90" i="7"/>
  <c r="AL90" i="7"/>
  <c r="AK90" i="7"/>
  <c r="AJ90" i="7"/>
  <c r="AI90" i="7"/>
  <c r="AH90" i="7"/>
  <c r="AG90" i="7"/>
  <c r="AF90" i="7"/>
  <c r="AE90" i="7"/>
  <c r="AD90" i="7"/>
  <c r="AC90" i="7"/>
  <c r="AB90" i="7"/>
  <c r="AA90" i="7"/>
  <c r="Z90" i="7"/>
  <c r="Y90" i="7"/>
  <c r="X90" i="7"/>
  <c r="W90" i="7"/>
  <c r="V90" i="7"/>
  <c r="U90" i="7"/>
  <c r="T90" i="7"/>
  <c r="S90" i="7"/>
  <c r="R90" i="7"/>
  <c r="Q90" i="7"/>
  <c r="P90" i="7"/>
  <c r="O90" i="7"/>
  <c r="N90" i="7"/>
  <c r="M90" i="7"/>
  <c r="L90" i="7"/>
  <c r="CN87" i="7"/>
  <c r="CO87" i="7" s="1"/>
  <c r="CP87" i="7" s="1"/>
  <c r="CQ87" i="7" s="1"/>
  <c r="CR87" i="7" s="1"/>
  <c r="CS87" i="7" s="1"/>
  <c r="AQ80" i="7"/>
  <c r="AK80" i="7"/>
  <c r="AF80" i="7"/>
  <c r="CN79" i="7"/>
  <c r="CO79" i="7" s="1"/>
  <c r="CP79" i="7" s="1"/>
  <c r="CQ79" i="7" s="1"/>
  <c r="CR79" i="7" s="1"/>
  <c r="CS79" i="7" s="1"/>
  <c r="L61" i="7"/>
  <c r="AW58" i="7"/>
  <c r="AV58" i="7"/>
  <c r="AU58" i="7"/>
  <c r="AT58" i="7"/>
  <c r="AS58" i="7"/>
  <c r="AR58" i="7"/>
  <c r="AQ58" i="7"/>
  <c r="AP58" i="7"/>
  <c r="AO58" i="7"/>
  <c r="AN58" i="7"/>
  <c r="AM58" i="7"/>
  <c r="AL58" i="7"/>
  <c r="AK58" i="7"/>
  <c r="AJ58" i="7"/>
  <c r="AI58" i="7"/>
  <c r="AH58" i="7"/>
  <c r="AG58" i="7"/>
  <c r="AF58" i="7"/>
  <c r="AE58" i="7"/>
  <c r="AD58" i="7"/>
  <c r="AC58" i="7"/>
  <c r="AB58" i="7"/>
  <c r="AA58" i="7"/>
  <c r="Z58" i="7"/>
  <c r="Y58" i="7"/>
  <c r="X58" i="7"/>
  <c r="W58" i="7"/>
  <c r="V58" i="7"/>
  <c r="U58" i="7"/>
  <c r="T58" i="7"/>
  <c r="S58" i="7"/>
  <c r="O54" i="7"/>
  <c r="N54" i="7"/>
  <c r="M54" i="7"/>
  <c r="L54" i="7"/>
  <c r="O51" i="7"/>
  <c r="N51" i="7"/>
  <c r="M51" i="7"/>
  <c r="L51" i="7"/>
  <c r="AK50" i="7"/>
  <c r="AL50" i="7" s="1"/>
  <c r="AF50" i="7"/>
  <c r="AG50" i="7" s="1"/>
  <c r="AJ48" i="7"/>
  <c r="AE48" i="7"/>
  <c r="S48" i="7"/>
  <c r="R48" i="7"/>
  <c r="Q48" i="7"/>
  <c r="P48" i="7"/>
  <c r="O48" i="7"/>
  <c r="N48" i="7"/>
  <c r="M48" i="7"/>
  <c r="L48" i="7"/>
  <c r="O44" i="7"/>
  <c r="N44" i="7"/>
  <c r="M44" i="7"/>
  <c r="L44" i="7"/>
  <c r="CN43" i="7"/>
  <c r="CO43" i="7" s="1"/>
  <c r="CP43" i="7" s="1"/>
  <c r="CQ43" i="7" s="1"/>
  <c r="CR43" i="7" s="1"/>
  <c r="CS43" i="7" s="1"/>
  <c r="CN34" i="7"/>
  <c r="CO34" i="7" s="1"/>
  <c r="CP34" i="7" s="1"/>
  <c r="CQ34" i="7" s="1"/>
  <c r="CR34" i="7" s="1"/>
  <c r="CS34" i="7" s="1"/>
  <c r="CN3" i="7"/>
  <c r="CO3" i="7" s="1"/>
  <c r="CP3" i="7" s="1"/>
  <c r="AW2" i="7"/>
  <c r="AV2" i="7"/>
  <c r="AU2" i="7"/>
  <c r="AT2" i="7"/>
  <c r="AS2" i="7"/>
  <c r="AR2" i="7"/>
  <c r="AQ2" i="7"/>
  <c r="AP2" i="7"/>
  <c r="AO2" i="7"/>
  <c r="AN2" i="7"/>
  <c r="AM2" i="7"/>
  <c r="AL2" i="7"/>
  <c r="AK2" i="7"/>
  <c r="AJ2" i="7"/>
  <c r="AI2" i="7"/>
  <c r="AH2" i="7"/>
  <c r="AG2" i="7"/>
  <c r="AF2" i="7"/>
  <c r="AE2" i="7"/>
  <c r="AD2" i="7"/>
  <c r="AC2" i="7"/>
  <c r="AB2" i="7"/>
  <c r="AA2" i="7"/>
  <c r="Z2" i="7"/>
  <c r="Y2" i="7"/>
  <c r="X2" i="7"/>
  <c r="W2" i="7"/>
  <c r="V2" i="7"/>
  <c r="U2" i="7"/>
  <c r="T2" i="7"/>
  <c r="S2" i="7"/>
  <c r="R2" i="7"/>
  <c r="Q2" i="7"/>
  <c r="P2" i="7"/>
  <c r="O2" i="7"/>
  <c r="N2" i="7"/>
  <c r="M2" i="7"/>
  <c r="L2" i="7"/>
  <c r="AW90" i="6"/>
  <c r="AV90" i="6"/>
  <c r="AU90" i="6"/>
  <c r="AT90" i="6"/>
  <c r="AS90" i="6"/>
  <c r="AR90" i="6"/>
  <c r="AQ90" i="6"/>
  <c r="AP90" i="6"/>
  <c r="AO90" i="6"/>
  <c r="AN90" i="6"/>
  <c r="AM90" i="6"/>
  <c r="AL90" i="6"/>
  <c r="AK90" i="6"/>
  <c r="AJ90" i="6"/>
  <c r="AI90" i="6"/>
  <c r="AH90" i="6"/>
  <c r="AG90" i="6"/>
  <c r="AF90" i="6"/>
  <c r="AE90" i="6"/>
  <c r="AD90" i="6"/>
  <c r="AC90" i="6"/>
  <c r="AB90" i="6"/>
  <c r="AA90" i="6"/>
  <c r="Z90" i="6"/>
  <c r="Y90" i="6"/>
  <c r="X90" i="6"/>
  <c r="W90" i="6"/>
  <c r="V90" i="6"/>
  <c r="U90" i="6"/>
  <c r="T90" i="6"/>
  <c r="S90" i="6"/>
  <c r="R90" i="6"/>
  <c r="Q90" i="6"/>
  <c r="P90" i="6"/>
  <c r="O90" i="6"/>
  <c r="N90" i="6"/>
  <c r="M90" i="6"/>
  <c r="L90" i="6"/>
  <c r="CN87" i="6"/>
  <c r="CO87" i="6" s="1"/>
  <c r="CP87" i="6" s="1"/>
  <c r="CQ87" i="6" s="1"/>
  <c r="CR87" i="6" s="1"/>
  <c r="CS87" i="6" s="1"/>
  <c r="AQ80" i="6"/>
  <c r="AK80" i="6"/>
  <c r="AF80" i="6"/>
  <c r="CN78" i="6"/>
  <c r="CO78" i="6" s="1"/>
  <c r="CP78" i="6" s="1"/>
  <c r="CQ78" i="6" s="1"/>
  <c r="CR78" i="6" s="1"/>
  <c r="CS78" i="6" s="1"/>
  <c r="L60" i="6"/>
  <c r="R55" i="6"/>
  <c r="Q55" i="6"/>
  <c r="P55" i="6"/>
  <c r="O55" i="6"/>
  <c r="N55" i="6"/>
  <c r="M55" i="6"/>
  <c r="L55" i="6"/>
  <c r="R51" i="6"/>
  <c r="Q51" i="6"/>
  <c r="P51" i="6"/>
  <c r="O51" i="6"/>
  <c r="N51" i="6"/>
  <c r="M51" i="6"/>
  <c r="L51" i="6"/>
  <c r="AK50" i="6"/>
  <c r="AL50" i="6" s="1"/>
  <c r="AJ48" i="6"/>
  <c r="AE48" i="6"/>
  <c r="S48" i="6"/>
  <c r="R48" i="6"/>
  <c r="Q48" i="6"/>
  <c r="P48" i="6"/>
  <c r="O48" i="6"/>
  <c r="N48" i="6"/>
  <c r="M48" i="6"/>
  <c r="L48" i="6"/>
  <c r="AW46" i="6"/>
  <c r="AV46" i="6"/>
  <c r="AU46" i="6"/>
  <c r="AT46" i="6"/>
  <c r="AS46" i="6"/>
  <c r="AR46" i="6"/>
  <c r="AQ46" i="6"/>
  <c r="AP46" i="6"/>
  <c r="AO46" i="6"/>
  <c r="AN46" i="6"/>
  <c r="AM46" i="6"/>
  <c r="AL46" i="6"/>
  <c r="AK46" i="6"/>
  <c r="AJ46" i="6"/>
  <c r="AI46" i="6"/>
  <c r="AH46" i="6"/>
  <c r="R44" i="6"/>
  <c r="Q44" i="6"/>
  <c r="P44" i="6"/>
  <c r="P5" i="6" s="1"/>
  <c r="O44" i="6"/>
  <c r="O5" i="6" s="1"/>
  <c r="N44" i="6"/>
  <c r="M44" i="6"/>
  <c r="L44" i="6"/>
  <c r="CN43" i="6"/>
  <c r="CO43" i="6" s="1"/>
  <c r="CP43" i="6" s="1"/>
  <c r="CQ43" i="6" s="1"/>
  <c r="CR43" i="6" s="1"/>
  <c r="CS43" i="6" s="1"/>
  <c r="CN34" i="6"/>
  <c r="CO34" i="6" s="1"/>
  <c r="CP34" i="6" s="1"/>
  <c r="CQ34" i="6" s="1"/>
  <c r="CR34" i="6" s="1"/>
  <c r="CS34" i="6" s="1"/>
  <c r="CN3" i="6"/>
  <c r="CO3" i="6" s="1"/>
  <c r="CP3" i="6" s="1"/>
  <c r="AW2" i="6"/>
  <c r="AV2" i="6"/>
  <c r="AU2" i="6"/>
  <c r="AT2" i="6"/>
  <c r="AS2" i="6"/>
  <c r="AR2" i="6"/>
  <c r="AQ2" i="6"/>
  <c r="AP2" i="6"/>
  <c r="AO2" i="6"/>
  <c r="AN2" i="6"/>
  <c r="AM2" i="6"/>
  <c r="AL2" i="6"/>
  <c r="AK2" i="6"/>
  <c r="AJ2" i="6"/>
  <c r="AI2" i="6"/>
  <c r="AH2" i="6"/>
  <c r="AG2" i="6"/>
  <c r="AF2" i="6"/>
  <c r="AE2" i="6"/>
  <c r="AD2" i="6"/>
  <c r="AC2" i="6"/>
  <c r="AB2" i="6"/>
  <c r="AA2" i="6"/>
  <c r="Z2" i="6"/>
  <c r="Y2" i="6"/>
  <c r="X2" i="6"/>
  <c r="W2" i="6"/>
  <c r="V2" i="6"/>
  <c r="U2" i="6"/>
  <c r="T2" i="6"/>
  <c r="S2" i="6"/>
  <c r="R2" i="6"/>
  <c r="Q2" i="6"/>
  <c r="P2" i="6"/>
  <c r="O2" i="6"/>
  <c r="N2" i="6"/>
  <c r="M2" i="6"/>
  <c r="L2" i="6"/>
  <c r="AQ81" i="5"/>
  <c r="AK81" i="5"/>
  <c r="AK50" i="5"/>
  <c r="AL50" i="5" s="1"/>
  <c r="AM50" i="5" s="1"/>
  <c r="AN50" i="5" s="1"/>
  <c r="AO50" i="5" s="1"/>
  <c r="AP50" i="5" s="1"/>
  <c r="AQ50" i="5" s="1"/>
  <c r="AR50" i="5" s="1"/>
  <c r="AS50" i="5" s="1"/>
  <c r="AT50" i="5" s="1"/>
  <c r="AU50" i="5" s="1"/>
  <c r="AV50" i="5" s="1"/>
  <c r="AW50" i="5" s="1"/>
  <c r="AX50" i="5" s="1"/>
  <c r="AH50" i="5"/>
  <c r="AI50" i="5" s="1"/>
  <c r="AD50" i="5"/>
  <c r="AW91" i="5"/>
  <c r="AW108" i="12" s="1"/>
  <c r="AV91" i="5"/>
  <c r="AV108" i="12" s="1"/>
  <c r="AU91" i="5"/>
  <c r="AU108" i="12" s="1"/>
  <c r="AT91" i="5"/>
  <c r="AT108" i="12" s="1"/>
  <c r="AS91" i="5"/>
  <c r="AS108" i="12" s="1"/>
  <c r="AR91" i="5"/>
  <c r="AR108" i="12" s="1"/>
  <c r="AQ91" i="5"/>
  <c r="AQ108" i="12" s="1"/>
  <c r="AP91" i="5"/>
  <c r="AP108" i="12" s="1"/>
  <c r="AO91" i="5"/>
  <c r="AO108" i="12" s="1"/>
  <c r="AN91" i="5"/>
  <c r="AN108" i="12" s="1"/>
  <c r="AM91" i="5"/>
  <c r="AM108" i="12" s="1"/>
  <c r="AL91" i="5"/>
  <c r="AL108" i="12" s="1"/>
  <c r="AK91" i="5"/>
  <c r="AK108" i="12" s="1"/>
  <c r="AJ91" i="5"/>
  <c r="AJ108" i="12" s="1"/>
  <c r="AI91" i="5"/>
  <c r="AI108" i="12" s="1"/>
  <c r="AH91" i="5"/>
  <c r="AH108" i="12" s="1"/>
  <c r="AG91" i="5"/>
  <c r="AG108" i="12" s="1"/>
  <c r="AF91" i="5"/>
  <c r="AF108" i="12" s="1"/>
  <c r="AE91" i="5"/>
  <c r="AE108" i="12" s="1"/>
  <c r="AD91" i="5"/>
  <c r="AD108" i="12" s="1"/>
  <c r="AC91" i="5"/>
  <c r="AC108" i="12" s="1"/>
  <c r="AB91" i="5"/>
  <c r="AB108" i="12" s="1"/>
  <c r="AA91" i="5"/>
  <c r="AA108" i="12" s="1"/>
  <c r="Z91" i="5"/>
  <c r="Z108" i="12" s="1"/>
  <c r="Y91" i="5"/>
  <c r="Y108" i="12" s="1"/>
  <c r="X91" i="5"/>
  <c r="X108" i="12" s="1"/>
  <c r="W91" i="5"/>
  <c r="W108" i="12" s="1"/>
  <c r="V91" i="5"/>
  <c r="V108" i="12" s="1"/>
  <c r="U91" i="5"/>
  <c r="U108" i="12" s="1"/>
  <c r="T91" i="5"/>
  <c r="T108" i="12" s="1"/>
  <c r="S91" i="5"/>
  <c r="S108" i="12" s="1"/>
  <c r="R91" i="5"/>
  <c r="R108" i="12" s="1"/>
  <c r="Q91" i="5"/>
  <c r="Q108" i="12" s="1"/>
  <c r="P91" i="5"/>
  <c r="P108" i="12" s="1"/>
  <c r="O91" i="5"/>
  <c r="O108" i="12" s="1"/>
  <c r="N91" i="5"/>
  <c r="N108" i="12" s="1"/>
  <c r="M91" i="5"/>
  <c r="M108" i="12" s="1"/>
  <c r="L91" i="5"/>
  <c r="L108" i="12" s="1"/>
  <c r="L110" i="12" s="1"/>
  <c r="L117" i="12" s="1"/>
  <c r="CN88" i="5"/>
  <c r="CO88" i="5" s="1"/>
  <c r="CP88" i="5" s="1"/>
  <c r="CQ88" i="5" s="1"/>
  <c r="CR88" i="5" s="1"/>
  <c r="CS88" i="5" s="1"/>
  <c r="CN79" i="5"/>
  <c r="CO79" i="5" s="1"/>
  <c r="CP79" i="5" s="1"/>
  <c r="CQ79" i="5" s="1"/>
  <c r="CR79" i="5" s="1"/>
  <c r="CS79" i="5" s="1"/>
  <c r="L61" i="5"/>
  <c r="R48" i="5"/>
  <c r="Q48" i="5"/>
  <c r="P48" i="5"/>
  <c r="O48" i="5"/>
  <c r="N48" i="5"/>
  <c r="M48" i="5"/>
  <c r="L48" i="5"/>
  <c r="AW46" i="5"/>
  <c r="AV46" i="5"/>
  <c r="AU46" i="5"/>
  <c r="AT46" i="5"/>
  <c r="AS46" i="5"/>
  <c r="AR46" i="5"/>
  <c r="AQ46" i="5"/>
  <c r="AP46" i="5"/>
  <c r="AO46" i="5"/>
  <c r="AN46" i="5"/>
  <c r="AM46" i="5"/>
  <c r="AL46" i="5"/>
  <c r="AK46" i="5"/>
  <c r="AJ46" i="5"/>
  <c r="AI46" i="5"/>
  <c r="AH46" i="5"/>
  <c r="AG46" i="5"/>
  <c r="AF46" i="5"/>
  <c r="CN43" i="5"/>
  <c r="CO43" i="5" s="1"/>
  <c r="CP43" i="5" s="1"/>
  <c r="CQ43" i="5" s="1"/>
  <c r="CR43" i="5" s="1"/>
  <c r="CS43" i="5" s="1"/>
  <c r="CN34" i="5"/>
  <c r="CO34" i="5" s="1"/>
  <c r="CP34" i="5" s="1"/>
  <c r="CQ34" i="5" s="1"/>
  <c r="CR34" i="5" s="1"/>
  <c r="CS34" i="5" s="1"/>
  <c r="CN3"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CP113" i="1"/>
  <c r="CQ113" i="1" s="1"/>
  <c r="CR113" i="1" s="1"/>
  <c r="CS113" i="1" s="1"/>
  <c r="CT113" i="1" s="1"/>
  <c r="CU113" i="1" s="1"/>
  <c r="CP103" i="1"/>
  <c r="CQ103" i="1" s="1"/>
  <c r="CR103" i="1" s="1"/>
  <c r="CS103" i="1" s="1"/>
  <c r="CT103" i="1" s="1"/>
  <c r="CU103" i="1" s="1"/>
  <c r="CP68" i="1"/>
  <c r="CQ68" i="1" s="1"/>
  <c r="CR68" i="1" s="1"/>
  <c r="CS68" i="1" s="1"/>
  <c r="CT68" i="1" s="1"/>
  <c r="CU68" i="1" s="1"/>
  <c r="CP39" i="1"/>
  <c r="CQ39" i="1" s="1"/>
  <c r="CR39" i="1" s="1"/>
  <c r="CS39" i="1" s="1"/>
  <c r="CT39" i="1" s="1"/>
  <c r="CU39" i="1" s="1"/>
  <c r="CO3" i="1"/>
  <c r="M2" i="1"/>
  <c r="N2" i="1"/>
  <c r="O2" i="1"/>
  <c r="P2" i="1"/>
  <c r="Q2" i="1"/>
  <c r="R2" i="1"/>
  <c r="S2" i="1"/>
  <c r="T2" i="1"/>
  <c r="U2" i="1"/>
  <c r="V2" i="1"/>
  <c r="W2" i="1"/>
  <c r="X2" i="1"/>
  <c r="Y2" i="1"/>
  <c r="Z2" i="1"/>
  <c r="AA2" i="1"/>
  <c r="AB2" i="1"/>
  <c r="AC2" i="1"/>
  <c r="AD2" i="1"/>
  <c r="AE2" i="1"/>
  <c r="AF2" i="1"/>
  <c r="AG2" i="1"/>
  <c r="AH2" i="1"/>
  <c r="AI2" i="1"/>
  <c r="AJ2" i="1"/>
  <c r="AK2" i="1"/>
  <c r="AL2" i="1"/>
  <c r="AM2" i="1"/>
  <c r="AN2" i="1"/>
  <c r="AO2" i="1"/>
  <c r="AP2" i="1"/>
  <c r="AQ2" i="1"/>
  <c r="AR2" i="1"/>
  <c r="AS2" i="1"/>
  <c r="AT2" i="1"/>
  <c r="AU2" i="1"/>
  <c r="AV2" i="1"/>
  <c r="AW2" i="1"/>
  <c r="L2" i="1"/>
  <c r="CH92" i="12" l="1"/>
  <c r="CI80" i="11"/>
  <c r="CH83" i="11"/>
  <c r="CH12" i="11" s="1"/>
  <c r="CG87" i="12"/>
  <c r="CH88" i="12"/>
  <c r="CJ72" i="12"/>
  <c r="CI71" i="12"/>
  <c r="CI67" i="12" s="1"/>
  <c r="CJ73" i="12"/>
  <c r="CK74" i="12"/>
  <c r="CK73" i="12" s="1"/>
  <c r="CK77" i="12"/>
  <c r="CK76" i="12" s="1"/>
  <c r="CJ76" i="12"/>
  <c r="CI81" i="8"/>
  <c r="CH84" i="8"/>
  <c r="CH12" i="8" s="1"/>
  <c r="CI80" i="7"/>
  <c r="CH83" i="7"/>
  <c r="CH12" i="7" s="1"/>
  <c r="CI80" i="6"/>
  <c r="CH83" i="6"/>
  <c r="CH12" i="6" s="1"/>
  <c r="R59" i="12"/>
  <c r="CI81" i="5"/>
  <c r="CH84" i="5"/>
  <c r="CH12" i="5" s="1"/>
  <c r="CC2" i="11"/>
  <c r="CC34" i="11"/>
  <c r="CC43" i="11" s="1"/>
  <c r="CC79" i="11" s="1"/>
  <c r="CC87" i="11" s="1"/>
  <c r="Q110" i="12"/>
  <c r="Q117" i="12" s="1"/>
  <c r="CO64" i="1"/>
  <c r="CO59" i="1"/>
  <c r="CO56" i="1"/>
  <c r="CO51" i="1"/>
  <c r="Q59" i="12"/>
  <c r="L59" i="12"/>
  <c r="P110" i="12"/>
  <c r="P117" i="12" s="1"/>
  <c r="O110" i="12"/>
  <c r="O117" i="12" s="1"/>
  <c r="N59" i="12"/>
  <c r="N110" i="12"/>
  <c r="N117" i="12" s="1"/>
  <c r="M59" i="12"/>
  <c r="O59" i="12"/>
  <c r="AK92" i="12"/>
  <c r="M110" i="12"/>
  <c r="M117" i="12" s="1"/>
  <c r="P59" i="12"/>
  <c r="CQ104" i="12"/>
  <c r="CP125" i="12"/>
  <c r="CO155" i="12"/>
  <c r="CO147" i="12"/>
  <c r="CO146" i="12"/>
  <c r="CO140" i="12"/>
  <c r="CO154" i="12"/>
  <c r="CO152" i="12"/>
  <c r="CO109" i="12"/>
  <c r="CO149" i="12"/>
  <c r="CO151" i="12"/>
  <c r="CO136" i="12"/>
  <c r="CO139" i="12"/>
  <c r="CO105" i="12"/>
  <c r="CO130" i="12"/>
  <c r="CO131" i="12"/>
  <c r="CO129" i="12"/>
  <c r="CO150" i="12"/>
  <c r="CO137" i="12"/>
  <c r="CO108" i="12"/>
  <c r="AZ6" i="12"/>
  <c r="CO138" i="1"/>
  <c r="CO140" i="1"/>
  <c r="CO139" i="1"/>
  <c r="CO141" i="1"/>
  <c r="CM57" i="5"/>
  <c r="CN57" i="5"/>
  <c r="W110" i="12"/>
  <c r="W117" i="12" s="1"/>
  <c r="AM110" i="12"/>
  <c r="AM117" i="12" s="1"/>
  <c r="AK110" i="12"/>
  <c r="AK117" i="12" s="1"/>
  <c r="AL110" i="12"/>
  <c r="AL117" i="12" s="1"/>
  <c r="AW110" i="12"/>
  <c r="AW117" i="12" s="1"/>
  <c r="CO167" i="12"/>
  <c r="CO165" i="12"/>
  <c r="CO166" i="12"/>
  <c r="CO164" i="12"/>
  <c r="V110" i="12"/>
  <c r="V117" i="12" s="1"/>
  <c r="AN110" i="12"/>
  <c r="AN117" i="12" s="1"/>
  <c r="X110" i="12"/>
  <c r="X117" i="12" s="1"/>
  <c r="AS110" i="12"/>
  <c r="AS117" i="12" s="1"/>
  <c r="AG110" i="12"/>
  <c r="AG117" i="12" s="1"/>
  <c r="U110" i="12"/>
  <c r="U117" i="12" s="1"/>
  <c r="AT110" i="12"/>
  <c r="AT117" i="12" s="1"/>
  <c r="AH110" i="12"/>
  <c r="AH117" i="12" s="1"/>
  <c r="AR110" i="12"/>
  <c r="AR117" i="12" s="1"/>
  <c r="AF110" i="12"/>
  <c r="AF117" i="12" s="1"/>
  <c r="T110" i="12"/>
  <c r="T117" i="12" s="1"/>
  <c r="AB110" i="12"/>
  <c r="AB117" i="12" s="1"/>
  <c r="CN24" i="12"/>
  <c r="C13" i="13" s="1"/>
  <c r="AU110" i="12"/>
  <c r="AU117" i="12" s="1"/>
  <c r="AI110" i="12"/>
  <c r="AI117" i="12" s="1"/>
  <c r="AQ110" i="12"/>
  <c r="AQ117" i="12" s="1"/>
  <c r="AE110" i="12"/>
  <c r="AE117" i="12" s="1"/>
  <c r="S110" i="12"/>
  <c r="S117" i="12" s="1"/>
  <c r="AA110" i="12"/>
  <c r="AA117" i="12" s="1"/>
  <c r="AJ110" i="12"/>
  <c r="AJ117" i="12" s="1"/>
  <c r="AP110" i="12"/>
  <c r="AP117" i="12" s="1"/>
  <c r="AD110" i="12"/>
  <c r="AD117" i="12" s="1"/>
  <c r="R110" i="12"/>
  <c r="R117" i="12" s="1"/>
  <c r="Z110" i="12"/>
  <c r="Z117" i="12" s="1"/>
  <c r="CO24" i="12"/>
  <c r="AV110" i="12"/>
  <c r="AV117" i="12" s="1"/>
  <c r="AO110" i="12"/>
  <c r="AO117" i="12" s="1"/>
  <c r="AC110" i="12"/>
  <c r="Y110" i="12"/>
  <c r="Y117" i="12" s="1"/>
  <c r="CO28" i="12"/>
  <c r="CO87" i="12"/>
  <c r="CO92" i="12"/>
  <c r="CO91" i="12"/>
  <c r="BA94" i="12"/>
  <c r="BA93" i="12" s="1"/>
  <c r="AZ53" i="12"/>
  <c r="AS6" i="14" s="1"/>
  <c r="CM12" i="1"/>
  <c r="CM13" i="12" s="1"/>
  <c r="CM10" i="1"/>
  <c r="CM16" i="1"/>
  <c r="CM18" i="12" s="1"/>
  <c r="CO66" i="12"/>
  <c r="CO75" i="12"/>
  <c r="CO81" i="12"/>
  <c r="CO69" i="12"/>
  <c r="CO79" i="12"/>
  <c r="CO68" i="12"/>
  <c r="CO70" i="12"/>
  <c r="CO80" i="12"/>
  <c r="CO71" i="12"/>
  <c r="CO73" i="12"/>
  <c r="CO78" i="12"/>
  <c r="CO76" i="12"/>
  <c r="CO29" i="12"/>
  <c r="CO18" i="12"/>
  <c r="CO47" i="12"/>
  <c r="CO46" i="12"/>
  <c r="CO23" i="12"/>
  <c r="CO45" i="12"/>
  <c r="AZ64" i="12"/>
  <c r="AZ63" i="12" s="1"/>
  <c r="AZ11" i="12" s="1"/>
  <c r="L5" i="11"/>
  <c r="L5" i="8"/>
  <c r="L39" i="7"/>
  <c r="L4" i="7" s="1"/>
  <c r="L5" i="7"/>
  <c r="CO94" i="1"/>
  <c r="CO95" i="1"/>
  <c r="CO45" i="1"/>
  <c r="CO44" i="1"/>
  <c r="BG5" i="13"/>
  <c r="BG6" i="13" s="1"/>
  <c r="AY8" i="12"/>
  <c r="AY9" i="12" s="1"/>
  <c r="BA54" i="12"/>
  <c r="BA7" i="1"/>
  <c r="BA8" i="1" s="1"/>
  <c r="CO42" i="1"/>
  <c r="BA85" i="1"/>
  <c r="CO77" i="1"/>
  <c r="CO22" i="1"/>
  <c r="CO16" i="1"/>
  <c r="CO76" i="1"/>
  <c r="CO83" i="1"/>
  <c r="CO21" i="1"/>
  <c r="CO84" i="1"/>
  <c r="CO20" i="1"/>
  <c r="CO23" i="1"/>
  <c r="CO105" i="1"/>
  <c r="CO80" i="1"/>
  <c r="CO19" i="1"/>
  <c r="CO116" i="1"/>
  <c r="CO93" i="1"/>
  <c r="CO92" i="1"/>
  <c r="BA96" i="12"/>
  <c r="AB25" i="13"/>
  <c r="CO107" i="12"/>
  <c r="O90" i="12"/>
  <c r="M11" i="6"/>
  <c r="O11" i="6"/>
  <c r="N90" i="12"/>
  <c r="M90" i="12"/>
  <c r="S90" i="12"/>
  <c r="R90" i="12"/>
  <c r="Q90" i="12"/>
  <c r="P90" i="12"/>
  <c r="AD44" i="12"/>
  <c r="N44" i="12"/>
  <c r="AV44" i="12"/>
  <c r="AN44" i="12"/>
  <c r="AJ44" i="12"/>
  <c r="AF44" i="12"/>
  <c r="AB44" i="12"/>
  <c r="X44" i="12"/>
  <c r="T44" i="12"/>
  <c r="P44" i="12"/>
  <c r="AT44" i="12"/>
  <c r="AL44" i="12"/>
  <c r="AH44" i="12"/>
  <c r="Z44" i="12"/>
  <c r="V44" i="12"/>
  <c r="R44" i="12"/>
  <c r="AW44" i="12"/>
  <c r="AO44" i="12"/>
  <c r="AK44" i="12"/>
  <c r="AC44" i="12"/>
  <c r="Y44" i="12"/>
  <c r="U44" i="12"/>
  <c r="Q44" i="12"/>
  <c r="M44" i="12"/>
  <c r="AU44" i="12"/>
  <c r="AM44" i="12"/>
  <c r="AI44" i="12"/>
  <c r="AE44" i="12"/>
  <c r="AA44" i="12"/>
  <c r="W44" i="12"/>
  <c r="S44" i="12"/>
  <c r="O44" i="12"/>
  <c r="O11" i="8"/>
  <c r="Q11" i="6"/>
  <c r="Q11" i="11"/>
  <c r="M11" i="11"/>
  <c r="L39" i="11"/>
  <c r="L4" i="11" s="1"/>
  <c r="P39" i="11"/>
  <c r="T39" i="11"/>
  <c r="T57" i="11" s="1"/>
  <c r="AR80" i="11"/>
  <c r="M39" i="11"/>
  <c r="M4" i="11" s="1"/>
  <c r="Q39" i="11"/>
  <c r="Q4" i="11" s="1"/>
  <c r="Q7" i="11" s="1"/>
  <c r="U39" i="11"/>
  <c r="U57" i="11" s="1"/>
  <c r="N11" i="11"/>
  <c r="R11" i="11"/>
  <c r="O11" i="11"/>
  <c r="N39" i="11"/>
  <c r="N4" i="11" s="1"/>
  <c r="N7" i="11" s="1"/>
  <c r="N8" i="11" s="1"/>
  <c r="R39" i="11"/>
  <c r="R4" i="11" s="1"/>
  <c r="V39" i="11"/>
  <c r="V57" i="11" s="1"/>
  <c r="O39" i="11"/>
  <c r="O82" i="11" s="1"/>
  <c r="O83" i="11" s="1"/>
  <c r="O12" i="11" s="1"/>
  <c r="S39" i="11"/>
  <c r="S57" i="11" s="1"/>
  <c r="W39" i="11"/>
  <c r="W57" i="11" s="1"/>
  <c r="AL80" i="11"/>
  <c r="M5" i="8"/>
  <c r="CQ3" i="8"/>
  <c r="CR3" i="8" s="1"/>
  <c r="CP35" i="8"/>
  <c r="CP89" i="8"/>
  <c r="CP90" i="8"/>
  <c r="CP49" i="8"/>
  <c r="CP16" i="8"/>
  <c r="CP37" i="8"/>
  <c r="CP58" i="8"/>
  <c r="CP91" i="8"/>
  <c r="CP46" i="8"/>
  <c r="M11" i="8"/>
  <c r="O39" i="8"/>
  <c r="O4" i="8" s="1"/>
  <c r="O7" i="8" s="1"/>
  <c r="O8" i="8" s="1"/>
  <c r="S39" i="8"/>
  <c r="S45" i="8" s="1"/>
  <c r="Y39" i="8"/>
  <c r="Y45" i="8" s="1"/>
  <c r="AE39" i="8"/>
  <c r="AE57" i="8" s="1"/>
  <c r="AJ39" i="8"/>
  <c r="AO39" i="8"/>
  <c r="AU39" i="8"/>
  <c r="AU45" i="8" s="1"/>
  <c r="O47" i="8"/>
  <c r="O75" i="8" s="1"/>
  <c r="AL81" i="8"/>
  <c r="AT39" i="8"/>
  <c r="AT45" i="8" s="1"/>
  <c r="AD39" i="8"/>
  <c r="L39" i="8"/>
  <c r="P39" i="8"/>
  <c r="P45" i="8" s="1"/>
  <c r="U39" i="8"/>
  <c r="AA39" i="8"/>
  <c r="AA45" i="8" s="1"/>
  <c r="AA44" i="8" s="1"/>
  <c r="AF39" i="8"/>
  <c r="AF57" i="8" s="1"/>
  <c r="AK39" i="8"/>
  <c r="AQ39" i="8"/>
  <c r="AQ45" i="8" s="1"/>
  <c r="AV39" i="8"/>
  <c r="AV45" i="8" s="1"/>
  <c r="L11" i="8"/>
  <c r="AP39" i="8"/>
  <c r="AP45" i="8" s="1"/>
  <c r="Z39" i="8"/>
  <c r="Z45" i="8" s="1"/>
  <c r="M39" i="8"/>
  <c r="M4" i="8" s="1"/>
  <c r="Q39" i="8"/>
  <c r="Q45" i="8" s="1"/>
  <c r="W39" i="8"/>
  <c r="AB39" i="8"/>
  <c r="AG39" i="8"/>
  <c r="AG57" i="8" s="1"/>
  <c r="AM39" i="8"/>
  <c r="AM55" i="8" s="1"/>
  <c r="AR39" i="8"/>
  <c r="AR45" i="8" s="1"/>
  <c r="AW39" i="8"/>
  <c r="AW45" i="8" s="1"/>
  <c r="T39" i="8"/>
  <c r="AL39" i="8"/>
  <c r="AL57" i="8" s="1"/>
  <c r="V39" i="8"/>
  <c r="N39" i="8"/>
  <c r="N84" i="8" s="1"/>
  <c r="N12" i="8" s="1"/>
  <c r="R39" i="8"/>
  <c r="R45" i="8" s="1"/>
  <c r="X39" i="8"/>
  <c r="X45" i="8" s="1"/>
  <c r="AC39" i="8"/>
  <c r="AI39" i="8"/>
  <c r="AN39" i="8"/>
  <c r="AS39" i="8"/>
  <c r="AS45" i="8" s="1"/>
  <c r="AG81" i="8"/>
  <c r="AH39" i="8"/>
  <c r="AH57" i="8" s="1"/>
  <c r="M5" i="7"/>
  <c r="O5" i="7"/>
  <c r="T48" i="7"/>
  <c r="N5" i="7"/>
  <c r="M11" i="7"/>
  <c r="AF48" i="7"/>
  <c r="CQ3" i="7"/>
  <c r="CR3" i="7" s="1"/>
  <c r="CP90" i="7"/>
  <c r="CP35" i="7"/>
  <c r="CP16" i="7"/>
  <c r="CP88" i="7"/>
  <c r="CP58" i="7"/>
  <c r="CP89" i="7"/>
  <c r="CP37" i="7"/>
  <c r="CP49" i="7"/>
  <c r="N39" i="7"/>
  <c r="R39" i="7"/>
  <c r="AG39" i="7"/>
  <c r="AW39" i="7"/>
  <c r="AG80" i="7"/>
  <c r="AT39" i="7"/>
  <c r="AD39" i="7"/>
  <c r="AR39" i="7"/>
  <c r="AB39" i="7"/>
  <c r="AB57" i="7" s="1"/>
  <c r="AQ39" i="7"/>
  <c r="AA39" i="7"/>
  <c r="O39" i="7"/>
  <c r="O4" i="7" s="1"/>
  <c r="U39" i="7"/>
  <c r="AK39" i="7"/>
  <c r="AK45" i="7" s="1"/>
  <c r="N11" i="7"/>
  <c r="AK48" i="7"/>
  <c r="AP39" i="7"/>
  <c r="Z39" i="7"/>
  <c r="Z45" i="7" s="1"/>
  <c r="AN39" i="7"/>
  <c r="AN45" i="7" s="1"/>
  <c r="X39" i="7"/>
  <c r="X45" i="7" s="1"/>
  <c r="AM39" i="7"/>
  <c r="AM45" i="7" s="1"/>
  <c r="W39" i="7"/>
  <c r="Y39" i="7"/>
  <c r="Y45" i="7" s="1"/>
  <c r="AO39" i="7"/>
  <c r="AO45" i="7" s="1"/>
  <c r="O47" i="7"/>
  <c r="O75" i="7" s="1"/>
  <c r="L11" i="7"/>
  <c r="AL80" i="7"/>
  <c r="AL39" i="7"/>
  <c r="AL45" i="7" s="1"/>
  <c r="V39" i="7"/>
  <c r="AJ39" i="7"/>
  <c r="T39" i="7"/>
  <c r="AI39" i="7"/>
  <c r="AI45" i="7" s="1"/>
  <c r="M39" i="7"/>
  <c r="M82" i="7" s="1"/>
  <c r="M83" i="7" s="1"/>
  <c r="M12" i="7" s="1"/>
  <c r="Q39" i="7"/>
  <c r="Q45" i="7" s="1"/>
  <c r="AC39" i="7"/>
  <c r="AS39" i="7"/>
  <c r="AR80" i="7"/>
  <c r="AH39" i="7"/>
  <c r="AH45" i="7" s="1"/>
  <c r="AV39" i="7"/>
  <c r="AF39" i="7"/>
  <c r="AU39" i="7"/>
  <c r="AU45" i="7" s="1"/>
  <c r="AE39" i="7"/>
  <c r="AK48" i="6"/>
  <c r="CP37" i="6"/>
  <c r="CP54" i="6"/>
  <c r="CP89" i="6"/>
  <c r="CQ3" i="6"/>
  <c r="CR3" i="6" s="1"/>
  <c r="CP88" i="6"/>
  <c r="CP16" i="6"/>
  <c r="CP35" i="6"/>
  <c r="CP46" i="6"/>
  <c r="CP49" i="6"/>
  <c r="CP90" i="6"/>
  <c r="Q5" i="6"/>
  <c r="M5" i="6"/>
  <c r="O47" i="6"/>
  <c r="O74" i="6" s="1"/>
  <c r="L5" i="6"/>
  <c r="L39" i="6"/>
  <c r="P39" i="6"/>
  <c r="P82" i="6" s="1"/>
  <c r="P83" i="6" s="1"/>
  <c r="P12" i="6" s="1"/>
  <c r="V39" i="6"/>
  <c r="V59" i="6" s="1"/>
  <c r="AL39" i="6"/>
  <c r="AL4" i="6" s="1"/>
  <c r="L11" i="6"/>
  <c r="P11" i="6"/>
  <c r="AL80" i="6"/>
  <c r="AO39" i="6"/>
  <c r="AO53" i="6" s="1"/>
  <c r="Y39" i="6"/>
  <c r="Y45" i="6" s="1"/>
  <c r="Y44" i="6" s="1"/>
  <c r="AN39" i="6"/>
  <c r="AN79" i="6" s="1"/>
  <c r="X39" i="6"/>
  <c r="X45" i="6" s="1"/>
  <c r="X44" i="6" s="1"/>
  <c r="AM39" i="6"/>
  <c r="AM59" i="6" s="1"/>
  <c r="W39" i="6"/>
  <c r="W45" i="6" s="1"/>
  <c r="M39" i="6"/>
  <c r="M4" i="6" s="1"/>
  <c r="Q39" i="6"/>
  <c r="Q4" i="6" s="1"/>
  <c r="Z39" i="6"/>
  <c r="Z59" i="6" s="1"/>
  <c r="AP39" i="6"/>
  <c r="AP53" i="6" s="1"/>
  <c r="AR80" i="6"/>
  <c r="AS80" i="6" s="1"/>
  <c r="AK39" i="6"/>
  <c r="AK4" i="6" s="1"/>
  <c r="U39" i="6"/>
  <c r="U82" i="6" s="1"/>
  <c r="AJ39" i="6"/>
  <c r="T39" i="6"/>
  <c r="T4" i="6" s="1"/>
  <c r="AI39" i="6"/>
  <c r="AI79" i="6" s="1"/>
  <c r="N39" i="6"/>
  <c r="N82" i="6" s="1"/>
  <c r="N83" i="6" s="1"/>
  <c r="N12" i="6" s="1"/>
  <c r="R39" i="6"/>
  <c r="AD39" i="6"/>
  <c r="AD45" i="6" s="1"/>
  <c r="AD44" i="6" s="1"/>
  <c r="AT39" i="6"/>
  <c r="AT45" i="6" s="1"/>
  <c r="AT44" i="6" s="1"/>
  <c r="AG80" i="6"/>
  <c r="AW39" i="6"/>
  <c r="AW4" i="6" s="1"/>
  <c r="AG39" i="6"/>
  <c r="AG52" i="6" s="1"/>
  <c r="AV39" i="6"/>
  <c r="AV79" i="6" s="1"/>
  <c r="AF39" i="6"/>
  <c r="AU39" i="6"/>
  <c r="AU79" i="6" s="1"/>
  <c r="AE39" i="6"/>
  <c r="O39" i="6"/>
  <c r="O82" i="6" s="1"/>
  <c r="O83" i="6" s="1"/>
  <c r="O12" i="6" s="1"/>
  <c r="S39" i="6"/>
  <c r="S82" i="6" s="1"/>
  <c r="AH39" i="6"/>
  <c r="AS39" i="6"/>
  <c r="AS58" i="6" s="1"/>
  <c r="AC39" i="6"/>
  <c r="AC52" i="6" s="1"/>
  <c r="AR39" i="6"/>
  <c r="AR59" i="6" s="1"/>
  <c r="AB39" i="6"/>
  <c r="AB4" i="6" s="1"/>
  <c r="AQ39" i="6"/>
  <c r="AQ81" i="6" s="1"/>
  <c r="AA39" i="6"/>
  <c r="AA81" i="6" s="1"/>
  <c r="AY50" i="5"/>
  <c r="AX48" i="5"/>
  <c r="CM16" i="5"/>
  <c r="CN16" i="5"/>
  <c r="M39" i="5"/>
  <c r="M83" i="5" s="1"/>
  <c r="Q39" i="5"/>
  <c r="Q45" i="5" s="1"/>
  <c r="AK39" i="5"/>
  <c r="AK45" i="5" s="1"/>
  <c r="AI39" i="5"/>
  <c r="AI45" i="5" s="1"/>
  <c r="AL39" i="5"/>
  <c r="AL45" i="5" s="1"/>
  <c r="AW39" i="5"/>
  <c r="AW82" i="5" s="1"/>
  <c r="AC39" i="5"/>
  <c r="AC45" i="5" s="1"/>
  <c r="AN39" i="5"/>
  <c r="AN45" i="5" s="1"/>
  <c r="AU39" i="5"/>
  <c r="AA39" i="5"/>
  <c r="AA45" i="5" s="1"/>
  <c r="AA44" i="5" s="1"/>
  <c r="N39" i="5"/>
  <c r="R39" i="5"/>
  <c r="R45" i="5" s="1"/>
  <c r="U39" i="5"/>
  <c r="S39" i="5"/>
  <c r="S45" i="5" s="1"/>
  <c r="AH39" i="5"/>
  <c r="AS39" i="5"/>
  <c r="AS59" i="5" s="1"/>
  <c r="Y39" i="5"/>
  <c r="Y53" i="5" s="1"/>
  <c r="AF39" i="5"/>
  <c r="AQ39" i="5"/>
  <c r="W39" i="5"/>
  <c r="AL81" i="5"/>
  <c r="O39" i="5"/>
  <c r="O45" i="5" s="1"/>
  <c r="Z39" i="5"/>
  <c r="Z45" i="5" s="1"/>
  <c r="AJ39" i="5"/>
  <c r="AJ45" i="5" s="1"/>
  <c r="AD39" i="5"/>
  <c r="AD45" i="5" s="1"/>
  <c r="AO39" i="5"/>
  <c r="AO45" i="5" s="1"/>
  <c r="AV39" i="5"/>
  <c r="AB39" i="5"/>
  <c r="AB45" i="5" s="1"/>
  <c r="AM39" i="5"/>
  <c r="AM45" i="5" s="1"/>
  <c r="L39" i="5"/>
  <c r="P39" i="5"/>
  <c r="P45" i="5" s="1"/>
  <c r="AP39" i="5"/>
  <c r="AP59" i="5" s="1"/>
  <c r="T39" i="5"/>
  <c r="T45" i="5" s="1"/>
  <c r="AT39" i="5"/>
  <c r="V39" i="5"/>
  <c r="V45" i="5" s="1"/>
  <c r="AG39" i="5"/>
  <c r="AR39" i="5"/>
  <c r="AR83" i="5" s="1"/>
  <c r="X39" i="5"/>
  <c r="X52" i="5" s="1"/>
  <c r="AE39" i="5"/>
  <c r="AR81" i="5"/>
  <c r="Z17" i="13"/>
  <c r="V18" i="12"/>
  <c r="CP3" i="12"/>
  <c r="CP167" i="12" s="1"/>
  <c r="CO106" i="12"/>
  <c r="AI67" i="12"/>
  <c r="AE67" i="12"/>
  <c r="AU67" i="12"/>
  <c r="AC67" i="12"/>
  <c r="AO67" i="12"/>
  <c r="AT67" i="12"/>
  <c r="AP67" i="12"/>
  <c r="AL67" i="12"/>
  <c r="AH67" i="12"/>
  <c r="AD67" i="12"/>
  <c r="Z67" i="12"/>
  <c r="AW67" i="12"/>
  <c r="AS67" i="12"/>
  <c r="AK67" i="12"/>
  <c r="AG67" i="12"/>
  <c r="Y67" i="12"/>
  <c r="AQ67" i="12"/>
  <c r="AM67" i="12"/>
  <c r="AA67" i="12"/>
  <c r="AV67" i="12"/>
  <c r="AR67" i="12"/>
  <c r="AN67" i="12"/>
  <c r="AJ67" i="12"/>
  <c r="AF67" i="12"/>
  <c r="AB67" i="12"/>
  <c r="X67" i="12"/>
  <c r="O47" i="11"/>
  <c r="O75" i="11" s="1"/>
  <c r="N11" i="8"/>
  <c r="O11" i="7"/>
  <c r="N47" i="7"/>
  <c r="M47" i="7"/>
  <c r="N11" i="6"/>
  <c r="R11" i="6"/>
  <c r="L11" i="11"/>
  <c r="P11" i="11"/>
  <c r="M47" i="11"/>
  <c r="M75" i="11" s="1"/>
  <c r="Q47" i="11"/>
  <c r="N47" i="8"/>
  <c r="P39" i="7"/>
  <c r="P45" i="7" s="1"/>
  <c r="AG48" i="7"/>
  <c r="T48" i="6"/>
  <c r="AF48" i="6"/>
  <c r="N47" i="6"/>
  <c r="R47" i="6"/>
  <c r="R74" i="6" s="1"/>
  <c r="L47" i="6"/>
  <c r="L74" i="6" s="1"/>
  <c r="P47" i="6"/>
  <c r="N5" i="6"/>
  <c r="R5" i="6"/>
  <c r="M47" i="6"/>
  <c r="M74" i="6" s="1"/>
  <c r="Q47" i="6"/>
  <c r="AL48" i="6"/>
  <c r="N47" i="11"/>
  <c r="R47" i="11"/>
  <c r="L47" i="11"/>
  <c r="P47" i="11"/>
  <c r="T48" i="8"/>
  <c r="N5" i="8"/>
  <c r="L47" i="8"/>
  <c r="U48" i="8"/>
  <c r="CN35" i="7"/>
  <c r="R10" i="11"/>
  <c r="CO3" i="11"/>
  <c r="CP3" i="11" s="1"/>
  <c r="AF48" i="11"/>
  <c r="U48" i="11"/>
  <c r="CO91" i="8"/>
  <c r="CO90" i="8"/>
  <c r="CO58" i="8"/>
  <c r="CO89" i="8"/>
  <c r="CO46" i="8"/>
  <c r="CO49" i="8"/>
  <c r="CO37" i="8"/>
  <c r="CO16" i="8"/>
  <c r="CO35" i="8"/>
  <c r="CM90" i="8"/>
  <c r="CM89" i="8"/>
  <c r="CM80" i="8"/>
  <c r="CM91" i="8"/>
  <c r="CM81" i="8"/>
  <c r="CM58" i="8"/>
  <c r="CM50" i="8"/>
  <c r="CM49" i="8"/>
  <c r="CM48" i="8"/>
  <c r="CM46" i="8"/>
  <c r="CM37" i="8"/>
  <c r="CM35" i="8"/>
  <c r="CN90" i="8"/>
  <c r="CN89" i="8"/>
  <c r="CN91" i="8"/>
  <c r="CN49" i="8"/>
  <c r="CN58" i="8"/>
  <c r="CN46" i="8"/>
  <c r="CN37" i="8"/>
  <c r="CN35" i="8"/>
  <c r="CN16" i="8"/>
  <c r="CM16" i="8"/>
  <c r="V48" i="8"/>
  <c r="M47" i="8"/>
  <c r="CM89" i="7"/>
  <c r="CM88" i="7"/>
  <c r="CM90" i="7"/>
  <c r="CM80" i="7"/>
  <c r="CM58" i="7"/>
  <c r="CM49" i="7"/>
  <c r="CM48" i="7"/>
  <c r="CM16" i="7"/>
  <c r="CM37" i="7"/>
  <c r="CM35" i="7"/>
  <c r="CM50" i="7"/>
  <c r="CO90" i="7"/>
  <c r="CO89" i="7"/>
  <c r="CO88" i="7"/>
  <c r="CO37" i="7"/>
  <c r="CO35" i="7"/>
  <c r="CO49" i="7"/>
  <c r="CO58" i="7"/>
  <c r="CO16" i="7"/>
  <c r="CN49" i="7"/>
  <c r="L47" i="7"/>
  <c r="CN89" i="7"/>
  <c r="CN88" i="7"/>
  <c r="CN90" i="7"/>
  <c r="CN58" i="7"/>
  <c r="CN37" i="7"/>
  <c r="CN16" i="7"/>
  <c r="AL48" i="7"/>
  <c r="AM50" i="7"/>
  <c r="V50" i="7"/>
  <c r="U48" i="7"/>
  <c r="AH50" i="7"/>
  <c r="CO90" i="6"/>
  <c r="CO89" i="6"/>
  <c r="CO46" i="6"/>
  <c r="CO88" i="6"/>
  <c r="CO37" i="6"/>
  <c r="CO35" i="6"/>
  <c r="CO49" i="6"/>
  <c r="CO54" i="6"/>
  <c r="CM59" i="6"/>
  <c r="CM89" i="6"/>
  <c r="CM88" i="6"/>
  <c r="CM79" i="6"/>
  <c r="CM90" i="6"/>
  <c r="CM81" i="6"/>
  <c r="CM80" i="6"/>
  <c r="CM54" i="6"/>
  <c r="CM53" i="6"/>
  <c r="CM58" i="6"/>
  <c r="CM57" i="6"/>
  <c r="CM56" i="6"/>
  <c r="CM49" i="6"/>
  <c r="CM48" i="6"/>
  <c r="CM51" i="6"/>
  <c r="CM55" i="6"/>
  <c r="CM52" i="6"/>
  <c r="CM46" i="6"/>
  <c r="CM45" i="6"/>
  <c r="CM44" i="6"/>
  <c r="CM50" i="6"/>
  <c r="CM37" i="6"/>
  <c r="CM16" i="6"/>
  <c r="CO16" i="6"/>
  <c r="CM35" i="6"/>
  <c r="AG48" i="6"/>
  <c r="AG82" i="6"/>
  <c r="AO81" i="6"/>
  <c r="CN89" i="6"/>
  <c r="CN88" i="6"/>
  <c r="CN90" i="6"/>
  <c r="CN54" i="6"/>
  <c r="CN46" i="6"/>
  <c r="CN49" i="6"/>
  <c r="CN37" i="6"/>
  <c r="CN35" i="6"/>
  <c r="CN16" i="6"/>
  <c r="AN56" i="6"/>
  <c r="U48" i="6"/>
  <c r="AM50" i="6"/>
  <c r="CN37" i="5"/>
  <c r="AH48" i="5"/>
  <c r="CM90" i="5"/>
  <c r="CM89" i="5"/>
  <c r="CM91" i="5"/>
  <c r="CM81" i="5"/>
  <c r="CM80" i="5"/>
  <c r="CM50" i="5"/>
  <c r="CM54" i="5"/>
  <c r="CM49" i="5"/>
  <c r="CM48" i="5"/>
  <c r="CM37" i="5"/>
  <c r="CM35" i="5"/>
  <c r="CM46" i="5"/>
  <c r="CO3" i="5"/>
  <c r="AK48" i="5"/>
  <c r="CN90" i="5"/>
  <c r="CN89" i="5"/>
  <c r="CN91" i="5"/>
  <c r="CN54" i="5"/>
  <c r="CN49" i="5"/>
  <c r="CN46" i="5"/>
  <c r="CN35" i="5"/>
  <c r="T48" i="5"/>
  <c r="X48" i="5"/>
  <c r="AB48" i="5"/>
  <c r="AF48" i="5"/>
  <c r="AJ48" i="5"/>
  <c r="AN48" i="5"/>
  <c r="AR48" i="5"/>
  <c r="AV48" i="5"/>
  <c r="AG48" i="5"/>
  <c r="AO48" i="5"/>
  <c r="AW48" i="5"/>
  <c r="AS48" i="5"/>
  <c r="V48" i="5"/>
  <c r="Z48" i="5"/>
  <c r="AD48" i="5"/>
  <c r="AL48" i="5"/>
  <c r="AP48" i="5"/>
  <c r="AT48" i="5"/>
  <c r="U48" i="5"/>
  <c r="Y48" i="5"/>
  <c r="AC48" i="5"/>
  <c r="S48" i="5"/>
  <c r="S59" i="12" s="1"/>
  <c r="W48" i="5"/>
  <c r="AA48" i="5"/>
  <c r="AE48" i="5"/>
  <c r="AI48" i="5"/>
  <c r="AM48" i="5"/>
  <c r="AQ48" i="5"/>
  <c r="AU48" i="5"/>
  <c r="CO115" i="1"/>
  <c r="CN16" i="1"/>
  <c r="CN18" i="12" s="1"/>
  <c r="C10" i="13" s="1"/>
  <c r="C17" i="13" s="1"/>
  <c r="CP3" i="1"/>
  <c r="AB45" i="8" l="1"/>
  <c r="AB44" i="8" s="1"/>
  <c r="AB57" i="8"/>
  <c r="CS3" i="7"/>
  <c r="CR51" i="7"/>
  <c r="CR90" i="7"/>
  <c r="CR53" i="7"/>
  <c r="CR16" i="7"/>
  <c r="CR52" i="7"/>
  <c r="CR44" i="7"/>
  <c r="CR45" i="7"/>
  <c r="CR55" i="7"/>
  <c r="CR81" i="7"/>
  <c r="CR80" i="7"/>
  <c r="CR46" i="7"/>
  <c r="CR56" i="7"/>
  <c r="CR82" i="7"/>
  <c r="CR35" i="7"/>
  <c r="CR57" i="7"/>
  <c r="CR49" i="7"/>
  <c r="CR58" i="7"/>
  <c r="CR88" i="7"/>
  <c r="CR10" i="7"/>
  <c r="CR37" i="7"/>
  <c r="CR59" i="7"/>
  <c r="CR89" i="7"/>
  <c r="CR12" i="7"/>
  <c r="CR4" i="7"/>
  <c r="CR83" i="7"/>
  <c r="CR60" i="7"/>
  <c r="CR5" i="7"/>
  <c r="CR54" i="7"/>
  <c r="CR39" i="7"/>
  <c r="AK83" i="8"/>
  <c r="AK57" i="8"/>
  <c r="CR4" i="6"/>
  <c r="CR12" i="6"/>
  <c r="CR37" i="6"/>
  <c r="CR46" i="6"/>
  <c r="CR57" i="6"/>
  <c r="CR79" i="6"/>
  <c r="CR58" i="6"/>
  <c r="CR16" i="6"/>
  <c r="CR52" i="6"/>
  <c r="CR80" i="6"/>
  <c r="CR88" i="6"/>
  <c r="CS3" i="6"/>
  <c r="CR53" i="6"/>
  <c r="CR81" i="6"/>
  <c r="CR89" i="6"/>
  <c r="CR10" i="6"/>
  <c r="CR49" i="6"/>
  <c r="CR54" i="6"/>
  <c r="CR59" i="6"/>
  <c r="CR90" i="6"/>
  <c r="CR44" i="6"/>
  <c r="CR55" i="6"/>
  <c r="CR82" i="6"/>
  <c r="CR35" i="6"/>
  <c r="CR45" i="6"/>
  <c r="CR83" i="6"/>
  <c r="CR51" i="6"/>
  <c r="CR56" i="6"/>
  <c r="CR39" i="6"/>
  <c r="CR5" i="6"/>
  <c r="CR7" i="6" s="1"/>
  <c r="AJ45" i="7"/>
  <c r="AJ57" i="7"/>
  <c r="AI80" i="8"/>
  <c r="AI57" i="8"/>
  <c r="CR16" i="8"/>
  <c r="CR59" i="8"/>
  <c r="CR83" i="8"/>
  <c r="CR4" i="8"/>
  <c r="CS3" i="8"/>
  <c r="CR39" i="8"/>
  <c r="CR52" i="8"/>
  <c r="CR53" i="8"/>
  <c r="CR5" i="8"/>
  <c r="CR46" i="8"/>
  <c r="CR81" i="8"/>
  <c r="CR91" i="8"/>
  <c r="CR37" i="8"/>
  <c r="CR54" i="8"/>
  <c r="CR58" i="8"/>
  <c r="CR82" i="8"/>
  <c r="CR60" i="8"/>
  <c r="CR12" i="8"/>
  <c r="CR90" i="8"/>
  <c r="CR51" i="8"/>
  <c r="CR56" i="8"/>
  <c r="CR49" i="8"/>
  <c r="CR45" i="8"/>
  <c r="CR89" i="8"/>
  <c r="CR57" i="8"/>
  <c r="CR55" i="8"/>
  <c r="CR10" i="8"/>
  <c r="CR44" i="8"/>
  <c r="CR35" i="8"/>
  <c r="CR84" i="8"/>
  <c r="CR80" i="8"/>
  <c r="CI92" i="12"/>
  <c r="AC45" i="8"/>
  <c r="AC57" i="8"/>
  <c r="AJ59" i="8"/>
  <c r="AJ57" i="8"/>
  <c r="CJ80" i="11"/>
  <c r="CI83" i="11"/>
  <c r="CI12" i="11" s="1"/>
  <c r="CP117" i="1"/>
  <c r="CP114" i="1"/>
  <c r="AD60" i="8"/>
  <c r="AD57" i="8"/>
  <c r="CJ71" i="12"/>
  <c r="CJ67" i="12" s="1"/>
  <c r="CK72" i="12"/>
  <c r="CK71" i="12" s="1"/>
  <c r="CK67" i="12" s="1"/>
  <c r="CH87" i="12"/>
  <c r="CI88" i="12"/>
  <c r="CJ81" i="8"/>
  <c r="CI84" i="8"/>
  <c r="CI12" i="8" s="1"/>
  <c r="CJ80" i="7"/>
  <c r="CI83" i="7"/>
  <c r="CI12" i="7" s="1"/>
  <c r="AD45" i="7"/>
  <c r="AD57" i="7"/>
  <c r="AC45" i="7"/>
  <c r="AC57" i="7"/>
  <c r="CJ80" i="6"/>
  <c r="CI83" i="6"/>
  <c r="CI12" i="6" s="1"/>
  <c r="AE59" i="6"/>
  <c r="AE58" i="6"/>
  <c r="AF81" i="6"/>
  <c r="AF58" i="6"/>
  <c r="M4" i="5"/>
  <c r="T53" i="5"/>
  <c r="CJ81" i="5"/>
  <c r="CJ92" i="12" s="1"/>
  <c r="CI84" i="5"/>
  <c r="CI12" i="5" s="1"/>
  <c r="CD2" i="11"/>
  <c r="CD34" i="11"/>
  <c r="CD43" i="11" s="1"/>
  <c r="CD79" i="11" s="1"/>
  <c r="CD87" i="11" s="1"/>
  <c r="AE45" i="7"/>
  <c r="AE57" i="7"/>
  <c r="AF45" i="7"/>
  <c r="AF57" i="7"/>
  <c r="AG45" i="7"/>
  <c r="AG57" i="7"/>
  <c r="AI83" i="8"/>
  <c r="AI55" i="8"/>
  <c r="AA57" i="8"/>
  <c r="T59" i="12"/>
  <c r="CO57" i="5"/>
  <c r="CP64" i="1"/>
  <c r="CP56" i="1"/>
  <c r="CP57" i="1" s="1"/>
  <c r="CP51" i="1"/>
  <c r="CP52" i="1" s="1"/>
  <c r="CP59" i="1"/>
  <c r="U59" i="12"/>
  <c r="AA80" i="8"/>
  <c r="AL92" i="12"/>
  <c r="AA60" i="8"/>
  <c r="AB45" i="7"/>
  <c r="AA45" i="7"/>
  <c r="AA57" i="7"/>
  <c r="AD80" i="8"/>
  <c r="CP131" i="12"/>
  <c r="CP108" i="12"/>
  <c r="CP139" i="12"/>
  <c r="CP137" i="12"/>
  <c r="CP129" i="12"/>
  <c r="CP136" i="12"/>
  <c r="CP130" i="12"/>
  <c r="CP150" i="12"/>
  <c r="CP105" i="12"/>
  <c r="CP152" i="12"/>
  <c r="CP140" i="12"/>
  <c r="CP109" i="12"/>
  <c r="CP147" i="12"/>
  <c r="CP155" i="12"/>
  <c r="CR104" i="12"/>
  <c r="CQ125" i="12"/>
  <c r="BA6" i="12"/>
  <c r="CP138" i="1"/>
  <c r="CP140" i="1"/>
  <c r="CP139" i="1"/>
  <c r="CP141" i="1"/>
  <c r="AH45" i="5"/>
  <c r="AH59" i="5"/>
  <c r="R83" i="5"/>
  <c r="CP24" i="12"/>
  <c r="CP165" i="12"/>
  <c r="CP164" i="12"/>
  <c r="CP166" i="12"/>
  <c r="AA59" i="5"/>
  <c r="AJ82" i="8"/>
  <c r="AC80" i="8"/>
  <c r="AJ60" i="8"/>
  <c r="Y82" i="8"/>
  <c r="U56" i="8"/>
  <c r="K13" i="13"/>
  <c r="AM53" i="8"/>
  <c r="AJ83" i="8"/>
  <c r="AD56" i="6"/>
  <c r="AD53" i="6"/>
  <c r="AD57" i="6"/>
  <c r="AA52" i="5"/>
  <c r="U55" i="8"/>
  <c r="X59" i="6"/>
  <c r="AV82" i="8"/>
  <c r="X52" i="6"/>
  <c r="U59" i="8"/>
  <c r="O84" i="8"/>
  <c r="O12" i="8" s="1"/>
  <c r="X79" i="6"/>
  <c r="X5" i="6" s="1"/>
  <c r="AF59" i="6"/>
  <c r="S56" i="6"/>
  <c r="AD52" i="8"/>
  <c r="U52" i="8"/>
  <c r="AW4" i="5"/>
  <c r="AF56" i="6"/>
  <c r="S79" i="6"/>
  <c r="AB59" i="7"/>
  <c r="AI60" i="7"/>
  <c r="AD55" i="8"/>
  <c r="U53" i="8"/>
  <c r="T55" i="8"/>
  <c r="AD56" i="8"/>
  <c r="U60" i="8"/>
  <c r="T60" i="8"/>
  <c r="AF57" i="6"/>
  <c r="L82" i="7"/>
  <c r="L10" i="7" s="1"/>
  <c r="AF52" i="6"/>
  <c r="Y59" i="7"/>
  <c r="CO90" i="12"/>
  <c r="AM56" i="6"/>
  <c r="AF53" i="6"/>
  <c r="AF82" i="6"/>
  <c r="AB53" i="8"/>
  <c r="AI82" i="8"/>
  <c r="AF79" i="6"/>
  <c r="AM82" i="6"/>
  <c r="AB60" i="8"/>
  <c r="AR58" i="6"/>
  <c r="AE4" i="6"/>
  <c r="AB83" i="8"/>
  <c r="AE56" i="6"/>
  <c r="Y56" i="8"/>
  <c r="AB82" i="8"/>
  <c r="AA53" i="8"/>
  <c r="Z57" i="6"/>
  <c r="AE81" i="6"/>
  <c r="Y80" i="8"/>
  <c r="AB80" i="8"/>
  <c r="AA52" i="8"/>
  <c r="V57" i="6"/>
  <c r="W53" i="6"/>
  <c r="AF4" i="6"/>
  <c r="Y52" i="8"/>
  <c r="V81" i="6"/>
  <c r="W81" i="6"/>
  <c r="Y83" i="8"/>
  <c r="AA82" i="8"/>
  <c r="AR58" i="5"/>
  <c r="AR82" i="5"/>
  <c r="AW60" i="5"/>
  <c r="AW83" i="5"/>
  <c r="AR52" i="5"/>
  <c r="AW52" i="5"/>
  <c r="AW56" i="5"/>
  <c r="AW58" i="5"/>
  <c r="AO60" i="7"/>
  <c r="AI55" i="7"/>
  <c r="AO46" i="7"/>
  <c r="AO44" i="7" s="1"/>
  <c r="AO5" i="7" s="1"/>
  <c r="AP83" i="8"/>
  <c r="AS53" i="8"/>
  <c r="AW80" i="5"/>
  <c r="AE82" i="5"/>
  <c r="AE52" i="5"/>
  <c r="AE53" i="5"/>
  <c r="BA53" i="12"/>
  <c r="AT6" i="14" s="1"/>
  <c r="L53" i="5"/>
  <c r="L58" i="5"/>
  <c r="L59" i="5"/>
  <c r="L45" i="5"/>
  <c r="L44" i="5" s="1"/>
  <c r="L55" i="12" s="1"/>
  <c r="L82" i="5"/>
  <c r="L95" i="12" s="1"/>
  <c r="L60" i="5"/>
  <c r="L56" i="5"/>
  <c r="L52" i="5"/>
  <c r="N45" i="5"/>
  <c r="N44" i="5" s="1"/>
  <c r="N55" i="12" s="1"/>
  <c r="N58" i="5"/>
  <c r="N53" i="5"/>
  <c r="N59" i="5"/>
  <c r="N52" i="5"/>
  <c r="N56" i="5"/>
  <c r="N60" i="5"/>
  <c r="M58" i="5"/>
  <c r="M53" i="5"/>
  <c r="M45" i="5"/>
  <c r="M44" i="5" s="1"/>
  <c r="M55" i="12" s="1"/>
  <c r="M59" i="5"/>
  <c r="M82" i="5"/>
  <c r="M95" i="12" s="1"/>
  <c r="M56" i="5"/>
  <c r="M60" i="5"/>
  <c r="M52" i="5"/>
  <c r="AA53" i="5"/>
  <c r="AA4" i="5"/>
  <c r="AW55" i="8"/>
  <c r="AD79" i="6"/>
  <c r="AD5" i="6" s="1"/>
  <c r="AR82" i="6"/>
  <c r="AW56" i="8"/>
  <c r="AM82" i="8"/>
  <c r="AA83" i="5"/>
  <c r="AD59" i="6"/>
  <c r="AB53" i="6"/>
  <c r="AW59" i="8"/>
  <c r="AM60" i="8"/>
  <c r="Z52" i="5"/>
  <c r="T56" i="6"/>
  <c r="AW82" i="8"/>
  <c r="AJ53" i="8"/>
  <c r="AA60" i="5"/>
  <c r="AA80" i="5"/>
  <c r="AA5" i="5" s="1"/>
  <c r="AD82" i="6"/>
  <c r="T53" i="6"/>
  <c r="Z59" i="5"/>
  <c r="AA82" i="5"/>
  <c r="AD58" i="6"/>
  <c r="U53" i="6"/>
  <c r="AJ52" i="8"/>
  <c r="T60" i="5"/>
  <c r="AJ80" i="8"/>
  <c r="U56" i="6"/>
  <c r="AL52" i="7"/>
  <c r="AJ55" i="8"/>
  <c r="AD81" i="6"/>
  <c r="AL81" i="6"/>
  <c r="AJ56" i="8"/>
  <c r="T80" i="5"/>
  <c r="AA56" i="5"/>
  <c r="AA58" i="5"/>
  <c r="T58" i="5"/>
  <c r="AD52" i="6"/>
  <c r="U60" i="5"/>
  <c r="U45" i="5"/>
  <c r="U44" i="5" s="1"/>
  <c r="AU4" i="5"/>
  <c r="AU45" i="5"/>
  <c r="AU44" i="5" s="1"/>
  <c r="AN55" i="8"/>
  <c r="AN45" i="8"/>
  <c r="AN44" i="8" s="1"/>
  <c r="AF45" i="8"/>
  <c r="AF44" i="8" s="1"/>
  <c r="AO4" i="8"/>
  <c r="AO45" i="8"/>
  <c r="AO44" i="8" s="1"/>
  <c r="AS53" i="6"/>
  <c r="T57" i="6"/>
  <c r="T82" i="6"/>
  <c r="AN55" i="7"/>
  <c r="AO56" i="8"/>
  <c r="AP4" i="5"/>
  <c r="AP45" i="5"/>
  <c r="AP44" i="5" s="1"/>
  <c r="AV60" i="5"/>
  <c r="AV45" i="5"/>
  <c r="AV44" i="5" s="1"/>
  <c r="W59" i="5"/>
  <c r="W45" i="5"/>
  <c r="W44" i="5" s="1"/>
  <c r="AS4" i="5"/>
  <c r="AS45" i="5"/>
  <c r="AS44" i="5" s="1"/>
  <c r="AS53" i="7"/>
  <c r="AS45" i="7"/>
  <c r="V59" i="7"/>
  <c r="W52" i="7"/>
  <c r="AQ82" i="7"/>
  <c r="AQ45" i="7"/>
  <c r="AT46" i="7"/>
  <c r="AT45" i="7"/>
  <c r="AH80" i="8"/>
  <c r="AH45" i="8"/>
  <c r="AH44" i="8" s="1"/>
  <c r="AI4" i="8"/>
  <c r="AI45" i="8"/>
  <c r="AI44" i="8" s="1"/>
  <c r="AL4" i="8"/>
  <c r="AL45" i="8"/>
  <c r="AL44" i="8" s="1"/>
  <c r="AM59" i="8"/>
  <c r="AM45" i="8"/>
  <c r="AM44" i="8" s="1"/>
  <c r="AJ4" i="8"/>
  <c r="AJ45" i="8"/>
  <c r="AJ44" i="8" s="1"/>
  <c r="T58" i="6"/>
  <c r="T81" i="6"/>
  <c r="AA81" i="7"/>
  <c r="AO53" i="8"/>
  <c r="X83" i="5"/>
  <c r="X45" i="5"/>
  <c r="X44" i="5" s="1"/>
  <c r="AT83" i="5"/>
  <c r="AT45" i="5"/>
  <c r="AT44" i="5" s="1"/>
  <c r="AQ59" i="5"/>
  <c r="AQ45" i="5"/>
  <c r="AQ44" i="5" s="1"/>
  <c r="AV46" i="7"/>
  <c r="AV45" i="7"/>
  <c r="AP46" i="7"/>
  <c r="AP45" i="7"/>
  <c r="AW81" i="7"/>
  <c r="AW45" i="7"/>
  <c r="AG55" i="8"/>
  <c r="AG45" i="8"/>
  <c r="AG44" i="8" s="1"/>
  <c r="AE55" i="8"/>
  <c r="AE45" i="8"/>
  <c r="Y45" i="5"/>
  <c r="Y44" i="5" s="1"/>
  <c r="T52" i="6"/>
  <c r="T79" i="6"/>
  <c r="P4" i="6"/>
  <c r="P7" i="6" s="1"/>
  <c r="P8" i="6" s="1"/>
  <c r="AO82" i="8"/>
  <c r="AR4" i="5"/>
  <c r="AR45" i="5"/>
  <c r="AR44" i="5" s="1"/>
  <c r="AW59" i="5"/>
  <c r="AW45" i="5"/>
  <c r="AW44" i="5" s="1"/>
  <c r="AR55" i="7"/>
  <c r="AR45" i="7"/>
  <c r="AK60" i="8"/>
  <c r="AK45" i="8"/>
  <c r="AD59" i="8"/>
  <c r="AD45" i="8"/>
  <c r="AD44" i="8" s="1"/>
  <c r="AM44" i="5"/>
  <c r="AE4" i="7"/>
  <c r="AH60" i="7"/>
  <c r="Y4" i="7"/>
  <c r="AG55" i="7"/>
  <c r="AW4" i="8"/>
  <c r="AU60" i="8"/>
  <c r="AU44" i="8"/>
  <c r="Y4" i="8"/>
  <c r="Y44" i="8"/>
  <c r="AG80" i="5"/>
  <c r="AB44" i="5"/>
  <c r="AJ4" i="5"/>
  <c r="AL82" i="5"/>
  <c r="AJ56" i="7"/>
  <c r="AN46" i="7"/>
  <c r="AN44" i="7" s="1"/>
  <c r="AN5" i="7" s="1"/>
  <c r="AA59" i="7"/>
  <c r="AD52" i="7"/>
  <c r="V44" i="8"/>
  <c r="AR83" i="8"/>
  <c r="W4" i="8"/>
  <c r="AT56" i="8"/>
  <c r="S60" i="8"/>
  <c r="AE4" i="5"/>
  <c r="AN80" i="5"/>
  <c r="AI56" i="5"/>
  <c r="AF56" i="7"/>
  <c r="Z57" i="7"/>
  <c r="AK52" i="7"/>
  <c r="Z59" i="8"/>
  <c r="AV83" i="8"/>
  <c r="AV44" i="8"/>
  <c r="AO53" i="5"/>
  <c r="AH80" i="5"/>
  <c r="AC59" i="5"/>
  <c r="AK4" i="5"/>
  <c r="AI57" i="7"/>
  <c r="AL59" i="7"/>
  <c r="AO59" i="7"/>
  <c r="AM81" i="7"/>
  <c r="AB46" i="7"/>
  <c r="AC4" i="8"/>
  <c r="T4" i="8"/>
  <c r="AP4" i="8"/>
  <c r="AQ57" i="8"/>
  <c r="U4" i="8"/>
  <c r="U44" i="8"/>
  <c r="AO57" i="8"/>
  <c r="AO59" i="8"/>
  <c r="V55" i="8"/>
  <c r="AO80" i="8"/>
  <c r="V56" i="8"/>
  <c r="AO60" i="8"/>
  <c r="AO55" i="8"/>
  <c r="AO52" i="8"/>
  <c r="AO83" i="8"/>
  <c r="V52" i="8"/>
  <c r="AS57" i="7"/>
  <c r="AQ59" i="7"/>
  <c r="Z59" i="7"/>
  <c r="AS59" i="7"/>
  <c r="AQ60" i="7"/>
  <c r="AT59" i="7"/>
  <c r="AL53" i="5"/>
  <c r="Y59" i="5"/>
  <c r="Y4" i="5"/>
  <c r="Y60" i="5"/>
  <c r="AU58" i="5"/>
  <c r="U52" i="5"/>
  <c r="Y83" i="5"/>
  <c r="AP52" i="5"/>
  <c r="AH82" i="5"/>
  <c r="AT60" i="5"/>
  <c r="AO83" i="5"/>
  <c r="AE53" i="11"/>
  <c r="AE60" i="11"/>
  <c r="AE55" i="11"/>
  <c r="AE59" i="11"/>
  <c r="AE44" i="11"/>
  <c r="AE5" i="11" s="1"/>
  <c r="AE7" i="11" s="1"/>
  <c r="AE81" i="11"/>
  <c r="AE56" i="11"/>
  <c r="AE82" i="11"/>
  <c r="AE52" i="11"/>
  <c r="AD4" i="11"/>
  <c r="AD55" i="11"/>
  <c r="AD59" i="11"/>
  <c r="AD45" i="11"/>
  <c r="AD44" i="11" s="1"/>
  <c r="AD5" i="11" s="1"/>
  <c r="AD53" i="11"/>
  <c r="AD81" i="11"/>
  <c r="AD56" i="11"/>
  <c r="AD60" i="11"/>
  <c r="AD82" i="11"/>
  <c r="AD57" i="11"/>
  <c r="AD52" i="11"/>
  <c r="AB4" i="11"/>
  <c r="AB82" i="11"/>
  <c r="AB57" i="11"/>
  <c r="AB52" i="11"/>
  <c r="AB59" i="11"/>
  <c r="AB81" i="11"/>
  <c r="AB60" i="11"/>
  <c r="AB53" i="11"/>
  <c r="AB55" i="11"/>
  <c r="AB45" i="11"/>
  <c r="AB44" i="11" s="1"/>
  <c r="AB5" i="11" s="1"/>
  <c r="AB56" i="11"/>
  <c r="Z4" i="11"/>
  <c r="Z55" i="11"/>
  <c r="Z59" i="11"/>
  <c r="Z45" i="11"/>
  <c r="Z44" i="11" s="1"/>
  <c r="Z5" i="11" s="1"/>
  <c r="Z52" i="11"/>
  <c r="Z81" i="11"/>
  <c r="Z56" i="11"/>
  <c r="Z60" i="11"/>
  <c r="Z82" i="11"/>
  <c r="Z57" i="11"/>
  <c r="Z53" i="11"/>
  <c r="X4" i="11"/>
  <c r="X82" i="11"/>
  <c r="X57" i="11"/>
  <c r="X52" i="11"/>
  <c r="X44" i="11"/>
  <c r="X5" i="11" s="1"/>
  <c r="X81" i="11"/>
  <c r="X56" i="11"/>
  <c r="X53" i="11"/>
  <c r="X55" i="11"/>
  <c r="X59" i="11"/>
  <c r="X60" i="11"/>
  <c r="U4" i="11"/>
  <c r="U81" i="11"/>
  <c r="U56" i="11"/>
  <c r="U60" i="11"/>
  <c r="U53" i="11"/>
  <c r="U55" i="11"/>
  <c r="U82" i="11"/>
  <c r="U52" i="11"/>
  <c r="U59" i="11"/>
  <c r="U45" i="11"/>
  <c r="U44" i="11" s="1"/>
  <c r="U5" i="11" s="1"/>
  <c r="W53" i="11"/>
  <c r="W82" i="11"/>
  <c r="W52" i="11"/>
  <c r="W55" i="11"/>
  <c r="W59" i="11"/>
  <c r="W45" i="11"/>
  <c r="W44" i="11" s="1"/>
  <c r="W5" i="11" s="1"/>
  <c r="W81" i="11"/>
  <c r="W56" i="11"/>
  <c r="W60" i="11"/>
  <c r="V4" i="11"/>
  <c r="V55" i="11"/>
  <c r="V59" i="11"/>
  <c r="V45" i="11"/>
  <c r="V44" i="11" s="1"/>
  <c r="V5" i="11" s="1"/>
  <c r="V53" i="11"/>
  <c r="V81" i="11"/>
  <c r="V56" i="11"/>
  <c r="V60" i="11"/>
  <c r="V82" i="11"/>
  <c r="V52" i="11"/>
  <c r="AC4" i="11"/>
  <c r="AC81" i="11"/>
  <c r="AC56" i="11"/>
  <c r="AC60" i="11"/>
  <c r="AC53" i="11"/>
  <c r="AC55" i="11"/>
  <c r="AC45" i="11"/>
  <c r="AC44" i="11" s="1"/>
  <c r="AC5" i="11" s="1"/>
  <c r="AC82" i="11"/>
  <c r="AC57" i="11"/>
  <c r="AC52" i="11"/>
  <c r="AC59" i="11"/>
  <c r="T4" i="11"/>
  <c r="T82" i="11"/>
  <c r="T52" i="11"/>
  <c r="T81" i="11"/>
  <c r="T60" i="11"/>
  <c r="T53" i="11"/>
  <c r="T55" i="11"/>
  <c r="T59" i="11"/>
  <c r="T45" i="11"/>
  <c r="T44" i="11" s="1"/>
  <c r="T5" i="11" s="1"/>
  <c r="T56" i="11"/>
  <c r="AA53" i="11"/>
  <c r="AA82" i="11"/>
  <c r="AA57" i="11"/>
  <c r="AA52" i="11"/>
  <c r="AA55" i="11"/>
  <c r="AA59" i="11"/>
  <c r="AA45" i="11"/>
  <c r="AA44" i="11" s="1"/>
  <c r="AA5" i="11" s="1"/>
  <c r="AA81" i="11"/>
  <c r="AA56" i="11"/>
  <c r="AA60" i="11"/>
  <c r="S53" i="11"/>
  <c r="S55" i="11"/>
  <c r="S59" i="11"/>
  <c r="S45" i="11"/>
  <c r="S44" i="11" s="1"/>
  <c r="S5" i="11" s="1"/>
  <c r="S81" i="11"/>
  <c r="S56" i="11"/>
  <c r="S60" i="11"/>
  <c r="S82" i="11"/>
  <c r="S52" i="11"/>
  <c r="Y4" i="11"/>
  <c r="Y81" i="11"/>
  <c r="Y56" i="11"/>
  <c r="Y60" i="11"/>
  <c r="Y59" i="11"/>
  <c r="Y82" i="11"/>
  <c r="Y57" i="11"/>
  <c r="Y52" i="11"/>
  <c r="Y53" i="11"/>
  <c r="Y55" i="11"/>
  <c r="Y45" i="11"/>
  <c r="Y44" i="11" s="1"/>
  <c r="Y5" i="11" s="1"/>
  <c r="AW53" i="8"/>
  <c r="CO36" i="8"/>
  <c r="AW57" i="8"/>
  <c r="AW60" i="8"/>
  <c r="AU83" i="8"/>
  <c r="AW44" i="8"/>
  <c r="AW52" i="8"/>
  <c r="AW83" i="8"/>
  <c r="AU55" i="8"/>
  <c r="CO38" i="8"/>
  <c r="CP38" i="8"/>
  <c r="CP36" i="8"/>
  <c r="R55" i="8"/>
  <c r="R59" i="8"/>
  <c r="R44" i="8"/>
  <c r="R56" i="8"/>
  <c r="R53" i="8"/>
  <c r="R52" i="8"/>
  <c r="R60" i="8"/>
  <c r="P4" i="8"/>
  <c r="CM57" i="8"/>
  <c r="P52" i="8"/>
  <c r="P60" i="8"/>
  <c r="P53" i="8"/>
  <c r="P56" i="8"/>
  <c r="P55" i="8"/>
  <c r="P59" i="8"/>
  <c r="Q4" i="8"/>
  <c r="Q53" i="8"/>
  <c r="Q52" i="8"/>
  <c r="Q44" i="8"/>
  <c r="Q56" i="8"/>
  <c r="Q60" i="8"/>
  <c r="Q55" i="8"/>
  <c r="Q59" i="8"/>
  <c r="AO52" i="7"/>
  <c r="AE82" i="7"/>
  <c r="AH81" i="7"/>
  <c r="AE55" i="7"/>
  <c r="AH82" i="7"/>
  <c r="AG60" i="7"/>
  <c r="CO36" i="7"/>
  <c r="Y56" i="5"/>
  <c r="Y80" i="5"/>
  <c r="AL83" i="5"/>
  <c r="Y52" i="5"/>
  <c r="Y51" i="5" s="1"/>
  <c r="Y58" i="5"/>
  <c r="Y82" i="5"/>
  <c r="CO38" i="7"/>
  <c r="CN36" i="5"/>
  <c r="CP38" i="7"/>
  <c r="CP36" i="7"/>
  <c r="AE53" i="7"/>
  <c r="AE56" i="7"/>
  <c r="AH4" i="7"/>
  <c r="R52" i="7"/>
  <c r="R60" i="7"/>
  <c r="R55" i="7"/>
  <c r="R59" i="7"/>
  <c r="R44" i="7"/>
  <c r="R53" i="7"/>
  <c r="AH55" i="7"/>
  <c r="AH53" i="7"/>
  <c r="AH56" i="7"/>
  <c r="AH59" i="7"/>
  <c r="AE52" i="7"/>
  <c r="AE60" i="7"/>
  <c r="Q82" i="7"/>
  <c r="Q56" i="7"/>
  <c r="Q60" i="7"/>
  <c r="Q46" i="7"/>
  <c r="Q44" i="7" s="1"/>
  <c r="Q81" i="7"/>
  <c r="Q55" i="7"/>
  <c r="Q59" i="7"/>
  <c r="Q53" i="7"/>
  <c r="Q52" i="7"/>
  <c r="AH57" i="7"/>
  <c r="AE59" i="7"/>
  <c r="AE81" i="7"/>
  <c r="P82" i="7"/>
  <c r="P81" i="7"/>
  <c r="P55" i="7"/>
  <c r="P59" i="7"/>
  <c r="P53" i="7"/>
  <c r="P52" i="7"/>
  <c r="P60" i="7"/>
  <c r="P46" i="7"/>
  <c r="CM57" i="7"/>
  <c r="P56" i="7"/>
  <c r="CP38" i="6"/>
  <c r="CP36" i="6"/>
  <c r="AC82" i="6"/>
  <c r="X53" i="6"/>
  <c r="AE45" i="6"/>
  <c r="AE44" i="6" s="1"/>
  <c r="AE57" i="6"/>
  <c r="AE79" i="6"/>
  <c r="S4" i="6"/>
  <c r="S58" i="6"/>
  <c r="S59" i="6"/>
  <c r="Z52" i="6"/>
  <c r="Z79" i="6"/>
  <c r="V52" i="6"/>
  <c r="V82" i="6"/>
  <c r="X58" i="6"/>
  <c r="X81" i="6"/>
  <c r="AI59" i="6"/>
  <c r="AE52" i="6"/>
  <c r="AE53" i="6"/>
  <c r="S52" i="6"/>
  <c r="S81" i="6"/>
  <c r="X56" i="6"/>
  <c r="Z81" i="6"/>
  <c r="V53" i="6"/>
  <c r="V79" i="6"/>
  <c r="Z56" i="6"/>
  <c r="Z58" i="6"/>
  <c r="V58" i="6"/>
  <c r="X57" i="6"/>
  <c r="X82" i="6"/>
  <c r="AE82" i="6"/>
  <c r="S53" i="6"/>
  <c r="AK53" i="5"/>
  <c r="AH56" i="5"/>
  <c r="AH44" i="5"/>
  <c r="AT80" i="5"/>
  <c r="AP53" i="5"/>
  <c r="AO52" i="5"/>
  <c r="X80" i="5"/>
  <c r="P4" i="5"/>
  <c r="P56" i="5"/>
  <c r="P58" i="5"/>
  <c r="P59" i="5"/>
  <c r="P60" i="5"/>
  <c r="P52" i="5"/>
  <c r="P44" i="5"/>
  <c r="P82" i="5"/>
  <c r="P53" i="5"/>
  <c r="R4" i="5"/>
  <c r="R44" i="5"/>
  <c r="R56" i="5"/>
  <c r="R52" i="5"/>
  <c r="R53" i="5"/>
  <c r="R82" i="5"/>
  <c r="R95" i="12" s="1"/>
  <c r="R58" i="5"/>
  <c r="R60" i="5"/>
  <c r="AT53" i="5"/>
  <c r="AP60" i="5"/>
  <c r="AO60" i="5"/>
  <c r="X82" i="5"/>
  <c r="AK80" i="5"/>
  <c r="AO4" i="5"/>
  <c r="O53" i="5"/>
  <c r="O56" i="5"/>
  <c r="O59" i="5"/>
  <c r="O60" i="5"/>
  <c r="O82" i="5"/>
  <c r="O95" i="12" s="1"/>
  <c r="O58" i="5"/>
  <c r="O52" i="5"/>
  <c r="N4" i="5"/>
  <c r="N82" i="5"/>
  <c r="N95" i="12" s="1"/>
  <c r="S53" i="5"/>
  <c r="S82" i="5"/>
  <c r="S52" i="5"/>
  <c r="Q83" i="5"/>
  <c r="Q82" i="5"/>
  <c r="Q56" i="5"/>
  <c r="Q58" i="5"/>
  <c r="Q59" i="5"/>
  <c r="Q60" i="5"/>
  <c r="Q52" i="5"/>
  <c r="Q53" i="5"/>
  <c r="Q44" i="5"/>
  <c r="AP80" i="5"/>
  <c r="AT52" i="5"/>
  <c r="AP83" i="5"/>
  <c r="AO59" i="5"/>
  <c r="X59" i="5"/>
  <c r="CP20" i="1"/>
  <c r="CP19" i="1"/>
  <c r="CP23" i="1"/>
  <c r="CP21" i="1"/>
  <c r="CP22" i="1"/>
  <c r="AN52" i="7"/>
  <c r="AN82" i="7"/>
  <c r="AS82" i="7"/>
  <c r="AQ52" i="7"/>
  <c r="AS52" i="7"/>
  <c r="AQ57" i="7"/>
  <c r="O82" i="7"/>
  <c r="O83" i="7" s="1"/>
  <c r="O12" i="7" s="1"/>
  <c r="AT81" i="7"/>
  <c r="AN56" i="7"/>
  <c r="AN81" i="7"/>
  <c r="AS81" i="7"/>
  <c r="AS56" i="7"/>
  <c r="AT57" i="7"/>
  <c r="AN53" i="7"/>
  <c r="AS55" i="7"/>
  <c r="AE46" i="7"/>
  <c r="AB56" i="7"/>
  <c r="Z81" i="7"/>
  <c r="Z53" i="7"/>
  <c r="AV57" i="7"/>
  <c r="W59" i="7"/>
  <c r="Z56" i="7"/>
  <c r="AJ81" i="7"/>
  <c r="AB60" i="7"/>
  <c r="Z60" i="7"/>
  <c r="M82" i="6"/>
  <c r="M83" i="6" s="1"/>
  <c r="M12" i="6" s="1"/>
  <c r="X4" i="6"/>
  <c r="AL57" i="6"/>
  <c r="AL79" i="6"/>
  <c r="U52" i="6"/>
  <c r="U57" i="6"/>
  <c r="AR45" i="6"/>
  <c r="AR44" i="6" s="1"/>
  <c r="AR52" i="6"/>
  <c r="AR81" i="6"/>
  <c r="AM57" i="6"/>
  <c r="AM81" i="6"/>
  <c r="AL59" i="6"/>
  <c r="U59" i="6"/>
  <c r="U58" i="6"/>
  <c r="AR56" i="6"/>
  <c r="AR53" i="6"/>
  <c r="AR79" i="6"/>
  <c r="AM4" i="6"/>
  <c r="AM58" i="6"/>
  <c r="AM79" i="6"/>
  <c r="AL56" i="6"/>
  <c r="AL52" i="6"/>
  <c r="AL82" i="6"/>
  <c r="U79" i="6"/>
  <c r="U81" i="6"/>
  <c r="AR57" i="6"/>
  <c r="AM52" i="6"/>
  <c r="AM53" i="6"/>
  <c r="AC56" i="5"/>
  <c r="AT58" i="5"/>
  <c r="AT82" i="5"/>
  <c r="AP56" i="5"/>
  <c r="AP58" i="5"/>
  <c r="AO56" i="5"/>
  <c r="AO80" i="5"/>
  <c r="X56" i="5"/>
  <c r="X53" i="5"/>
  <c r="X51" i="5" s="1"/>
  <c r="X60" i="5"/>
  <c r="AK60" i="5"/>
  <c r="S60" i="5"/>
  <c r="AT56" i="5"/>
  <c r="AP82" i="5"/>
  <c r="AO44" i="5"/>
  <c r="AO58" i="5"/>
  <c r="AO82" i="5"/>
  <c r="X58" i="5"/>
  <c r="AK58" i="5"/>
  <c r="AL56" i="5"/>
  <c r="AB83" i="5"/>
  <c r="AU83" i="5"/>
  <c r="AU80" i="5"/>
  <c r="W80" i="5"/>
  <c r="AU52" i="5"/>
  <c r="AU53" i="5"/>
  <c r="AU82" i="5"/>
  <c r="AL58" i="5"/>
  <c r="AL80" i="5"/>
  <c r="AG56" i="5"/>
  <c r="AJ80" i="5"/>
  <c r="AU59" i="5"/>
  <c r="AG52" i="5"/>
  <c r="AL60" i="5"/>
  <c r="AU56" i="5"/>
  <c r="AU60" i="5"/>
  <c r="W60" i="5"/>
  <c r="AL52" i="5"/>
  <c r="AL44" i="5"/>
  <c r="AP59" i="7"/>
  <c r="AP56" i="7"/>
  <c r="AK53" i="7"/>
  <c r="AP57" i="7"/>
  <c r="AQ58" i="5"/>
  <c r="AI83" i="5"/>
  <c r="AE56" i="5"/>
  <c r="AE60" i="5"/>
  <c r="AH52" i="5"/>
  <c r="AH53" i="5"/>
  <c r="AH83" i="5"/>
  <c r="AN58" i="5"/>
  <c r="AH60" i="5"/>
  <c r="AV58" i="5"/>
  <c r="AH4" i="5"/>
  <c r="AE44" i="5"/>
  <c r="AE58" i="5"/>
  <c r="AH58" i="5"/>
  <c r="AQ80" i="5"/>
  <c r="AE83" i="5"/>
  <c r="AE80" i="5"/>
  <c r="AQ52" i="5"/>
  <c r="CM14" i="1"/>
  <c r="CM18" i="1" s="1"/>
  <c r="CM25" i="1" s="1"/>
  <c r="CM29" i="1" s="1"/>
  <c r="CM30" i="1" s="1"/>
  <c r="CM11" i="12"/>
  <c r="CM15" i="12" s="1"/>
  <c r="AN57" i="6"/>
  <c r="AC44" i="8"/>
  <c r="AK82" i="7"/>
  <c r="AC55" i="8"/>
  <c r="AC83" i="8"/>
  <c r="AV52" i="8"/>
  <c r="AK46" i="7"/>
  <c r="AK60" i="7"/>
  <c r="AT55" i="8"/>
  <c r="AC60" i="8"/>
  <c r="AV55" i="8"/>
  <c r="AN58" i="6"/>
  <c r="AQ60" i="5"/>
  <c r="AQ4" i="5"/>
  <c r="AN52" i="6"/>
  <c r="AU52" i="6"/>
  <c r="AK56" i="7"/>
  <c r="AK81" i="7"/>
  <c r="AC56" i="8"/>
  <c r="AC82" i="8"/>
  <c r="AV56" i="8"/>
  <c r="AQ53" i="5"/>
  <c r="AV80" i="8"/>
  <c r="AQ83" i="5"/>
  <c r="AN53" i="6"/>
  <c r="AQ56" i="6"/>
  <c r="AK55" i="7"/>
  <c r="AV53" i="8"/>
  <c r="AN4" i="6"/>
  <c r="AM82" i="7"/>
  <c r="AC59" i="8"/>
  <c r="AV57" i="8"/>
  <c r="M7" i="6"/>
  <c r="M8" i="6" s="1"/>
  <c r="AN82" i="6"/>
  <c r="AQ82" i="5"/>
  <c r="AN45" i="6"/>
  <c r="AN44" i="6" s="1"/>
  <c r="AN81" i="6"/>
  <c r="AC52" i="8"/>
  <c r="M83" i="8"/>
  <c r="M84" i="8" s="1"/>
  <c r="M12" i="8" s="1"/>
  <c r="AV59" i="8"/>
  <c r="AV4" i="8"/>
  <c r="AQ56" i="5"/>
  <c r="V60" i="5"/>
  <c r="AW53" i="5"/>
  <c r="AR60" i="5"/>
  <c r="AL53" i="6"/>
  <c r="AN59" i="6"/>
  <c r="AF45" i="6"/>
  <c r="AF44" i="6" s="1"/>
  <c r="Y82" i="6"/>
  <c r="AM45" i="6"/>
  <c r="AM44" i="6" s="1"/>
  <c r="AW80" i="8"/>
  <c r="AC53" i="8"/>
  <c r="AV60" i="8"/>
  <c r="CO43" i="12"/>
  <c r="CP66" i="12"/>
  <c r="CO59" i="12"/>
  <c r="CO44" i="12"/>
  <c r="CO67" i="12"/>
  <c r="CP47" i="12"/>
  <c r="CP46" i="12"/>
  <c r="CP45" i="12"/>
  <c r="M82" i="11"/>
  <c r="M83" i="11" s="1"/>
  <c r="M12" i="11" s="1"/>
  <c r="AN60" i="8"/>
  <c r="W44" i="8"/>
  <c r="Z44" i="8"/>
  <c r="AL60" i="8"/>
  <c r="W55" i="8"/>
  <c r="Z80" i="8"/>
  <c r="AK52" i="8"/>
  <c r="O93" i="8"/>
  <c r="Z53" i="8"/>
  <c r="Z83" i="8"/>
  <c r="AK80" i="8"/>
  <c r="AK53" i="8"/>
  <c r="AL55" i="8"/>
  <c r="AL82" i="8"/>
  <c r="AN56" i="8"/>
  <c r="AD53" i="8"/>
  <c r="AD83" i="8"/>
  <c r="Z52" i="8"/>
  <c r="Z57" i="8"/>
  <c r="AK44" i="8"/>
  <c r="AK59" i="8"/>
  <c r="Y57" i="8"/>
  <c r="Y53" i="8"/>
  <c r="AL52" i="8"/>
  <c r="AL56" i="8"/>
  <c r="AL80" i="8"/>
  <c r="AN80" i="8"/>
  <c r="T53" i="8"/>
  <c r="T59" i="8"/>
  <c r="AU52" i="8"/>
  <c r="AU59" i="8"/>
  <c r="AM52" i="8"/>
  <c r="AM80" i="8"/>
  <c r="AM5" i="8" s="1"/>
  <c r="AI52" i="8"/>
  <c r="AI56" i="8"/>
  <c r="AI59" i="8"/>
  <c r="W52" i="8"/>
  <c r="W57" i="8"/>
  <c r="W60" i="8"/>
  <c r="AD4" i="8"/>
  <c r="Z56" i="8"/>
  <c r="AL53" i="8"/>
  <c r="AN52" i="8"/>
  <c r="AN59" i="8"/>
  <c r="W53" i="8"/>
  <c r="W56" i="8"/>
  <c r="AD82" i="8"/>
  <c r="Y55" i="8"/>
  <c r="Z82" i="8"/>
  <c r="Y59" i="8"/>
  <c r="Y60" i="8"/>
  <c r="AL59" i="8"/>
  <c r="AL83" i="8"/>
  <c r="T44" i="8"/>
  <c r="T56" i="8"/>
  <c r="AU53" i="8"/>
  <c r="AM83" i="8"/>
  <c r="AI53" i="8"/>
  <c r="AI60" i="8"/>
  <c r="W59" i="8"/>
  <c r="R4" i="8"/>
  <c r="L7" i="7"/>
  <c r="L8" i="7" s="1"/>
  <c r="AO57" i="7"/>
  <c r="AI81" i="7"/>
  <c r="AL60" i="7"/>
  <c r="AO82" i="7"/>
  <c r="AL82" i="7"/>
  <c r="AI52" i="7"/>
  <c r="AL55" i="7"/>
  <c r="AL53" i="7"/>
  <c r="X59" i="7"/>
  <c r="AO53" i="7"/>
  <c r="AO81" i="7"/>
  <c r="AF53" i="7"/>
  <c r="AI59" i="7"/>
  <c r="AI56" i="7"/>
  <c r="AL56" i="7"/>
  <c r="AO55" i="7"/>
  <c r="AO56" i="7"/>
  <c r="AI53" i="7"/>
  <c r="AI82" i="7"/>
  <c r="AA56" i="7"/>
  <c r="CP45" i="1"/>
  <c r="CP95" i="1"/>
  <c r="CP94" i="1"/>
  <c r="BA64" i="12"/>
  <c r="BA63" i="12" s="1"/>
  <c r="BA11" i="12" s="1"/>
  <c r="BA10" i="1"/>
  <c r="BH5" i="13"/>
  <c r="BH6" i="13" s="1"/>
  <c r="AZ8" i="12"/>
  <c r="AZ9" i="12" s="1"/>
  <c r="CP116" i="1"/>
  <c r="CP92" i="1"/>
  <c r="CP80" i="1"/>
  <c r="CP84" i="1"/>
  <c r="CP83" i="1"/>
  <c r="CP93" i="1"/>
  <c r="AA17" i="13"/>
  <c r="AD10" i="13"/>
  <c r="Y20" i="13"/>
  <c r="X13" i="14"/>
  <c r="X12" i="14" s="1"/>
  <c r="AL20" i="13" s="1"/>
  <c r="AQ13" i="14"/>
  <c r="AQ12" i="14" s="1"/>
  <c r="BE20" i="13" s="1"/>
  <c r="AF20" i="13"/>
  <c r="AH13" i="14"/>
  <c r="AH12" i="14" s="1"/>
  <c r="AV20" i="13" s="1"/>
  <c r="CP107" i="12"/>
  <c r="W20" i="13"/>
  <c r="Y13" i="14"/>
  <c r="Y12" i="14" s="1"/>
  <c r="AM20" i="13" s="1"/>
  <c r="AO13" i="14"/>
  <c r="AO12" i="14" s="1"/>
  <c r="BC20" i="13" s="1"/>
  <c r="AL13" i="14"/>
  <c r="AL12" i="14" s="1"/>
  <c r="AZ20" i="13" s="1"/>
  <c r="AI20" i="13"/>
  <c r="AG20" i="13"/>
  <c r="Z20" i="13"/>
  <c r="W13" i="14"/>
  <c r="W12" i="14" s="1"/>
  <c r="AK20" i="13" s="1"/>
  <c r="AN13" i="14"/>
  <c r="AN12" i="14" s="1"/>
  <c r="BB20" i="13" s="1"/>
  <c r="AK13" i="14"/>
  <c r="AK12" i="14" s="1"/>
  <c r="AY20" i="13" s="1"/>
  <c r="U20" i="13"/>
  <c r="AD20" i="13"/>
  <c r="AA13" i="14"/>
  <c r="AA12" i="14" s="1"/>
  <c r="AO20" i="13" s="1"/>
  <c r="AJ13" i="14"/>
  <c r="AM13" i="14"/>
  <c r="AM12" i="14" s="1"/>
  <c r="BA20" i="13" s="1"/>
  <c r="AE20" i="13"/>
  <c r="AG13" i="14"/>
  <c r="AG12" i="14" s="1"/>
  <c r="AU20" i="13" s="1"/>
  <c r="AB20" i="13"/>
  <c r="AD13" i="14"/>
  <c r="AD12" i="14" s="1"/>
  <c r="AR20" i="13" s="1"/>
  <c r="V20" i="13"/>
  <c r="AF13" i="14"/>
  <c r="AF12" i="14" s="1"/>
  <c r="AT20" i="13" s="1"/>
  <c r="AA20" i="13"/>
  <c r="X20" i="13"/>
  <c r="Z13" i="14"/>
  <c r="Z12" i="14" s="1"/>
  <c r="AN20" i="13" s="1"/>
  <c r="AP13" i="14"/>
  <c r="AP12" i="14" s="1"/>
  <c r="BD20" i="13" s="1"/>
  <c r="AI13" i="14"/>
  <c r="AI12" i="14" s="1"/>
  <c r="AW20" i="13" s="1"/>
  <c r="AC13" i="14"/>
  <c r="AC12" i="14" s="1"/>
  <c r="AQ20" i="13" s="1"/>
  <c r="AH20" i="13"/>
  <c r="AB13" i="14"/>
  <c r="AB12" i="14" s="1"/>
  <c r="AP20" i="13" s="1"/>
  <c r="AC20" i="13"/>
  <c r="AE13" i="14"/>
  <c r="AE12" i="14" s="1"/>
  <c r="AS20" i="13" s="1"/>
  <c r="AC25" i="13"/>
  <c r="CQ3" i="1"/>
  <c r="AQ53" i="8"/>
  <c r="AJ4" i="7"/>
  <c r="AT4" i="5"/>
  <c r="AT59" i="5"/>
  <c r="AV4" i="5"/>
  <c r="AV83" i="5"/>
  <c r="AM4" i="8"/>
  <c r="AM57" i="8"/>
  <c r="AM56" i="8"/>
  <c r="Z4" i="8"/>
  <c r="Z55" i="8"/>
  <c r="Z60" i="8"/>
  <c r="AK4" i="8"/>
  <c r="AK56" i="8"/>
  <c r="AK82" i="8"/>
  <c r="AK55" i="8"/>
  <c r="P4" i="11"/>
  <c r="P7" i="11" s="1"/>
  <c r="P8" i="11" s="1"/>
  <c r="P82" i="11"/>
  <c r="P83" i="11" s="1"/>
  <c r="P12" i="11" s="1"/>
  <c r="AT60" i="8"/>
  <c r="AT44" i="8"/>
  <c r="U53" i="5"/>
  <c r="AG45" i="6"/>
  <c r="AG44" i="6" s="1"/>
  <c r="AL4" i="5"/>
  <c r="AL59" i="5"/>
  <c r="S45" i="6"/>
  <c r="S44" i="6" s="1"/>
  <c r="S57" i="6"/>
  <c r="T45" i="6"/>
  <c r="T44" i="6" s="1"/>
  <c r="T59" i="6"/>
  <c r="AH46" i="7"/>
  <c r="AH52" i="7"/>
  <c r="AS46" i="7"/>
  <c r="AS60" i="7"/>
  <c r="AL46" i="7"/>
  <c r="AL81" i="7"/>
  <c r="AM60" i="7"/>
  <c r="AM52" i="7"/>
  <c r="AK4" i="7"/>
  <c r="AK59" i="7"/>
  <c r="AH60" i="8"/>
  <c r="AH53" i="8"/>
  <c r="AO52" i="6"/>
  <c r="AO51" i="6" s="1"/>
  <c r="AW56" i="7"/>
  <c r="AJ53" i="7"/>
  <c r="AW55" i="7"/>
  <c r="AF59" i="7"/>
  <c r="AF82" i="7"/>
  <c r="AN53" i="8"/>
  <c r="AN57" i="8"/>
  <c r="AN4" i="8"/>
  <c r="V53" i="8"/>
  <c r="V60" i="8"/>
  <c r="AB59" i="8"/>
  <c r="AB52" i="8"/>
  <c r="AA4" i="8"/>
  <c r="AA83" i="8"/>
  <c r="AA59" i="8"/>
  <c r="AU4" i="8"/>
  <c r="AU82" i="8"/>
  <c r="AU57" i="8"/>
  <c r="AD81" i="7"/>
  <c r="AR52" i="8"/>
  <c r="AQ59" i="8"/>
  <c r="AB4" i="5"/>
  <c r="AB60" i="5"/>
  <c r="AB56" i="5"/>
  <c r="O4" i="5"/>
  <c r="O83" i="5"/>
  <c r="O98" i="12" s="1"/>
  <c r="U4" i="5"/>
  <c r="U58" i="5"/>
  <c r="AC4" i="5"/>
  <c r="AC80" i="5"/>
  <c r="AG4" i="6"/>
  <c r="AG59" i="6"/>
  <c r="AO4" i="6"/>
  <c r="AO58" i="6"/>
  <c r="AG81" i="6"/>
  <c r="U56" i="5"/>
  <c r="V82" i="5"/>
  <c r="AO45" i="6"/>
  <c r="AO44" i="6" s="1"/>
  <c r="AT53" i="8"/>
  <c r="AQ55" i="8"/>
  <c r="AC53" i="5"/>
  <c r="AC83" i="5"/>
  <c r="V52" i="5"/>
  <c r="V83" i="5"/>
  <c r="AO59" i="6"/>
  <c r="AW53" i="7"/>
  <c r="AT80" i="8"/>
  <c r="AR55" i="8"/>
  <c r="AC82" i="5"/>
  <c r="U83" i="5"/>
  <c r="AB58" i="5"/>
  <c r="AO56" i="6"/>
  <c r="AG79" i="6"/>
  <c r="AD55" i="7"/>
  <c r="AW59" i="7"/>
  <c r="AJ52" i="7"/>
  <c r="AF60" i="7"/>
  <c r="AF81" i="7"/>
  <c r="AC52" i="5"/>
  <c r="U80" i="5"/>
  <c r="V53" i="5"/>
  <c r="AB59" i="5"/>
  <c r="AO57" i="6"/>
  <c r="AG56" i="6"/>
  <c r="AF52" i="7"/>
  <c r="V59" i="8"/>
  <c r="AR60" i="8"/>
  <c r="AN83" i="8"/>
  <c r="AB55" i="8"/>
  <c r="AU56" i="8"/>
  <c r="AA55" i="8"/>
  <c r="AH55" i="8"/>
  <c r="V4" i="8"/>
  <c r="AJ46" i="7"/>
  <c r="AJ55" i="7"/>
  <c r="AD46" i="7"/>
  <c r="AD53" i="7"/>
  <c r="S53" i="8"/>
  <c r="S55" i="8"/>
  <c r="S52" i="8"/>
  <c r="AC58" i="5"/>
  <c r="AB80" i="5"/>
  <c r="AB82" i="5"/>
  <c r="AC44" i="5"/>
  <c r="U82" i="5"/>
  <c r="V56" i="5"/>
  <c r="AB52" i="5"/>
  <c r="AO79" i="6"/>
  <c r="AG57" i="6"/>
  <c r="AD60" i="7"/>
  <c r="AJ60" i="7"/>
  <c r="AN82" i="8"/>
  <c r="AB56" i="8"/>
  <c r="AU80" i="8"/>
  <c r="AA56" i="8"/>
  <c r="AB4" i="8"/>
  <c r="AF46" i="7"/>
  <c r="AF55" i="7"/>
  <c r="AF4" i="7"/>
  <c r="AW4" i="7"/>
  <c r="AW60" i="7"/>
  <c r="AR4" i="8"/>
  <c r="AR56" i="8"/>
  <c r="AR44" i="8"/>
  <c r="AQ4" i="8"/>
  <c r="AQ82" i="8"/>
  <c r="AQ83" i="8"/>
  <c r="V80" i="5"/>
  <c r="AG53" i="6"/>
  <c r="AG51" i="6" s="1"/>
  <c r="AC60" i="5"/>
  <c r="V58" i="5"/>
  <c r="AB53" i="5"/>
  <c r="AO82" i="6"/>
  <c r="AJ59" i="7"/>
  <c r="AD82" i="7"/>
  <c r="AJ82" i="7"/>
  <c r="AT82" i="8"/>
  <c r="AR82" i="8"/>
  <c r="S59" i="8"/>
  <c r="AH82" i="8"/>
  <c r="M93" i="11"/>
  <c r="M92" i="6"/>
  <c r="Z4" i="6"/>
  <c r="Z45" i="6"/>
  <c r="Z44" i="6" s="1"/>
  <c r="V46" i="7"/>
  <c r="AT60" i="7"/>
  <c r="AG59" i="7"/>
  <c r="AV81" i="7"/>
  <c r="AT59" i="8"/>
  <c r="AT83" i="8"/>
  <c r="AR59" i="8"/>
  <c r="AQ56" i="8"/>
  <c r="S56" i="8"/>
  <c r="AH56" i="8"/>
  <c r="N4" i="8"/>
  <c r="T4" i="5"/>
  <c r="U4" i="6"/>
  <c r="U45" i="6"/>
  <c r="U44" i="6" s="1"/>
  <c r="X4" i="5"/>
  <c r="V56" i="6"/>
  <c r="V45" i="6"/>
  <c r="V44" i="6" s="1"/>
  <c r="Z46" i="7"/>
  <c r="Z53" i="6"/>
  <c r="Z82" i="6"/>
  <c r="AT56" i="7"/>
  <c r="AT57" i="8"/>
  <c r="AR53" i="8"/>
  <c r="AR80" i="8"/>
  <c r="AQ44" i="8"/>
  <c r="AQ80" i="8"/>
  <c r="S44" i="8"/>
  <c r="AH52" i="8"/>
  <c r="AH83" i="8"/>
  <c r="V4" i="6"/>
  <c r="AT52" i="8"/>
  <c r="AG46" i="7"/>
  <c r="AH4" i="8"/>
  <c r="AH59" i="8"/>
  <c r="AT4" i="8"/>
  <c r="Z82" i="5"/>
  <c r="Z44" i="5"/>
  <c r="Y81" i="7"/>
  <c r="M7" i="8"/>
  <c r="M8" i="8" s="1"/>
  <c r="AT52" i="7"/>
  <c r="AG56" i="7"/>
  <c r="AV56" i="7"/>
  <c r="AR57" i="8"/>
  <c r="AQ52" i="8"/>
  <c r="AQ60" i="8"/>
  <c r="V4" i="5"/>
  <c r="V44" i="5"/>
  <c r="CM11" i="6"/>
  <c r="CM39" i="6"/>
  <c r="AG4" i="5"/>
  <c r="AG82" i="5"/>
  <c r="AG53" i="5"/>
  <c r="L4" i="5"/>
  <c r="L83" i="5"/>
  <c r="AD4" i="5"/>
  <c r="AD56" i="5"/>
  <c r="S4" i="5"/>
  <c r="S56" i="5"/>
  <c r="AN4" i="5"/>
  <c r="AN60" i="5"/>
  <c r="AN53" i="5"/>
  <c r="AN56" i="5"/>
  <c r="AI44" i="5"/>
  <c r="AI53" i="5"/>
  <c r="AQ79" i="6"/>
  <c r="AQ58" i="6"/>
  <c r="AQ45" i="6"/>
  <c r="AQ44" i="6" s="1"/>
  <c r="AS4" i="6"/>
  <c r="AS81" i="6"/>
  <c r="AS56" i="6"/>
  <c r="AS59" i="6"/>
  <c r="W59" i="6"/>
  <c r="W58" i="6"/>
  <c r="W44" i="6"/>
  <c r="Y4" i="6"/>
  <c r="Y79" i="6"/>
  <c r="Y5" i="6" s="1"/>
  <c r="Y59" i="6"/>
  <c r="AU4" i="7"/>
  <c r="AU55" i="7"/>
  <c r="AC56" i="7"/>
  <c r="AC59" i="7"/>
  <c r="T44" i="7"/>
  <c r="T5" i="7" s="1"/>
  <c r="X46" i="7"/>
  <c r="X44" i="7" s="1"/>
  <c r="X5" i="7" s="1"/>
  <c r="X55" i="7"/>
  <c r="X52" i="7"/>
  <c r="X4" i="7"/>
  <c r="X81" i="7"/>
  <c r="X53" i="7"/>
  <c r="U56" i="7"/>
  <c r="U52" i="7"/>
  <c r="U55" i="7"/>
  <c r="AR46" i="7"/>
  <c r="AR81" i="7"/>
  <c r="AR56" i="7"/>
  <c r="AR57" i="7"/>
  <c r="AS4" i="8"/>
  <c r="AS60" i="8"/>
  <c r="AS52" i="8"/>
  <c r="AS44" i="8"/>
  <c r="AS59" i="8"/>
  <c r="AS57" i="8"/>
  <c r="AS82" i="8"/>
  <c r="AS80" i="8"/>
  <c r="AS56" i="8"/>
  <c r="X4" i="8"/>
  <c r="CN39" i="8"/>
  <c r="X59" i="8"/>
  <c r="X57" i="8"/>
  <c r="X80" i="8"/>
  <c r="X55" i="8"/>
  <c r="X44" i="8"/>
  <c r="X52" i="8"/>
  <c r="X82" i="8"/>
  <c r="X53" i="8"/>
  <c r="X56" i="8"/>
  <c r="AG4" i="8"/>
  <c r="AG80" i="8"/>
  <c r="AG56" i="8"/>
  <c r="AG82" i="8"/>
  <c r="AG53" i="8"/>
  <c r="AG83" i="8"/>
  <c r="AG52" i="8"/>
  <c r="AG59" i="8"/>
  <c r="AP80" i="8"/>
  <c r="AP56" i="8"/>
  <c r="AP44" i="8"/>
  <c r="AP59" i="8"/>
  <c r="AP55" i="8"/>
  <c r="AP52" i="8"/>
  <c r="AP53" i="8"/>
  <c r="AP60" i="8"/>
  <c r="AF59" i="8"/>
  <c r="AF56" i="8"/>
  <c r="AF80" i="8"/>
  <c r="AF52" i="8"/>
  <c r="AF4" i="8"/>
  <c r="AF82" i="8"/>
  <c r="AF55" i="8"/>
  <c r="AF53" i="8"/>
  <c r="L4" i="8"/>
  <c r="L7" i="8" s="1"/>
  <c r="L8" i="8" s="1"/>
  <c r="L83" i="8"/>
  <c r="CM39" i="8"/>
  <c r="AE4" i="8"/>
  <c r="AE82" i="8"/>
  <c r="AE83" i="8"/>
  <c r="AE60" i="8"/>
  <c r="AE52" i="8"/>
  <c r="AE59" i="8"/>
  <c r="AE56" i="8"/>
  <c r="AM59" i="5"/>
  <c r="AI58" i="5"/>
  <c r="Z58" i="5"/>
  <c r="AG58" i="5"/>
  <c r="AN59" i="5"/>
  <c r="AN82" i="5"/>
  <c r="AI4" i="5"/>
  <c r="AS79" i="6"/>
  <c r="AS82" i="6"/>
  <c r="Y56" i="6"/>
  <c r="Y81" i="6"/>
  <c r="AQ57" i="6"/>
  <c r="AQ59" i="6"/>
  <c r="W56" i="6"/>
  <c r="W79" i="6"/>
  <c r="AR60" i="7"/>
  <c r="X82" i="7"/>
  <c r="AS83" i="8"/>
  <c r="AF60" i="8"/>
  <c r="X60" i="8"/>
  <c r="AE80" i="8"/>
  <c r="AS45" i="6"/>
  <c r="AS44" i="6" s="1"/>
  <c r="Y53" i="6"/>
  <c r="Y57" i="6"/>
  <c r="L82" i="6"/>
  <c r="AQ4" i="6"/>
  <c r="AQ53" i="6"/>
  <c r="W4" i="6"/>
  <c r="W57" i="6"/>
  <c r="AR52" i="7"/>
  <c r="X56" i="7"/>
  <c r="AC53" i="7"/>
  <c r="AP82" i="8"/>
  <c r="AG60" i="8"/>
  <c r="AF83" i="8"/>
  <c r="X83" i="8"/>
  <c r="Z4" i="5"/>
  <c r="Z83" i="5"/>
  <c r="Z53" i="5"/>
  <c r="Z56" i="5"/>
  <c r="AF4" i="5"/>
  <c r="AF80" i="5"/>
  <c r="AI59" i="5"/>
  <c r="AI80" i="5"/>
  <c r="AD53" i="5"/>
  <c r="Z80" i="5"/>
  <c r="AG44" i="5"/>
  <c r="AG60" i="5"/>
  <c r="AN52" i="5"/>
  <c r="AI52" i="5"/>
  <c r="AI60" i="5"/>
  <c r="AI82" i="5"/>
  <c r="AD82" i="5"/>
  <c r="Z60" i="5"/>
  <c r="AG83" i="5"/>
  <c r="AN44" i="5"/>
  <c r="AN83" i="5"/>
  <c r="AS52" i="6"/>
  <c r="AS57" i="6"/>
  <c r="Y52" i="6"/>
  <c r="Y58" i="6"/>
  <c r="AQ52" i="6"/>
  <c r="AQ82" i="6"/>
  <c r="W52" i="6"/>
  <c r="W82" i="6"/>
  <c r="X60" i="7"/>
  <c r="Y56" i="7"/>
  <c r="AP57" i="8"/>
  <c r="AS55" i="8"/>
  <c r="AE53" i="8"/>
  <c r="S4" i="8"/>
  <c r="CP87" i="12"/>
  <c r="CP106" i="12"/>
  <c r="CQ3" i="12"/>
  <c r="CP69" i="12"/>
  <c r="CP71" i="12"/>
  <c r="CP76" i="12"/>
  <c r="CP78" i="12"/>
  <c r="CP80" i="12"/>
  <c r="CP73" i="12"/>
  <c r="CP81" i="12"/>
  <c r="CP75" i="12"/>
  <c r="CP79" i="12"/>
  <c r="CP70" i="12"/>
  <c r="CP68" i="12"/>
  <c r="CQ3" i="11"/>
  <c r="CR3" i="11" s="1"/>
  <c r="S4" i="11"/>
  <c r="Q82" i="11"/>
  <c r="W4" i="11"/>
  <c r="R7" i="11"/>
  <c r="O93" i="11"/>
  <c r="N82" i="11"/>
  <c r="O4" i="11"/>
  <c r="O7" i="11" s="1"/>
  <c r="L82" i="11"/>
  <c r="L7" i="11"/>
  <c r="L8" i="11" s="1"/>
  <c r="M7" i="11"/>
  <c r="M8" i="11" s="1"/>
  <c r="AN39" i="11"/>
  <c r="AN4" i="11" s="1"/>
  <c r="AU39" i="11"/>
  <c r="AU45" i="11" s="1"/>
  <c r="AK39" i="11"/>
  <c r="AK45" i="11" s="1"/>
  <c r="AK44" i="11" s="1"/>
  <c r="AK5" i="11" s="1"/>
  <c r="AO39" i="11"/>
  <c r="AO57" i="11" s="1"/>
  <c r="AM80" i="11"/>
  <c r="AS39" i="11"/>
  <c r="AF4" i="11"/>
  <c r="AI39" i="11"/>
  <c r="AI4" i="11" s="1"/>
  <c r="O10" i="11"/>
  <c r="AR39" i="11"/>
  <c r="AV39" i="11"/>
  <c r="AV4" i="11" s="1"/>
  <c r="AS80" i="11"/>
  <c r="CO39" i="8"/>
  <c r="CP39" i="8"/>
  <c r="CQ16" i="8"/>
  <c r="CQ60" i="8"/>
  <c r="CQ35" i="8"/>
  <c r="CQ36" i="8" s="1"/>
  <c r="CQ46" i="8"/>
  <c r="CQ59" i="8"/>
  <c r="CQ51" i="8"/>
  <c r="CQ44" i="8"/>
  <c r="CQ89" i="8"/>
  <c r="CQ81" i="8"/>
  <c r="CQ49" i="8"/>
  <c r="CQ80" i="8"/>
  <c r="CQ37" i="8"/>
  <c r="CQ38" i="8" s="1"/>
  <c r="CQ54" i="8"/>
  <c r="CQ5" i="8"/>
  <c r="CQ4" i="8"/>
  <c r="CQ53" i="8"/>
  <c r="CQ91" i="8"/>
  <c r="CQ52" i="8"/>
  <c r="CQ84" i="8"/>
  <c r="CQ12" i="8"/>
  <c r="CQ45" i="8"/>
  <c r="CQ58" i="8"/>
  <c r="CQ57" i="8"/>
  <c r="CQ10" i="8"/>
  <c r="CQ56" i="8"/>
  <c r="CQ39" i="8"/>
  <c r="CQ55" i="8"/>
  <c r="CQ90" i="8"/>
  <c r="CQ83" i="8"/>
  <c r="CQ82" i="8"/>
  <c r="N10" i="8"/>
  <c r="O10" i="8"/>
  <c r="O14" i="8" s="1"/>
  <c r="O18" i="8" s="1"/>
  <c r="O22" i="8" s="1"/>
  <c r="AM81" i="8"/>
  <c r="AH81" i="8"/>
  <c r="O7" i="7"/>
  <c r="O8" i="7" s="1"/>
  <c r="V52" i="7"/>
  <c r="V60" i="7"/>
  <c r="AC60" i="7"/>
  <c r="Y60" i="7"/>
  <c r="U53" i="7"/>
  <c r="U12" i="7"/>
  <c r="T59" i="7"/>
  <c r="T60" i="7"/>
  <c r="AV60" i="7"/>
  <c r="AU53" i="7"/>
  <c r="AU56" i="7"/>
  <c r="AU60" i="7"/>
  <c r="U4" i="7"/>
  <c r="AV4" i="7"/>
  <c r="T4" i="7"/>
  <c r="V56" i="7"/>
  <c r="V53" i="7"/>
  <c r="AC55" i="7"/>
  <c r="AC82" i="7"/>
  <c r="Y52" i="7"/>
  <c r="Y82" i="7"/>
  <c r="U59" i="7"/>
  <c r="T53" i="7"/>
  <c r="AV53" i="7"/>
  <c r="AV59" i="7"/>
  <c r="AU82" i="7"/>
  <c r="AU57" i="7"/>
  <c r="Y55" i="7"/>
  <c r="V4" i="7"/>
  <c r="Y46" i="7"/>
  <c r="AU46" i="7"/>
  <c r="AC52" i="7"/>
  <c r="AC81" i="7"/>
  <c r="Y53" i="7"/>
  <c r="U60" i="7"/>
  <c r="T55" i="7"/>
  <c r="T52" i="7"/>
  <c r="AV52" i="7"/>
  <c r="AV55" i="7"/>
  <c r="AV82" i="7"/>
  <c r="AU52" i="7"/>
  <c r="AU59" i="7"/>
  <c r="AU81" i="7"/>
  <c r="AC4" i="7"/>
  <c r="AC46" i="7"/>
  <c r="AT4" i="7"/>
  <c r="AR53" i="7"/>
  <c r="AR59" i="7"/>
  <c r="AR82" i="7"/>
  <c r="AT55" i="7"/>
  <c r="AT53" i="7"/>
  <c r="AT82" i="7"/>
  <c r="Z55" i="7"/>
  <c r="Z52" i="7"/>
  <c r="Z82" i="7"/>
  <c r="X57" i="7"/>
  <c r="AW52" i="7"/>
  <c r="AW82" i="7"/>
  <c r="AQ53" i="7"/>
  <c r="AQ55" i="7"/>
  <c r="AQ81" i="7"/>
  <c r="W60" i="7"/>
  <c r="W56" i="7"/>
  <c r="AS4" i="7"/>
  <c r="Z4" i="7"/>
  <c r="AR4" i="7"/>
  <c r="AQ56" i="7"/>
  <c r="W53" i="7"/>
  <c r="AW57" i="7"/>
  <c r="AL4" i="7"/>
  <c r="AW46" i="7"/>
  <c r="CP39" i="7"/>
  <c r="CQ4" i="7"/>
  <c r="CQ35" i="7"/>
  <c r="CQ36" i="7" s="1"/>
  <c r="CQ60" i="7"/>
  <c r="CQ54" i="7"/>
  <c r="CQ52" i="7"/>
  <c r="CQ83" i="7"/>
  <c r="CQ45" i="7"/>
  <c r="CQ44" i="7"/>
  <c r="CQ57" i="7"/>
  <c r="CQ56" i="7"/>
  <c r="CQ5" i="7"/>
  <c r="CQ49" i="7"/>
  <c r="CQ10" i="7"/>
  <c r="CQ81" i="7"/>
  <c r="CQ80" i="7"/>
  <c r="CQ58" i="7"/>
  <c r="CQ12" i="7"/>
  <c r="CQ39" i="7"/>
  <c r="CQ55" i="7"/>
  <c r="CQ89" i="7"/>
  <c r="CQ51" i="7"/>
  <c r="CQ16" i="7"/>
  <c r="CQ88" i="7"/>
  <c r="CQ53" i="7"/>
  <c r="CQ90" i="7"/>
  <c r="CQ37" i="7"/>
  <c r="CQ38" i="7" s="1"/>
  <c r="CQ82" i="7"/>
  <c r="CQ46" i="7"/>
  <c r="CQ59" i="7"/>
  <c r="CM39" i="7"/>
  <c r="AM59" i="7"/>
  <c r="AA55" i="7"/>
  <c r="AA82" i="7"/>
  <c r="AB53" i="7"/>
  <c r="AB82" i="7"/>
  <c r="AP81" i="7"/>
  <c r="AP52" i="7"/>
  <c r="AP60" i="7"/>
  <c r="AD56" i="7"/>
  <c r="AN60" i="7"/>
  <c r="AN57" i="7"/>
  <c r="AG52" i="7"/>
  <c r="AG82" i="7"/>
  <c r="AM55" i="7"/>
  <c r="AA52" i="7"/>
  <c r="CO39" i="7"/>
  <c r="AG4" i="7"/>
  <c r="AB4" i="7"/>
  <c r="AP4" i="7"/>
  <c r="AB55" i="7"/>
  <c r="AB52" i="7"/>
  <c r="AB81" i="7"/>
  <c r="AP55" i="7"/>
  <c r="AP53" i="7"/>
  <c r="AP82" i="7"/>
  <c r="AD59" i="7"/>
  <c r="N82" i="7"/>
  <c r="AN59" i="7"/>
  <c r="AG53" i="7"/>
  <c r="AG81" i="7"/>
  <c r="AA53" i="7"/>
  <c r="AM53" i="7"/>
  <c r="AM56" i="7"/>
  <c r="AA60" i="7"/>
  <c r="AN4" i="7"/>
  <c r="AD4" i="7"/>
  <c r="AS80" i="7"/>
  <c r="W4" i="7"/>
  <c r="W46" i="7"/>
  <c r="N4" i="7"/>
  <c r="N7" i="7" s="1"/>
  <c r="M10" i="7"/>
  <c r="Q4" i="7"/>
  <c r="AI4" i="7"/>
  <c r="AI46" i="7"/>
  <c r="AO4" i="7"/>
  <c r="AQ4" i="7"/>
  <c r="AQ46" i="7"/>
  <c r="AM4" i="7"/>
  <c r="AM46" i="7"/>
  <c r="R4" i="7"/>
  <c r="M4" i="7"/>
  <c r="AM80" i="7"/>
  <c r="Y57" i="7"/>
  <c r="AA4" i="7"/>
  <c r="AA46" i="7"/>
  <c r="AH80" i="7"/>
  <c r="AL45" i="6"/>
  <c r="AL44" i="6" s="1"/>
  <c r="CP39" i="6"/>
  <c r="CQ4" i="6"/>
  <c r="CQ16" i="6"/>
  <c r="CQ39" i="6"/>
  <c r="CQ45" i="6"/>
  <c r="CQ51" i="6"/>
  <c r="CQ55" i="6"/>
  <c r="CQ80" i="6"/>
  <c r="CQ89" i="6"/>
  <c r="CQ46" i="6"/>
  <c r="CQ5" i="6"/>
  <c r="CQ12" i="6"/>
  <c r="CQ37" i="6"/>
  <c r="CQ38" i="6" s="1"/>
  <c r="CQ44" i="6"/>
  <c r="CQ54" i="6"/>
  <c r="CQ58" i="6"/>
  <c r="CQ79" i="6"/>
  <c r="CQ83" i="6"/>
  <c r="CQ10" i="6"/>
  <c r="CQ35" i="6"/>
  <c r="CQ36" i="6" s="1"/>
  <c r="CQ81" i="6"/>
  <c r="CQ90" i="6"/>
  <c r="CQ53" i="6"/>
  <c r="CQ57" i="6"/>
  <c r="CQ59" i="6"/>
  <c r="CQ82" i="6"/>
  <c r="CQ88" i="6"/>
  <c r="CQ49" i="6"/>
  <c r="CQ52" i="6"/>
  <c r="CQ56" i="6"/>
  <c r="Q7" i="6"/>
  <c r="Q8" i="6" s="1"/>
  <c r="CM5" i="6"/>
  <c r="AD4" i="6"/>
  <c r="AR4" i="6"/>
  <c r="CO39" i="6"/>
  <c r="AW59" i="6"/>
  <c r="AT56" i="6"/>
  <c r="AP59" i="6"/>
  <c r="AW82" i="6"/>
  <c r="AC79" i="6"/>
  <c r="AJ81" i="6"/>
  <c r="AI56" i="6"/>
  <c r="AA45" i="6"/>
  <c r="AA44" i="6" s="1"/>
  <c r="AP58" i="6"/>
  <c r="AW53" i="6"/>
  <c r="AJ52" i="6"/>
  <c r="AB79" i="6"/>
  <c r="AV57" i="6"/>
  <c r="AU58" i="6"/>
  <c r="AI4" i="6"/>
  <c r="AT79" i="6"/>
  <c r="AK59" i="6"/>
  <c r="AC56" i="6"/>
  <c r="AB57" i="6"/>
  <c r="AI53" i="6"/>
  <c r="AA58" i="6"/>
  <c r="R92" i="6"/>
  <c r="AP45" i="6"/>
  <c r="AP44" i="6" s="1"/>
  <c r="AT53" i="6"/>
  <c r="AP56" i="6"/>
  <c r="AP81" i="6"/>
  <c r="AP82" i="6"/>
  <c r="AH56" i="6"/>
  <c r="AH59" i="6"/>
  <c r="AH52" i="6"/>
  <c r="AW45" i="6"/>
  <c r="AW44" i="6" s="1"/>
  <c r="AW56" i="6"/>
  <c r="AW81" i="6"/>
  <c r="CN39" i="6"/>
  <c r="AK52" i="6"/>
  <c r="AK79" i="6"/>
  <c r="AK82" i="6"/>
  <c r="AC53" i="6"/>
  <c r="AC51" i="6" s="1"/>
  <c r="AC57" i="6"/>
  <c r="AC81" i="6"/>
  <c r="AJ56" i="6"/>
  <c r="AJ53" i="6"/>
  <c r="AJ79" i="6"/>
  <c r="AB58" i="6"/>
  <c r="AB59" i="6"/>
  <c r="AV45" i="6"/>
  <c r="AV44" i="6" s="1"/>
  <c r="AV5" i="6" s="1"/>
  <c r="AV58" i="6"/>
  <c r="AV82" i="6"/>
  <c r="AU4" i="6"/>
  <c r="AU82" i="6"/>
  <c r="AU53" i="6"/>
  <c r="AU59" i="6"/>
  <c r="AI57" i="6"/>
  <c r="AA52" i="6"/>
  <c r="AA79" i="6"/>
  <c r="O4" i="6"/>
  <c r="O7" i="6" s="1"/>
  <c r="O8" i="6" s="1"/>
  <c r="AT57" i="6"/>
  <c r="AT59" i="6"/>
  <c r="AP52" i="6"/>
  <c r="AP51" i="6" s="1"/>
  <c r="AP79" i="6"/>
  <c r="AH81" i="6"/>
  <c r="AH82" i="6"/>
  <c r="R82" i="6"/>
  <c r="O92" i="6"/>
  <c r="AW52" i="6"/>
  <c r="AW57" i="6"/>
  <c r="AK53" i="6"/>
  <c r="AK56" i="6"/>
  <c r="AK81" i="6"/>
  <c r="AC45" i="6"/>
  <c r="AC44" i="6" s="1"/>
  <c r="AC58" i="6"/>
  <c r="AJ57" i="6"/>
  <c r="AJ59" i="6"/>
  <c r="AB45" i="6"/>
  <c r="AB44" i="6" s="1"/>
  <c r="AB82" i="6"/>
  <c r="AV59" i="6"/>
  <c r="AV52" i="6"/>
  <c r="AV81" i="6"/>
  <c r="AU56" i="6"/>
  <c r="AU81" i="6"/>
  <c r="AI45" i="6"/>
  <c r="AI44" i="6" s="1"/>
  <c r="AI5" i="6" s="1"/>
  <c r="AI81" i="6"/>
  <c r="AA4" i="6"/>
  <c r="AA56" i="6"/>
  <c r="AA53" i="6"/>
  <c r="AA59" i="6"/>
  <c r="Q74" i="6"/>
  <c r="Q92" i="6" s="1"/>
  <c r="AT52" i="6"/>
  <c r="AT81" i="6"/>
  <c r="AT82" i="6"/>
  <c r="AP57" i="6"/>
  <c r="AH53" i="6"/>
  <c r="AH79" i="6"/>
  <c r="AW79" i="6"/>
  <c r="AW58" i="6"/>
  <c r="AK45" i="6"/>
  <c r="AK44" i="6" s="1"/>
  <c r="AK57" i="6"/>
  <c r="AC59" i="6"/>
  <c r="Q82" i="6"/>
  <c r="Q83" i="6" s="1"/>
  <c r="Q12" i="6" s="1"/>
  <c r="AJ45" i="6"/>
  <c r="AJ44" i="6" s="1"/>
  <c r="AJ82" i="6"/>
  <c r="AB56" i="6"/>
  <c r="AB52" i="6"/>
  <c r="AB81" i="6"/>
  <c r="AV4" i="6"/>
  <c r="AV56" i="6"/>
  <c r="AV53" i="6"/>
  <c r="AU45" i="6"/>
  <c r="AU44" i="6" s="1"/>
  <c r="AU5" i="6" s="1"/>
  <c r="AU57" i="6"/>
  <c r="AI52" i="6"/>
  <c r="AI82" i="6"/>
  <c r="AA57" i="6"/>
  <c r="AA82" i="6"/>
  <c r="AH45" i="6"/>
  <c r="AH44" i="6" s="1"/>
  <c r="AC4" i="6"/>
  <c r="AJ4" i="6"/>
  <c r="AT58" i="6"/>
  <c r="AT4" i="6"/>
  <c r="N10" i="6"/>
  <c r="R4" i="6"/>
  <c r="R7" i="6" s="1"/>
  <c r="AP4" i="6"/>
  <c r="O10" i="6"/>
  <c r="AH80" i="6"/>
  <c r="L4" i="6"/>
  <c r="AH57" i="6"/>
  <c r="AH4" i="6"/>
  <c r="N4" i="6"/>
  <c r="N7" i="6" s="1"/>
  <c r="P10" i="6"/>
  <c r="AM80" i="6"/>
  <c r="CO16" i="5"/>
  <c r="CP3" i="5"/>
  <c r="AX47" i="5"/>
  <c r="AX75" i="5" s="1"/>
  <c r="AX93" i="5" s="1"/>
  <c r="AX11" i="5"/>
  <c r="AY48" i="5"/>
  <c r="AZ50" i="5"/>
  <c r="AM52" i="5"/>
  <c r="AM80" i="5"/>
  <c r="W82" i="5"/>
  <c r="S58" i="5"/>
  <c r="S83" i="5"/>
  <c r="S98" i="12" s="1"/>
  <c r="AD83" i="5"/>
  <c r="AS53" i="5"/>
  <c r="AS83" i="5"/>
  <c r="AV59" i="5"/>
  <c r="AV80" i="5"/>
  <c r="AJ56" i="5"/>
  <c r="AJ52" i="5"/>
  <c r="AJ82" i="5"/>
  <c r="AF56" i="5"/>
  <c r="AF52" i="5"/>
  <c r="AF82" i="5"/>
  <c r="P83" i="5"/>
  <c r="P98" i="12" s="1"/>
  <c r="W4" i="5"/>
  <c r="AM53" i="5"/>
  <c r="AM82" i="5"/>
  <c r="W56" i="5"/>
  <c r="W53" i="5"/>
  <c r="AD58" i="5"/>
  <c r="AD52" i="5"/>
  <c r="AD60" i="5"/>
  <c r="AS52" i="5"/>
  <c r="AS56" i="5"/>
  <c r="AS80" i="5"/>
  <c r="AV52" i="5"/>
  <c r="AV82" i="5"/>
  <c r="AJ58" i="5"/>
  <c r="AJ53" i="5"/>
  <c r="AJ60" i="5"/>
  <c r="AF58" i="5"/>
  <c r="AF53" i="5"/>
  <c r="AF60" i="5"/>
  <c r="CN39" i="5"/>
  <c r="CM39" i="5"/>
  <c r="AM60" i="5"/>
  <c r="AM4" i="5"/>
  <c r="AM56" i="5"/>
  <c r="AM58" i="5"/>
  <c r="AM83" i="5"/>
  <c r="W52" i="5"/>
  <c r="W58" i="5"/>
  <c r="W83" i="5"/>
  <c r="S80" i="5"/>
  <c r="AD44" i="5"/>
  <c r="AD80" i="5"/>
  <c r="N83" i="5"/>
  <c r="AS60" i="5"/>
  <c r="AS58" i="5"/>
  <c r="AS82" i="5"/>
  <c r="AV56" i="5"/>
  <c r="AV53" i="5"/>
  <c r="AJ44" i="5"/>
  <c r="AJ59" i="5"/>
  <c r="AJ83" i="5"/>
  <c r="AF44" i="5"/>
  <c r="AF83" i="5"/>
  <c r="S44" i="5"/>
  <c r="AR56" i="5"/>
  <c r="AR53" i="5"/>
  <c r="T56" i="5"/>
  <c r="T52" i="5"/>
  <c r="T51" i="5" s="1"/>
  <c r="T82" i="5"/>
  <c r="T95" i="12" s="1"/>
  <c r="AK52" i="5"/>
  <c r="AK59" i="5"/>
  <c r="AK82" i="5"/>
  <c r="AR59" i="5"/>
  <c r="AR80" i="5"/>
  <c r="T44" i="5"/>
  <c r="T83" i="5"/>
  <c r="AK44" i="5"/>
  <c r="AK56" i="5"/>
  <c r="AK83" i="5"/>
  <c r="AM81" i="5"/>
  <c r="Q4" i="5"/>
  <c r="AS81" i="5"/>
  <c r="W18" i="12"/>
  <c r="CP23" i="12"/>
  <c r="AJ20" i="13"/>
  <c r="AT80" i="6"/>
  <c r="CP67" i="12"/>
  <c r="CP43" i="12"/>
  <c r="N75" i="11"/>
  <c r="N93" i="11" s="1"/>
  <c r="Q75" i="11"/>
  <c r="Q93" i="11" s="1"/>
  <c r="R75" i="11"/>
  <c r="R93" i="11" s="1"/>
  <c r="M75" i="7"/>
  <c r="M92" i="7" s="1"/>
  <c r="N75" i="7"/>
  <c r="N92" i="7" s="1"/>
  <c r="AA4" i="11"/>
  <c r="N75" i="8"/>
  <c r="N93" i="8" s="1"/>
  <c r="S39" i="7"/>
  <c r="P4" i="7"/>
  <c r="CM47" i="6"/>
  <c r="P74" i="6"/>
  <c r="P92" i="6" s="1"/>
  <c r="N74" i="6"/>
  <c r="N92" i="6" s="1"/>
  <c r="CP44" i="12"/>
  <c r="AW39" i="11"/>
  <c r="AM39" i="11"/>
  <c r="AM4" i="11" s="1"/>
  <c r="AQ39" i="11"/>
  <c r="AQ45" i="11" s="1"/>
  <c r="AG39" i="11"/>
  <c r="AG4" i="11" s="1"/>
  <c r="AL39" i="11"/>
  <c r="AH39" i="11"/>
  <c r="AP39" i="11"/>
  <c r="AP45" i="11" s="1"/>
  <c r="AJ39" i="11"/>
  <c r="AT39" i="11"/>
  <c r="AT45" i="11" s="1"/>
  <c r="P75" i="11"/>
  <c r="P93" i="11" s="1"/>
  <c r="L75" i="11"/>
  <c r="L93" i="11" s="1"/>
  <c r="L75" i="8"/>
  <c r="L93" i="8" s="1"/>
  <c r="W48" i="11"/>
  <c r="AG48" i="11"/>
  <c r="AN50" i="11"/>
  <c r="AO50" i="11" s="1"/>
  <c r="AM48" i="11"/>
  <c r="Q8" i="11"/>
  <c r="V48" i="11"/>
  <c r="AD5" i="8"/>
  <c r="M75" i="8"/>
  <c r="M93" i="8" s="1"/>
  <c r="Y5" i="8"/>
  <c r="AA5" i="8"/>
  <c r="AB5" i="8"/>
  <c r="X50" i="8"/>
  <c r="W48" i="8"/>
  <c r="AH48" i="7"/>
  <c r="AI50" i="7"/>
  <c r="AI48" i="7" s="1"/>
  <c r="L75" i="7"/>
  <c r="V48" i="7"/>
  <c r="AM48" i="7"/>
  <c r="AN50" i="7"/>
  <c r="O92" i="7"/>
  <c r="V48" i="6"/>
  <c r="AN5" i="6"/>
  <c r="AH48" i="6"/>
  <c r="AI50" i="6"/>
  <c r="AI48" i="6" s="1"/>
  <c r="L92" i="6"/>
  <c r="AM48" i="6"/>
  <c r="AN50" i="6"/>
  <c r="CN50" i="5"/>
  <c r="CO91" i="5"/>
  <c r="CO90" i="5"/>
  <c r="CO89" i="5"/>
  <c r="CO50" i="5"/>
  <c r="CO46" i="5"/>
  <c r="CO49" i="5"/>
  <c r="CO48" i="5"/>
  <c r="CO37" i="5"/>
  <c r="CO38" i="5" s="1"/>
  <c r="CO35" i="5"/>
  <c r="CO39" i="5"/>
  <c r="CO54" i="5"/>
  <c r="CN48" i="5"/>
  <c r="CP115" i="1"/>
  <c r="CP76" i="1"/>
  <c r="CS3" i="11" l="1"/>
  <c r="CQ117" i="1"/>
  <c r="CQ114" i="1"/>
  <c r="P11" i="24"/>
  <c r="P12" i="24" s="1"/>
  <c r="CR38" i="8"/>
  <c r="CS5" i="8"/>
  <c r="CS59" i="8"/>
  <c r="CS4" i="8"/>
  <c r="CS7" i="8" s="1"/>
  <c r="CS8" i="8" s="1"/>
  <c r="CS90" i="8"/>
  <c r="CS53" i="8"/>
  <c r="CS52" i="8"/>
  <c r="CS46" i="8"/>
  <c r="CS91" i="8"/>
  <c r="CS37" i="8"/>
  <c r="CS38" i="8" s="1"/>
  <c r="CS58" i="8"/>
  <c r="CS82" i="8"/>
  <c r="CS39" i="8"/>
  <c r="CS83" i="8"/>
  <c r="CS55" i="8"/>
  <c r="CS60" i="8"/>
  <c r="CS56" i="8"/>
  <c r="CS49" i="8"/>
  <c r="CS54" i="8"/>
  <c r="CS51" i="8"/>
  <c r="CS80" i="8"/>
  <c r="CS57" i="8"/>
  <c r="CS16" i="8"/>
  <c r="CS44" i="8"/>
  <c r="CS10" i="8"/>
  <c r="CS35" i="8"/>
  <c r="CS36" i="8" s="1"/>
  <c r="CS45" i="8"/>
  <c r="CS89" i="8"/>
  <c r="CR7" i="8"/>
  <c r="CR8" i="8" s="1"/>
  <c r="CR36" i="6"/>
  <c r="CR8" i="6"/>
  <c r="CS4" i="6"/>
  <c r="CS51" i="6"/>
  <c r="CS37" i="6"/>
  <c r="CS38" i="6" s="1"/>
  <c r="CS46" i="6"/>
  <c r="CS57" i="6"/>
  <c r="CS58" i="6"/>
  <c r="CS89" i="6"/>
  <c r="CS81" i="6"/>
  <c r="CS10" i="6"/>
  <c r="CS49" i="6"/>
  <c r="CS90" i="6"/>
  <c r="CS55" i="6"/>
  <c r="CS52" i="6"/>
  <c r="CS45" i="6"/>
  <c r="CS44" i="6"/>
  <c r="CS35" i="6"/>
  <c r="CS36" i="6" s="1"/>
  <c r="CS39" i="6"/>
  <c r="CS16" i="6"/>
  <c r="CS82" i="6"/>
  <c r="CS5" i="6"/>
  <c r="CS7" i="6" s="1"/>
  <c r="CS59" i="6"/>
  <c r="CS88" i="6"/>
  <c r="CS53" i="6"/>
  <c r="CS79" i="6"/>
  <c r="CS56" i="6"/>
  <c r="CS54" i="6"/>
  <c r="CK80" i="11"/>
  <c r="CK83" i="11" s="1"/>
  <c r="CK12" i="11" s="1"/>
  <c r="CJ83" i="11"/>
  <c r="CJ12" i="11" s="1"/>
  <c r="CR38" i="6"/>
  <c r="CR38" i="7"/>
  <c r="CR36" i="7"/>
  <c r="CS57" i="7"/>
  <c r="CS45" i="7"/>
  <c r="CS16" i="7"/>
  <c r="CS56" i="7"/>
  <c r="CS37" i="7"/>
  <c r="CS38" i="7" s="1"/>
  <c r="CS4" i="7"/>
  <c r="CS5" i="7"/>
  <c r="CS49" i="7"/>
  <c r="CS88" i="7"/>
  <c r="CS59" i="7"/>
  <c r="CS10" i="7"/>
  <c r="CS46" i="7"/>
  <c r="CS39" i="7"/>
  <c r="CS55" i="7"/>
  <c r="CS60" i="7"/>
  <c r="CS52" i="7"/>
  <c r="CS81" i="7"/>
  <c r="CS58" i="7"/>
  <c r="CS53" i="7"/>
  <c r="CS54" i="7"/>
  <c r="CS51" i="7"/>
  <c r="CS35" i="7"/>
  <c r="CS36" i="7" s="1"/>
  <c r="CS90" i="7"/>
  <c r="CS82" i="7"/>
  <c r="CS44" i="7"/>
  <c r="CS89" i="7"/>
  <c r="CR36" i="8"/>
  <c r="CR7" i="7"/>
  <c r="CJ88" i="12"/>
  <c r="CI87" i="12"/>
  <c r="CK81" i="8"/>
  <c r="CK84" i="8" s="1"/>
  <c r="CK12" i="8" s="1"/>
  <c r="CJ84" i="8"/>
  <c r="CJ12" i="8" s="1"/>
  <c r="CS12" i="8" s="1"/>
  <c r="AD7" i="8"/>
  <c r="CK80" i="7"/>
  <c r="CK83" i="7" s="1"/>
  <c r="CK12" i="7" s="1"/>
  <c r="CJ83" i="7"/>
  <c r="CJ12" i="7" s="1"/>
  <c r="CS12" i="7" s="1"/>
  <c r="CK80" i="6"/>
  <c r="CK83" i="6" s="1"/>
  <c r="CK12" i="6" s="1"/>
  <c r="CJ83" i="6"/>
  <c r="CJ12" i="6" s="1"/>
  <c r="CS12" i="6" s="1"/>
  <c r="AF51" i="6"/>
  <c r="AE5" i="6"/>
  <c r="AE7" i="6" s="1"/>
  <c r="AD51" i="6"/>
  <c r="AR51" i="5"/>
  <c r="CK81" i="5"/>
  <c r="CK92" i="12" s="1"/>
  <c r="CJ84" i="5"/>
  <c r="CJ12" i="5" s="1"/>
  <c r="CE2" i="11"/>
  <c r="CE34" i="11"/>
  <c r="CE43" i="11" s="1"/>
  <c r="CE79" i="11" s="1"/>
  <c r="CE87" i="11" s="1"/>
  <c r="W95" i="12"/>
  <c r="T98" i="12"/>
  <c r="W51" i="11"/>
  <c r="AM51" i="8"/>
  <c r="W98" i="12"/>
  <c r="U98" i="12"/>
  <c r="W5" i="6"/>
  <c r="W7" i="6" s="1"/>
  <c r="T55" i="12"/>
  <c r="AF83" i="6"/>
  <c r="S95" i="12"/>
  <c r="CO58" i="5"/>
  <c r="P95" i="12"/>
  <c r="CM58" i="5"/>
  <c r="X98" i="12"/>
  <c r="U51" i="8"/>
  <c r="V59" i="12"/>
  <c r="U95" i="12"/>
  <c r="V95" i="12"/>
  <c r="V98" i="12"/>
  <c r="Q95" i="12"/>
  <c r="X51" i="6"/>
  <c r="AF55" i="6"/>
  <c r="Q55" i="12"/>
  <c r="Q98" i="12"/>
  <c r="X7" i="6"/>
  <c r="R98" i="12"/>
  <c r="N98" i="12"/>
  <c r="R55" i="12"/>
  <c r="T51" i="6"/>
  <c r="V5" i="6"/>
  <c r="V7" i="6" s="1"/>
  <c r="V8" i="6" s="1"/>
  <c r="AJ58" i="11"/>
  <c r="AJ59" i="11"/>
  <c r="AJ60" i="11"/>
  <c r="M98" i="12"/>
  <c r="AB44" i="7"/>
  <c r="AB55" i="12" s="1"/>
  <c r="CP58" i="5"/>
  <c r="CP57" i="5"/>
  <c r="CN58" i="5"/>
  <c r="AE83" i="6"/>
  <c r="AE12" i="6" s="1"/>
  <c r="AM92" i="12"/>
  <c r="CQ59" i="1"/>
  <c r="AB95" i="12"/>
  <c r="AE95" i="12"/>
  <c r="Z95" i="12"/>
  <c r="Y98" i="12"/>
  <c r="X95" i="12"/>
  <c r="AD98" i="12"/>
  <c r="AD95" i="12"/>
  <c r="AE98" i="12"/>
  <c r="L83" i="7"/>
  <c r="L12" i="7" s="1"/>
  <c r="L14" i="7" s="1"/>
  <c r="L18" i="7" s="1"/>
  <c r="L22" i="7" s="1"/>
  <c r="L24" i="7" s="1"/>
  <c r="AC98" i="12"/>
  <c r="AC95" i="12"/>
  <c r="AB98" i="12"/>
  <c r="AA98" i="12"/>
  <c r="AA95" i="12"/>
  <c r="Z98" i="12"/>
  <c r="Y95" i="12"/>
  <c r="X55" i="12"/>
  <c r="L10" i="8"/>
  <c r="L98" i="12"/>
  <c r="AJ84" i="8"/>
  <c r="AJ12" i="8" s="1"/>
  <c r="AJ54" i="8"/>
  <c r="AJ10" i="8" s="1"/>
  <c r="AI5" i="8"/>
  <c r="AI7" i="8" s="1"/>
  <c r="AI8" i="8" s="1"/>
  <c r="CQ167" i="12"/>
  <c r="CQ150" i="12"/>
  <c r="CQ131" i="12"/>
  <c r="CQ130" i="12"/>
  <c r="CQ155" i="12"/>
  <c r="CQ137" i="12"/>
  <c r="CQ147" i="12"/>
  <c r="CQ129" i="12"/>
  <c r="CQ136" i="12"/>
  <c r="CQ108" i="12"/>
  <c r="CQ105" i="12"/>
  <c r="CQ152" i="12"/>
  <c r="CQ139" i="12"/>
  <c r="CQ109" i="12"/>
  <c r="CQ140" i="12"/>
  <c r="CS104" i="12"/>
  <c r="CT104" i="12" s="1"/>
  <c r="CR125" i="12"/>
  <c r="CQ140" i="1"/>
  <c r="CQ138" i="1"/>
  <c r="CQ139" i="1"/>
  <c r="CQ141" i="1"/>
  <c r="AA55" i="5"/>
  <c r="AA51" i="5"/>
  <c r="CQ24" i="12"/>
  <c r="CQ166" i="12"/>
  <c r="CQ165" i="12"/>
  <c r="CQ164" i="12"/>
  <c r="AE10" i="13"/>
  <c r="AE51" i="5"/>
  <c r="U54" i="8"/>
  <c r="V51" i="6"/>
  <c r="S51" i="6"/>
  <c r="M10" i="11"/>
  <c r="T51" i="8"/>
  <c r="T11" i="8" s="1"/>
  <c r="AJ51" i="8"/>
  <c r="AD55" i="6"/>
  <c r="AD10" i="6" s="1"/>
  <c r="AC5" i="8"/>
  <c r="AC7" i="8" s="1"/>
  <c r="AC8" i="8" s="1"/>
  <c r="AK84" i="8"/>
  <c r="S5" i="6"/>
  <c r="S7" i="6" s="1"/>
  <c r="S8" i="6" s="1"/>
  <c r="W5" i="8"/>
  <c r="W7" i="8" s="1"/>
  <c r="W8" i="8" s="1"/>
  <c r="CM4" i="8"/>
  <c r="AD51" i="7"/>
  <c r="V51" i="11"/>
  <c r="M84" i="5"/>
  <c r="M12" i="5" s="1"/>
  <c r="AD51" i="8"/>
  <c r="AE55" i="6"/>
  <c r="AE10" i="6" s="1"/>
  <c r="AV44" i="7"/>
  <c r="AV5" i="7" s="1"/>
  <c r="AV7" i="7" s="1"/>
  <c r="AV8" i="7" s="1"/>
  <c r="M51" i="5"/>
  <c r="AL84" i="8"/>
  <c r="AL12" i="8" s="1"/>
  <c r="U51" i="6"/>
  <c r="AB51" i="8"/>
  <c r="U51" i="5"/>
  <c r="U5" i="8"/>
  <c r="U7" i="8" s="1"/>
  <c r="AA51" i="8"/>
  <c r="X5" i="5"/>
  <c r="X7" i="5" s="1"/>
  <c r="X8" i="5" s="1"/>
  <c r="AS51" i="6"/>
  <c r="AS51" i="7"/>
  <c r="AA7" i="5"/>
  <c r="AA8" i="5" s="1"/>
  <c r="L55" i="5"/>
  <c r="L65" i="12" s="1"/>
  <c r="S51" i="8"/>
  <c r="AO51" i="8"/>
  <c r="AS51" i="8"/>
  <c r="X7" i="11"/>
  <c r="X8" i="11" s="1"/>
  <c r="T83" i="6"/>
  <c r="AO51" i="5"/>
  <c r="T7" i="11"/>
  <c r="T8" i="11" s="1"/>
  <c r="M55" i="5"/>
  <c r="M65" i="12" s="1"/>
  <c r="W51" i="6"/>
  <c r="V51" i="8"/>
  <c r="V11" i="8" s="1"/>
  <c r="L51" i="5"/>
  <c r="S55" i="6"/>
  <c r="P84" i="8"/>
  <c r="P12" i="8" s="1"/>
  <c r="Y51" i="8"/>
  <c r="AL51" i="6"/>
  <c r="W44" i="7"/>
  <c r="W5" i="7" s="1"/>
  <c r="AU5" i="8"/>
  <c r="AU7" i="8" s="1"/>
  <c r="AU8" i="8" s="1"/>
  <c r="AD54" i="8"/>
  <c r="AW55" i="5"/>
  <c r="AR84" i="5"/>
  <c r="AR12" i="5" s="1"/>
  <c r="P10" i="11"/>
  <c r="P14" i="11" s="1"/>
  <c r="P18" i="11" s="1"/>
  <c r="P22" i="11" s="1"/>
  <c r="V5" i="8"/>
  <c r="V7" i="8" s="1"/>
  <c r="V8" i="8" s="1"/>
  <c r="AL51" i="5"/>
  <c r="AL11" i="5" s="1"/>
  <c r="AW51" i="5"/>
  <c r="AH5" i="5"/>
  <c r="AH7" i="5" s="1"/>
  <c r="AH8" i="5" s="1"/>
  <c r="AK83" i="7"/>
  <c r="AK12" i="7" s="1"/>
  <c r="AL51" i="7"/>
  <c r="AN7" i="7"/>
  <c r="AK51" i="7"/>
  <c r="AK11" i="7" s="1"/>
  <c r="AT51" i="7"/>
  <c r="AW54" i="8"/>
  <c r="AK51" i="5"/>
  <c r="AK11" i="5" s="1"/>
  <c r="AT55" i="5"/>
  <c r="AW5" i="5"/>
  <c r="AW7" i="5" s="1"/>
  <c r="AW8" i="5" s="1"/>
  <c r="AR55" i="6"/>
  <c r="AR5" i="6"/>
  <c r="AR7" i="6" s="1"/>
  <c r="AR8" i="6" s="1"/>
  <c r="S83" i="6"/>
  <c r="S12" i="6" s="1"/>
  <c r="CM20" i="12"/>
  <c r="CM16" i="12"/>
  <c r="N5" i="5"/>
  <c r="N7" i="5" s="1"/>
  <c r="N8" i="5" s="1"/>
  <c r="M5" i="5"/>
  <c r="M7" i="5" s="1"/>
  <c r="M8" i="5" s="1"/>
  <c r="L5" i="5"/>
  <c r="L7" i="5" s="1"/>
  <c r="L8" i="5" s="1"/>
  <c r="N55" i="5"/>
  <c r="N65" i="12" s="1"/>
  <c r="N51" i="5"/>
  <c r="AI54" i="8"/>
  <c r="AJ5" i="8"/>
  <c r="AJ7" i="8" s="1"/>
  <c r="AJ8" i="8" s="1"/>
  <c r="Z51" i="6"/>
  <c r="N7" i="8"/>
  <c r="N8" i="8" s="1"/>
  <c r="Y5" i="5"/>
  <c r="Y7" i="5" s="1"/>
  <c r="Y8" i="5" s="1"/>
  <c r="Y7" i="11"/>
  <c r="Y8" i="11" s="1"/>
  <c r="AO54" i="8"/>
  <c r="AT44" i="7"/>
  <c r="AT5" i="7" s="1"/>
  <c r="AT7" i="7" s="1"/>
  <c r="AT8" i="7" s="1"/>
  <c r="AN7" i="6"/>
  <c r="AN8" i="6" s="1"/>
  <c r="AB51" i="6"/>
  <c r="AQ83" i="7"/>
  <c r="AQ12" i="7" s="1"/>
  <c r="AL83" i="6"/>
  <c r="AL12" i="6" s="1"/>
  <c r="AO51" i="7"/>
  <c r="AN51" i="8"/>
  <c r="AL51" i="8"/>
  <c r="Z7" i="11"/>
  <c r="Z8" i="11" s="1"/>
  <c r="AP44" i="7"/>
  <c r="T5" i="6"/>
  <c r="T7" i="6" s="1"/>
  <c r="T8" i="6" s="1"/>
  <c r="T55" i="6"/>
  <c r="T10" i="6" s="1"/>
  <c r="AW5" i="8"/>
  <c r="AW7" i="8" s="1"/>
  <c r="AW8" i="8" s="1"/>
  <c r="AR51" i="8"/>
  <c r="AB5" i="5"/>
  <c r="AB7" i="5" s="1"/>
  <c r="AB8" i="5" s="1"/>
  <c r="AL84" i="5"/>
  <c r="AL12" i="5" s="1"/>
  <c r="AE51" i="11"/>
  <c r="AF5" i="8"/>
  <c r="AF7" i="8" s="1"/>
  <c r="AF8" i="8" s="1"/>
  <c r="W51" i="7"/>
  <c r="AB7" i="8"/>
  <c r="AB8" i="8" s="1"/>
  <c r="Y7" i="8"/>
  <c r="Y8" i="8" s="1"/>
  <c r="P14" i="6"/>
  <c r="P18" i="6" s="1"/>
  <c r="P22" i="6" s="1"/>
  <c r="P24" i="6" s="1"/>
  <c r="V83" i="6"/>
  <c r="V12" i="6" s="1"/>
  <c r="AM83" i="7"/>
  <c r="AM12" i="7" s="1"/>
  <c r="AV5" i="8"/>
  <c r="AV7" i="8" s="1"/>
  <c r="AV8" i="8" s="1"/>
  <c r="AA51" i="11"/>
  <c r="V7" i="11"/>
  <c r="V8" i="11" s="1"/>
  <c r="AO5" i="8"/>
  <c r="AO7" i="8" s="1"/>
  <c r="AO8" i="8" s="1"/>
  <c r="AU5" i="5"/>
  <c r="AU7" i="5" s="1"/>
  <c r="AU8" i="5" s="1"/>
  <c r="AW81" i="11"/>
  <c r="AW95" i="12" s="1"/>
  <c r="AW45" i="11"/>
  <c r="AW44" i="11" s="1"/>
  <c r="AM5" i="5"/>
  <c r="AM7" i="5" s="1"/>
  <c r="AM8" i="5" s="1"/>
  <c r="AV55" i="11"/>
  <c r="AV45" i="11"/>
  <c r="AV44" i="11" s="1"/>
  <c r="AV5" i="11" s="1"/>
  <c r="AV7" i="11" s="1"/>
  <c r="AV8" i="11" s="1"/>
  <c r="AR5" i="8"/>
  <c r="AR7" i="8" s="1"/>
  <c r="AR8" i="8" s="1"/>
  <c r="AM51" i="6"/>
  <c r="AR51" i="6"/>
  <c r="AW51" i="8"/>
  <c r="Z51" i="11"/>
  <c r="AJ51" i="7"/>
  <c r="Q51" i="8"/>
  <c r="U51" i="11"/>
  <c r="U54" i="11"/>
  <c r="U10" i="11" s="1"/>
  <c r="AD54" i="11"/>
  <c r="AR52" i="11"/>
  <c r="AR45" i="11"/>
  <c r="AR44" i="11" s="1"/>
  <c r="AR5" i="11" s="1"/>
  <c r="AS82" i="11"/>
  <c r="AS98" i="12" s="1"/>
  <c r="AS45" i="11"/>
  <c r="AS44" i="11" s="1"/>
  <c r="W54" i="11"/>
  <c r="W10" i="11" s="1"/>
  <c r="V54" i="11"/>
  <c r="T51" i="11"/>
  <c r="AQ51" i="8"/>
  <c r="AV51" i="8"/>
  <c r="AE51" i="6"/>
  <c r="AE11" i="6" s="1"/>
  <c r="AP51" i="5"/>
  <c r="AP11" i="5" s="1"/>
  <c r="Z55" i="6"/>
  <c r="Y55" i="5"/>
  <c r="Y10" i="5" s="1"/>
  <c r="AB54" i="11"/>
  <c r="X54" i="11"/>
  <c r="X10" i="11" s="1"/>
  <c r="X55" i="6"/>
  <c r="X10" i="6" s="1"/>
  <c r="U7" i="11"/>
  <c r="U8" i="11" s="1"/>
  <c r="AC54" i="11"/>
  <c r="AC10" i="11" s="1"/>
  <c r="AC51" i="11"/>
  <c r="AC7" i="11"/>
  <c r="AC8" i="11" s="1"/>
  <c r="S51" i="11"/>
  <c r="S11" i="11" s="1"/>
  <c r="AA54" i="11"/>
  <c r="AA10" i="11" s="1"/>
  <c r="X51" i="11"/>
  <c r="Z54" i="11"/>
  <c r="Z10" i="11" s="1"/>
  <c r="AB7" i="11"/>
  <c r="AB8" i="11" s="1"/>
  <c r="AF59" i="11"/>
  <c r="AF81" i="11"/>
  <c r="AF95" i="12" s="1"/>
  <c r="AD51" i="11"/>
  <c r="AD7" i="11"/>
  <c r="AD8" i="11" s="1"/>
  <c r="AE54" i="11"/>
  <c r="AE10" i="11" s="1"/>
  <c r="CM56" i="8"/>
  <c r="AQ51" i="7"/>
  <c r="AW44" i="7"/>
  <c r="AE83" i="7"/>
  <c r="AE12" i="7" s="1"/>
  <c r="AM5" i="6"/>
  <c r="AG5" i="6"/>
  <c r="AG7" i="6" s="1"/>
  <c r="AG8" i="6" s="1"/>
  <c r="O84" i="5"/>
  <c r="O12" i="5" s="1"/>
  <c r="AT5" i="5"/>
  <c r="AT7" i="5" s="1"/>
  <c r="AT8" i="5" s="1"/>
  <c r="W51" i="5"/>
  <c r="AS5" i="5"/>
  <c r="AS7" i="5" s="1"/>
  <c r="AS8" i="5" s="1"/>
  <c r="P51" i="5"/>
  <c r="AU51" i="5"/>
  <c r="AP55" i="5"/>
  <c r="AV59" i="11"/>
  <c r="Y54" i="11"/>
  <c r="Y83" i="11"/>
  <c r="Y12" i="11" s="1"/>
  <c r="T83" i="11"/>
  <c r="T12" i="11" s="1"/>
  <c r="Z83" i="11"/>
  <c r="Z12" i="11" s="1"/>
  <c r="AE83" i="11"/>
  <c r="AE12" i="11" s="1"/>
  <c r="AB83" i="11"/>
  <c r="AB12" i="11" s="1"/>
  <c r="AF45" i="11"/>
  <c r="AF44" i="11" s="1"/>
  <c r="AF5" i="11" s="1"/>
  <c r="AF7" i="11" s="1"/>
  <c r="AF8" i="11" s="1"/>
  <c r="AV82" i="11"/>
  <c r="AV98" i="12" s="1"/>
  <c r="AF53" i="11"/>
  <c r="AV57" i="11"/>
  <c r="AV56" i="11"/>
  <c r="S54" i="11"/>
  <c r="V83" i="11"/>
  <c r="V12" i="11" s="1"/>
  <c r="X83" i="11"/>
  <c r="X12" i="11" s="1"/>
  <c r="AB51" i="11"/>
  <c r="AV60" i="11"/>
  <c r="T54" i="11"/>
  <c r="AV81" i="11"/>
  <c r="AV95" i="12" s="1"/>
  <c r="AV53" i="11"/>
  <c r="Y51" i="11"/>
  <c r="S83" i="11"/>
  <c r="S12" i="11" s="1"/>
  <c r="AA83" i="11"/>
  <c r="AA12" i="11" s="1"/>
  <c r="AC83" i="11"/>
  <c r="AC12" i="11" s="1"/>
  <c r="W83" i="11"/>
  <c r="W12" i="11" s="1"/>
  <c r="U83" i="11"/>
  <c r="U12" i="11" s="1"/>
  <c r="AD83" i="11"/>
  <c r="AD12" i="11" s="1"/>
  <c r="AU54" i="8"/>
  <c r="V54" i="8"/>
  <c r="CM82" i="8"/>
  <c r="R5" i="8"/>
  <c r="R7" i="8" s="1"/>
  <c r="R8" i="8" s="1"/>
  <c r="Q84" i="8"/>
  <c r="Q12" i="8" s="1"/>
  <c r="P44" i="8"/>
  <c r="CM45" i="8"/>
  <c r="CM53" i="8"/>
  <c r="T54" i="8"/>
  <c r="Q5" i="8"/>
  <c r="Q7" i="8" s="1"/>
  <c r="Q8" i="8" s="1"/>
  <c r="CM59" i="8"/>
  <c r="CM60" i="8"/>
  <c r="R54" i="8"/>
  <c r="Q54" i="8"/>
  <c r="P54" i="8"/>
  <c r="CM55" i="8"/>
  <c r="P51" i="8"/>
  <c r="CM52" i="8"/>
  <c r="R51" i="8"/>
  <c r="R12" i="8"/>
  <c r="CM56" i="7"/>
  <c r="CM46" i="7"/>
  <c r="AH54" i="7"/>
  <c r="Q51" i="7"/>
  <c r="R12" i="7"/>
  <c r="CM53" i="7"/>
  <c r="AN51" i="7"/>
  <c r="AE54" i="7"/>
  <c r="AE10" i="7" s="1"/>
  <c r="AH83" i="7"/>
  <c r="AH12" i="7" s="1"/>
  <c r="AE51" i="7"/>
  <c r="AH44" i="7"/>
  <c r="AK5" i="5"/>
  <c r="AK7" i="5" s="1"/>
  <c r="AK8" i="5" s="1"/>
  <c r="R55" i="5"/>
  <c r="AT51" i="5"/>
  <c r="V44" i="7"/>
  <c r="V5" i="7" s="1"/>
  <c r="V7" i="7" s="1"/>
  <c r="V8" i="7" s="1"/>
  <c r="AK44" i="7"/>
  <c r="AK5" i="7" s="1"/>
  <c r="AK7" i="7" s="1"/>
  <c r="AK8" i="7" s="1"/>
  <c r="AE44" i="7"/>
  <c r="AE5" i="7" s="1"/>
  <c r="AE7" i="7" s="1"/>
  <c r="AE8" i="7" s="1"/>
  <c r="AR54" i="7"/>
  <c r="AR10" i="7" s="1"/>
  <c r="P51" i="7"/>
  <c r="CM52" i="7"/>
  <c r="P54" i="7"/>
  <c r="CM55" i="7"/>
  <c r="AS44" i="7"/>
  <c r="AS55" i="12" s="1"/>
  <c r="CM81" i="7"/>
  <c r="Q54" i="7"/>
  <c r="R54" i="7"/>
  <c r="Z54" i="7"/>
  <c r="Z10" i="7" s="1"/>
  <c r="AG44" i="7"/>
  <c r="AG5" i="7" s="1"/>
  <c r="AG7" i="7" s="1"/>
  <c r="AG8" i="7" s="1"/>
  <c r="AH51" i="7"/>
  <c r="AH11" i="7" s="1"/>
  <c r="P44" i="7"/>
  <c r="CM45" i="7"/>
  <c r="P83" i="7"/>
  <c r="P12" i="7" s="1"/>
  <c r="Q83" i="7"/>
  <c r="Q12" i="7" s="1"/>
  <c r="R51" i="7"/>
  <c r="CM60" i="7"/>
  <c r="CM59" i="7"/>
  <c r="Q5" i="7"/>
  <c r="Q7" i="7" s="1"/>
  <c r="Q8" i="7" s="1"/>
  <c r="R5" i="7"/>
  <c r="R7" i="7" s="1"/>
  <c r="R8" i="7" s="1"/>
  <c r="M10" i="6"/>
  <c r="M14" i="6" s="1"/>
  <c r="M18" i="6" s="1"/>
  <c r="M22" i="6" s="1"/>
  <c r="AM83" i="6"/>
  <c r="AM12" i="6" s="1"/>
  <c r="AP5" i="5"/>
  <c r="AP7" i="5" s="1"/>
  <c r="AP8" i="5" s="1"/>
  <c r="U5" i="5"/>
  <c r="U7" i="5" s="1"/>
  <c r="U8" i="5" s="1"/>
  <c r="AO55" i="5"/>
  <c r="AG51" i="5"/>
  <c r="X55" i="5"/>
  <c r="X10" i="5" s="1"/>
  <c r="AP84" i="5"/>
  <c r="AP12" i="5" s="1"/>
  <c r="R84" i="5"/>
  <c r="R12" i="5" s="1"/>
  <c r="Q5" i="5"/>
  <c r="Q7" i="5" s="1"/>
  <c r="Q84" i="5"/>
  <c r="Q12" i="5" s="1"/>
  <c r="CM59" i="5"/>
  <c r="R5" i="5"/>
  <c r="R7" i="5" s="1"/>
  <c r="R8" i="5" s="1"/>
  <c r="P5" i="5"/>
  <c r="P7" i="5" s="1"/>
  <c r="P8" i="5" s="1"/>
  <c r="CM60" i="5"/>
  <c r="AO5" i="5"/>
  <c r="AO7" i="5" s="1"/>
  <c r="AO8" i="5" s="1"/>
  <c r="AS51" i="5"/>
  <c r="AS11" i="5" s="1"/>
  <c r="AQ5" i="5"/>
  <c r="AQ7" i="5" s="1"/>
  <c r="AQ8" i="5" s="1"/>
  <c r="AL5" i="5"/>
  <c r="AL7" i="5" s="1"/>
  <c r="AL8" i="5" s="1"/>
  <c r="CM82" i="5"/>
  <c r="O55" i="5"/>
  <c r="CM56" i="5"/>
  <c r="R51" i="5"/>
  <c r="P55" i="5"/>
  <c r="O51" i="5"/>
  <c r="O62" i="12" s="1"/>
  <c r="CM52" i="5"/>
  <c r="AE5" i="5"/>
  <c r="AE7" i="5" s="1"/>
  <c r="AE8" i="5" s="1"/>
  <c r="AC5" i="5"/>
  <c r="AC7" i="5" s="1"/>
  <c r="AC8" i="5" s="1"/>
  <c r="AQ55" i="5"/>
  <c r="AQ10" i="5" s="1"/>
  <c r="Q51" i="5"/>
  <c r="Q55" i="5"/>
  <c r="O44" i="5"/>
  <c r="O55" i="12" s="1"/>
  <c r="CM45" i="5"/>
  <c r="CM53" i="5"/>
  <c r="CQ19" i="1"/>
  <c r="CQ23" i="1"/>
  <c r="CQ22" i="1"/>
  <c r="CQ20" i="1"/>
  <c r="CQ21" i="1"/>
  <c r="AV52" i="11"/>
  <c r="AE51" i="8"/>
  <c r="AB54" i="8"/>
  <c r="AT51" i="8"/>
  <c r="AU51" i="8"/>
  <c r="Z51" i="8"/>
  <c r="CP53" i="8"/>
  <c r="CN59" i="8"/>
  <c r="AH5" i="8"/>
  <c r="AH7" i="8" s="1"/>
  <c r="AH8" i="8" s="1"/>
  <c r="AC51" i="8"/>
  <c r="AN54" i="8"/>
  <c r="AF54" i="7"/>
  <c r="AF10" i="7" s="1"/>
  <c r="AS54" i="7"/>
  <c r="AI44" i="7"/>
  <c r="AI5" i="7" s="1"/>
  <c r="AI7" i="7" s="1"/>
  <c r="AI8" i="7" s="1"/>
  <c r="O10" i="7"/>
  <c r="O14" i="7" s="1"/>
  <c r="O18" i="7" s="1"/>
  <c r="O22" i="7" s="1"/>
  <c r="O24" i="7" s="1"/>
  <c r="AF51" i="7"/>
  <c r="AF11" i="7" s="1"/>
  <c r="AJ83" i="7"/>
  <c r="AJ12" i="7" s="1"/>
  <c r="AS83" i="7"/>
  <c r="AS12" i="7" s="1"/>
  <c r="AB54" i="7"/>
  <c r="AB10" i="7" s="1"/>
  <c r="AW51" i="7"/>
  <c r="Z51" i="7"/>
  <c r="AL83" i="7"/>
  <c r="AL12" i="7" s="1"/>
  <c r="AO54" i="7"/>
  <c r="AI54" i="7"/>
  <c r="AI10" i="7" s="1"/>
  <c r="AL54" i="7"/>
  <c r="AL10" i="7" s="1"/>
  <c r="AU51" i="7"/>
  <c r="U83" i="6"/>
  <c r="U12" i="6" s="1"/>
  <c r="AL55" i="6"/>
  <c r="AL10" i="6" s="1"/>
  <c r="AR83" i="6"/>
  <c r="AR12" i="6" s="1"/>
  <c r="AM55" i="6"/>
  <c r="AM10" i="6" s="1"/>
  <c r="U55" i="6"/>
  <c r="U10" i="6" s="1"/>
  <c r="AN55" i="6"/>
  <c r="AN10" i="6" s="1"/>
  <c r="AT51" i="6"/>
  <c r="AI7" i="6"/>
  <c r="AI8" i="6" s="1"/>
  <c r="AB51" i="5"/>
  <c r="AQ84" i="5"/>
  <c r="AQ12" i="5" s="1"/>
  <c r="V5" i="5"/>
  <c r="V7" i="5" s="1"/>
  <c r="V8" i="5" s="1"/>
  <c r="AU55" i="5"/>
  <c r="AN5" i="5"/>
  <c r="AN7" i="5" s="1"/>
  <c r="AN8" i="5" s="1"/>
  <c r="AL55" i="5"/>
  <c r="AE55" i="5"/>
  <c r="AH55" i="5"/>
  <c r="AH10" i="5" s="1"/>
  <c r="AH51" i="5"/>
  <c r="AG5" i="5"/>
  <c r="AG7" i="5" s="1"/>
  <c r="AG8" i="5" s="1"/>
  <c r="AC51" i="5"/>
  <c r="AS53" i="11"/>
  <c r="AM54" i="8"/>
  <c r="Z5" i="8"/>
  <c r="Z7" i="8" s="1"/>
  <c r="Z8" i="8" s="1"/>
  <c r="AC54" i="8"/>
  <c r="CP52" i="8"/>
  <c r="CM83" i="8"/>
  <c r="CP83" i="8"/>
  <c r="AP51" i="8"/>
  <c r="CN83" i="8"/>
  <c r="CN45" i="8"/>
  <c r="AW54" i="7"/>
  <c r="AW10" i="7" s="1"/>
  <c r="CN52" i="6"/>
  <c r="AF51" i="5"/>
  <c r="AQ51" i="5"/>
  <c r="AQ11" i="5" s="1"/>
  <c r="AE84" i="5"/>
  <c r="AE12" i="5" s="1"/>
  <c r="AK55" i="5"/>
  <c r="AK10" i="5" s="1"/>
  <c r="AR55" i="5"/>
  <c r="AR47" i="5" s="1"/>
  <c r="AR75" i="5" s="1"/>
  <c r="AR93" i="5" s="1"/>
  <c r="V84" i="5"/>
  <c r="V12" i="5" s="1"/>
  <c r="CN60" i="5"/>
  <c r="T55" i="5"/>
  <c r="F20" i="13"/>
  <c r="E20" i="13"/>
  <c r="Z55" i="5"/>
  <c r="AS5" i="6"/>
  <c r="AS7" i="6" s="1"/>
  <c r="AS8" i="6" s="1"/>
  <c r="CN59" i="5"/>
  <c r="CN53" i="6"/>
  <c r="AJ51" i="5"/>
  <c r="AJ11" i="5" s="1"/>
  <c r="T7" i="7"/>
  <c r="T8" i="7" s="1"/>
  <c r="AJ54" i="7"/>
  <c r="V51" i="5"/>
  <c r="AB55" i="5"/>
  <c r="AB10" i="5" s="1"/>
  <c r="AH51" i="8"/>
  <c r="AT5" i="8"/>
  <c r="AT7" i="8" s="1"/>
  <c r="AT8" i="8" s="1"/>
  <c r="W54" i="8"/>
  <c r="AI51" i="8"/>
  <c r="AK5" i="8"/>
  <c r="AK7" i="8" s="1"/>
  <c r="AK8" i="8" s="1"/>
  <c r="AL54" i="8"/>
  <c r="AL5" i="8"/>
  <c r="AL7" i="8" s="1"/>
  <c r="AL8" i="8" s="1"/>
  <c r="W54" i="7"/>
  <c r="W10" i="7" s="1"/>
  <c r="CO4" i="5"/>
  <c r="Y55" i="6"/>
  <c r="Y10" i="6" s="1"/>
  <c r="T5" i="8"/>
  <c r="T7" i="8" s="1"/>
  <c r="T8" i="8" s="1"/>
  <c r="AV54" i="8"/>
  <c r="AN51" i="6"/>
  <c r="CN55" i="8"/>
  <c r="Z54" i="8"/>
  <c r="AK51" i="8"/>
  <c r="U5" i="6"/>
  <c r="U7" i="6" s="1"/>
  <c r="U8" i="6" s="1"/>
  <c r="AU51" i="6"/>
  <c r="AQ5" i="8"/>
  <c r="AQ7" i="8" s="1"/>
  <c r="AQ8" i="8" s="1"/>
  <c r="AQ54" i="8"/>
  <c r="Z84" i="8"/>
  <c r="Z12" i="8" s="1"/>
  <c r="CO56" i="8"/>
  <c r="CP59" i="8"/>
  <c r="AG51" i="8"/>
  <c r="X51" i="8"/>
  <c r="AK54" i="7"/>
  <c r="AK10" i="7" s="1"/>
  <c r="AF84" i="8"/>
  <c r="AF12" i="8" s="1"/>
  <c r="AE84" i="8"/>
  <c r="AE12" i="8" s="1"/>
  <c r="AS5" i="8"/>
  <c r="AS7" i="8" s="1"/>
  <c r="AS8" i="8" s="1"/>
  <c r="CN82" i="5"/>
  <c r="AF5" i="6"/>
  <c r="AF7" i="6" s="1"/>
  <c r="AF8" i="6" s="1"/>
  <c r="CN81" i="6"/>
  <c r="V12" i="7"/>
  <c r="CO82" i="8"/>
  <c r="Q10" i="6"/>
  <c r="Q14" i="6" s="1"/>
  <c r="Q18" i="6" s="1"/>
  <c r="Q22" i="6" s="1"/>
  <c r="CN58" i="6"/>
  <c r="AR54" i="8"/>
  <c r="AT54" i="8"/>
  <c r="CN56" i="6"/>
  <c r="AO55" i="6"/>
  <c r="AO10" i="6" s="1"/>
  <c r="S5" i="8"/>
  <c r="S7" i="8" s="1"/>
  <c r="M10" i="8"/>
  <c r="M14" i="8" s="1"/>
  <c r="M18" i="8" s="1"/>
  <c r="M22" i="8" s="1"/>
  <c r="M24" i="8" s="1"/>
  <c r="M26" i="8" s="1"/>
  <c r="M27" i="8" s="1"/>
  <c r="CO80" i="5"/>
  <c r="CM82" i="6"/>
  <c r="CO55" i="8"/>
  <c r="CQ66" i="12"/>
  <c r="CQ47" i="12"/>
  <c r="CQ46" i="12"/>
  <c r="AR81" i="11"/>
  <c r="AR95" i="12" s="1"/>
  <c r="AO52" i="11"/>
  <c r="AF60" i="11"/>
  <c r="AF55" i="11"/>
  <c r="AF52" i="11"/>
  <c r="AF82" i="11"/>
  <c r="AF98" i="12" s="1"/>
  <c r="AF56" i="11"/>
  <c r="AN5" i="8"/>
  <c r="AN7" i="8" s="1"/>
  <c r="AN8" i="8" s="1"/>
  <c r="CN44" i="8"/>
  <c r="V12" i="8"/>
  <c r="AM84" i="8"/>
  <c r="AM12" i="8" s="1"/>
  <c r="S12" i="8"/>
  <c r="CO83" i="8"/>
  <c r="AA54" i="8"/>
  <c r="AK54" i="8"/>
  <c r="CP56" i="8"/>
  <c r="CN57" i="8"/>
  <c r="AH54" i="8"/>
  <c r="Y54" i="8"/>
  <c r="CN53" i="8"/>
  <c r="CN56" i="8"/>
  <c r="W51" i="8"/>
  <c r="L84" i="8"/>
  <c r="AH84" i="8"/>
  <c r="AH12" i="8" s="1"/>
  <c r="T12" i="8"/>
  <c r="CN52" i="8"/>
  <c r="S54" i="8"/>
  <c r="S10" i="8" s="1"/>
  <c r="W12" i="8"/>
  <c r="CO60" i="8"/>
  <c r="X54" i="8"/>
  <c r="CO4" i="8"/>
  <c r="AG84" i="8"/>
  <c r="AG12" i="8" s="1"/>
  <c r="CN80" i="8"/>
  <c r="AA51" i="7"/>
  <c r="X51" i="7"/>
  <c r="X54" i="7"/>
  <c r="X10" i="7" s="1"/>
  <c r="AG54" i="7"/>
  <c r="AG10" i="7" s="1"/>
  <c r="Z44" i="7"/>
  <c r="Z5" i="7" s="1"/>
  <c r="Z7" i="7" s="1"/>
  <c r="Z8" i="7" s="1"/>
  <c r="AI51" i="7"/>
  <c r="AD44" i="7"/>
  <c r="AD55" i="12" s="1"/>
  <c r="AC51" i="7"/>
  <c r="CO60" i="7"/>
  <c r="AM54" i="7"/>
  <c r="AM10" i="7" s="1"/>
  <c r="T51" i="7"/>
  <c r="AF83" i="7"/>
  <c r="AF12" i="7" s="1"/>
  <c r="AR44" i="7"/>
  <c r="AR5" i="7" s="1"/>
  <c r="AR7" i="7" s="1"/>
  <c r="AR8" i="7" s="1"/>
  <c r="AA54" i="7"/>
  <c r="AA10" i="7" s="1"/>
  <c r="AK51" i="6"/>
  <c r="AG55" i="6"/>
  <c r="AG10" i="6" s="1"/>
  <c r="AW5" i="6"/>
  <c r="AW7" i="6" s="1"/>
  <c r="AW8" i="6" s="1"/>
  <c r="AO5" i="6"/>
  <c r="AO7" i="6" s="1"/>
  <c r="AO8" i="6" s="1"/>
  <c r="CN45" i="6"/>
  <c r="V55" i="6"/>
  <c r="Y51" i="6"/>
  <c r="Z5" i="6"/>
  <c r="Z7" i="6" s="1"/>
  <c r="Z8" i="6" s="1"/>
  <c r="L10" i="6"/>
  <c r="AV55" i="6"/>
  <c r="AQ55" i="6"/>
  <c r="AQ10" i="6" s="1"/>
  <c r="AG83" i="6"/>
  <c r="AG12" i="6" s="1"/>
  <c r="CM4" i="6"/>
  <c r="CM7" i="6" s="1"/>
  <c r="L83" i="6"/>
  <c r="L12" i="6" s="1"/>
  <c r="CM12" i="6" s="1"/>
  <c r="CN57" i="6"/>
  <c r="CN59" i="6"/>
  <c r="AN51" i="5"/>
  <c r="V55" i="5"/>
  <c r="S55" i="5"/>
  <c r="AG55" i="5"/>
  <c r="AG10" i="5" s="1"/>
  <c r="CO59" i="5"/>
  <c r="AC55" i="5"/>
  <c r="AC10" i="5" s="1"/>
  <c r="U55" i="5"/>
  <c r="AV51" i="5"/>
  <c r="CM4" i="5"/>
  <c r="L84" i="5"/>
  <c r="L12" i="5" s="1"/>
  <c r="AD51" i="5"/>
  <c r="AI55" i="5"/>
  <c r="AI10" i="5" s="1"/>
  <c r="CQ45" i="1"/>
  <c r="CQ95" i="1"/>
  <c r="CQ94" i="1"/>
  <c r="BI5" i="13"/>
  <c r="BI6" i="13" s="1"/>
  <c r="BA8" i="12"/>
  <c r="BA9" i="12" s="1"/>
  <c r="CQ115" i="1"/>
  <c r="CQ84" i="1"/>
  <c r="CQ116" i="1"/>
  <c r="CQ92" i="1"/>
  <c r="CQ80" i="1"/>
  <c r="CQ83" i="1"/>
  <c r="CQ93" i="1"/>
  <c r="AJ12" i="14"/>
  <c r="AX20" i="13" s="1"/>
  <c r="G20" i="13" s="1"/>
  <c r="CL13" i="14"/>
  <c r="CL12" i="14" s="1"/>
  <c r="CQ107" i="12"/>
  <c r="CI13" i="14"/>
  <c r="CI12" i="14" s="1"/>
  <c r="CK13" i="14"/>
  <c r="CK12" i="14" s="1"/>
  <c r="AD25" i="13"/>
  <c r="T20" i="13"/>
  <c r="D20" i="13" s="1"/>
  <c r="CQ76" i="1"/>
  <c r="CR3" i="1"/>
  <c r="CN44" i="6"/>
  <c r="CP56" i="7"/>
  <c r="CP57" i="8"/>
  <c r="AJ51" i="6"/>
  <c r="AJ11" i="6" s="1"/>
  <c r="Y51" i="7"/>
  <c r="AL44" i="7"/>
  <c r="U84" i="5"/>
  <c r="U12" i="5" s="1"/>
  <c r="CP82" i="8"/>
  <c r="AJ44" i="7"/>
  <c r="CP44" i="8"/>
  <c r="AD7" i="6"/>
  <c r="AD8" i="6" s="1"/>
  <c r="AF55" i="5"/>
  <c r="AU7" i="6"/>
  <c r="AU8" i="6" s="1"/>
  <c r="AT54" i="7"/>
  <c r="AT10" i="7" s="1"/>
  <c r="AV51" i="7"/>
  <c r="AS55" i="6"/>
  <c r="AS10" i="6" s="1"/>
  <c r="CP4" i="8"/>
  <c r="AQ5" i="6"/>
  <c r="AQ7" i="6" s="1"/>
  <c r="AQ8" i="6" s="1"/>
  <c r="T12" i="7"/>
  <c r="AN55" i="5"/>
  <c r="CP45" i="8"/>
  <c r="AF44" i="7"/>
  <c r="CO60" i="5"/>
  <c r="W5" i="5"/>
  <c r="W7" i="5" s="1"/>
  <c r="W8" i="5" s="1"/>
  <c r="AV55" i="5"/>
  <c r="AV10" i="5" s="1"/>
  <c r="AF5" i="5"/>
  <c r="AF7" i="5" s="1"/>
  <c r="AF8" i="5" s="1"/>
  <c r="T5" i="5"/>
  <c r="T7" i="5" s="1"/>
  <c r="T8" i="5" s="1"/>
  <c r="CQ23" i="12"/>
  <c r="CO53" i="8"/>
  <c r="CP80" i="8"/>
  <c r="AV5" i="5"/>
  <c r="AV7" i="5" s="1"/>
  <c r="AV8" i="5" s="1"/>
  <c r="AS55" i="5"/>
  <c r="AM51" i="5"/>
  <c r="AM11" i="5" s="1"/>
  <c r="AU44" i="7"/>
  <c r="AU5" i="7" s="1"/>
  <c r="AU7" i="7" s="1"/>
  <c r="AU8" i="7" s="1"/>
  <c r="AQ51" i="6"/>
  <c r="AD5" i="5"/>
  <c r="AD7" i="5" s="1"/>
  <c r="AD8" i="5" s="1"/>
  <c r="AV7" i="6"/>
  <c r="AV8" i="6" s="1"/>
  <c r="CP82" i="7"/>
  <c r="CO52" i="8"/>
  <c r="AG5" i="8"/>
  <c r="AG7" i="8" s="1"/>
  <c r="AG8" i="8" s="1"/>
  <c r="CP60" i="8"/>
  <c r="Y7" i="6"/>
  <c r="Y8" i="6" s="1"/>
  <c r="AJ5" i="5"/>
  <c r="AJ7" i="5" s="1"/>
  <c r="AJ8" i="5" s="1"/>
  <c r="AI5" i="5"/>
  <c r="AI7" i="5" s="1"/>
  <c r="AI8" i="5" s="1"/>
  <c r="CO45" i="7"/>
  <c r="AB5" i="6"/>
  <c r="AB7" i="6" s="1"/>
  <c r="AB8" i="6" s="1"/>
  <c r="T84" i="5"/>
  <c r="T12" i="5" s="1"/>
  <c r="AQ44" i="7"/>
  <c r="AQ5" i="7" s="1"/>
  <c r="AQ7" i="7" s="1"/>
  <c r="AQ8" i="7" s="1"/>
  <c r="AM55" i="5"/>
  <c r="CN56" i="5"/>
  <c r="CO52" i="5"/>
  <c r="CN83" i="5"/>
  <c r="CN80" i="5"/>
  <c r="AR51" i="7"/>
  <c r="AP54" i="8"/>
  <c r="CN4" i="8"/>
  <c r="AS54" i="8"/>
  <c r="U51" i="7"/>
  <c r="U11" i="7" s="1"/>
  <c r="X7" i="7"/>
  <c r="X8" i="7" s="1"/>
  <c r="T54" i="7"/>
  <c r="AC54" i="7"/>
  <c r="AC10" i="7" s="1"/>
  <c r="AI51" i="5"/>
  <c r="CO56" i="5"/>
  <c r="CO53" i="6"/>
  <c r="AW51" i="6"/>
  <c r="AQ54" i="7"/>
  <c r="AQ10" i="7" s="1"/>
  <c r="AU54" i="7"/>
  <c r="AU10" i="7" s="1"/>
  <c r="V54" i="7"/>
  <c r="V10" i="7" s="1"/>
  <c r="AV54" i="7"/>
  <c r="AV10" i="7" s="1"/>
  <c r="V51" i="7"/>
  <c r="R8" i="11"/>
  <c r="R14" i="11"/>
  <c r="R18" i="11" s="1"/>
  <c r="R22" i="11" s="1"/>
  <c r="AS83" i="6"/>
  <c r="AS12" i="6" s="1"/>
  <c r="AE44" i="8"/>
  <c r="CO45" i="8"/>
  <c r="CO57" i="8"/>
  <c r="AE54" i="8"/>
  <c r="CO59" i="8"/>
  <c r="AF54" i="8"/>
  <c r="CN82" i="8"/>
  <c r="AU55" i="11"/>
  <c r="AU81" i="11"/>
  <c r="AU95" i="12" s="1"/>
  <c r="AU60" i="11"/>
  <c r="Z51" i="5"/>
  <c r="CN53" i="5"/>
  <c r="CN79" i="6"/>
  <c r="AF51" i="8"/>
  <c r="AG54" i="8"/>
  <c r="CO80" i="8"/>
  <c r="CO52" i="7"/>
  <c r="CO56" i="7"/>
  <c r="Y54" i="7"/>
  <c r="Y10" i="7" s="1"/>
  <c r="U54" i="7"/>
  <c r="CP55" i="8"/>
  <c r="AQ83" i="6"/>
  <c r="AQ12" i="6" s="1"/>
  <c r="Z5" i="5"/>
  <c r="Z7" i="5" s="1"/>
  <c r="Z8" i="5" s="1"/>
  <c r="W55" i="6"/>
  <c r="W10" i="6" s="1"/>
  <c r="X5" i="8"/>
  <c r="X7" i="8" s="1"/>
  <c r="X8" i="8" s="1"/>
  <c r="CN60" i="8"/>
  <c r="CO53" i="5"/>
  <c r="AP5" i="8"/>
  <c r="AP7" i="8" s="1"/>
  <c r="AP8" i="8" s="1"/>
  <c r="AU57" i="11"/>
  <c r="CO83" i="5"/>
  <c r="S51" i="5"/>
  <c r="CN52" i="5"/>
  <c r="AD55" i="5"/>
  <c r="AJ55" i="5"/>
  <c r="AP83" i="6"/>
  <c r="AK83" i="6"/>
  <c r="AK12" i="6" s="1"/>
  <c r="CO55" i="7"/>
  <c r="CP52" i="6"/>
  <c r="N84" i="5"/>
  <c r="CN45" i="5"/>
  <c r="CN44" i="5"/>
  <c r="S5" i="5"/>
  <c r="S7" i="5" s="1"/>
  <c r="S8" i="5" s="1"/>
  <c r="AL5" i="6"/>
  <c r="AL7" i="6" s="1"/>
  <c r="AL8" i="6" s="1"/>
  <c r="AR55" i="11"/>
  <c r="AJ83" i="6"/>
  <c r="N10" i="7"/>
  <c r="N83" i="7"/>
  <c r="CQ43" i="12"/>
  <c r="CQ106" i="12"/>
  <c r="CQ67" i="12"/>
  <c r="AG83" i="7"/>
  <c r="AG12" i="7" s="1"/>
  <c r="AK84" i="5"/>
  <c r="AK12" i="5" s="1"/>
  <c r="AR57" i="11"/>
  <c r="CO44" i="5"/>
  <c r="W55" i="5"/>
  <c r="W10" i="5" s="1"/>
  <c r="O14" i="6"/>
  <c r="O18" i="6" s="1"/>
  <c r="O22" i="6" s="1"/>
  <c r="O24" i="6" s="1"/>
  <c r="AR53" i="11"/>
  <c r="P84" i="5"/>
  <c r="P12" i="5" s="1"/>
  <c r="AH83" i="6"/>
  <c r="AH12" i="6" s="1"/>
  <c r="AT83" i="6"/>
  <c r="AT12" i="6" s="1"/>
  <c r="CP52" i="7"/>
  <c r="CR3" i="12"/>
  <c r="CQ110" i="12"/>
  <c r="AJ84" i="5"/>
  <c r="AJ12" i="5" s="1"/>
  <c r="AR83" i="7"/>
  <c r="AR12" i="7" s="1"/>
  <c r="CO82" i="5"/>
  <c r="CM83" i="5"/>
  <c r="CO45" i="5"/>
  <c r="AR5" i="5"/>
  <c r="AR7" i="5" s="1"/>
  <c r="AR8" i="5" s="1"/>
  <c r="S84" i="5"/>
  <c r="S12" i="5" s="1"/>
  <c r="AS84" i="5"/>
  <c r="AS12" i="5" s="1"/>
  <c r="AM84" i="5"/>
  <c r="AM12" i="5" s="1"/>
  <c r="CO57" i="7"/>
  <c r="CP81" i="7"/>
  <c r="AP83" i="7"/>
  <c r="AP12" i="7" s="1"/>
  <c r="CQ87" i="12"/>
  <c r="CQ73" i="12"/>
  <c r="CQ75" i="12"/>
  <c r="CQ79" i="12"/>
  <c r="CQ81" i="12"/>
  <c r="CQ69" i="12"/>
  <c r="CQ68" i="12"/>
  <c r="CQ70" i="12"/>
  <c r="CQ76" i="12"/>
  <c r="CQ80" i="12"/>
  <c r="CQ78" i="12"/>
  <c r="CQ71" i="12"/>
  <c r="R10" i="6"/>
  <c r="R83" i="6"/>
  <c r="R12" i="6" s="1"/>
  <c r="CN82" i="6"/>
  <c r="N83" i="11"/>
  <c r="N12" i="11" s="1"/>
  <c r="AR59" i="11"/>
  <c r="AR56" i="11"/>
  <c r="W7" i="11"/>
  <c r="W8" i="11" s="1"/>
  <c r="AR60" i="11"/>
  <c r="AR4" i="11"/>
  <c r="AR82" i="11"/>
  <c r="AR98" i="12" s="1"/>
  <c r="L10" i="11"/>
  <c r="L83" i="11"/>
  <c r="Q10" i="11"/>
  <c r="Q83" i="11"/>
  <c r="Q12" i="11" s="1"/>
  <c r="O24" i="8"/>
  <c r="O26" i="8" s="1"/>
  <c r="O27" i="8" s="1"/>
  <c r="CJ13" i="14"/>
  <c r="CJ12" i="14" s="1"/>
  <c r="AK59" i="11"/>
  <c r="AK56" i="11"/>
  <c r="AO82" i="11"/>
  <c r="AO98" i="12" s="1"/>
  <c r="AW55" i="11"/>
  <c r="AS4" i="11"/>
  <c r="AS56" i="11"/>
  <c r="AS81" i="11"/>
  <c r="AS95" i="12" s="1"/>
  <c r="AS59" i="11"/>
  <c r="AK81" i="11"/>
  <c r="AK95" i="12" s="1"/>
  <c r="AK53" i="11"/>
  <c r="AO53" i="11"/>
  <c r="AO45" i="11"/>
  <c r="AO44" i="11" s="1"/>
  <c r="AO5" i="11" s="1"/>
  <c r="AK4" i="11"/>
  <c r="AS52" i="11"/>
  <c r="AK55" i="11"/>
  <c r="AK82" i="11"/>
  <c r="AK98" i="12" s="1"/>
  <c r="AS60" i="11"/>
  <c r="AO55" i="11"/>
  <c r="AO60" i="11"/>
  <c r="N10" i="11"/>
  <c r="AS57" i="11"/>
  <c r="AS55" i="11"/>
  <c r="AK60" i="11"/>
  <c r="AK52" i="11"/>
  <c r="M14" i="11"/>
  <c r="M18" i="11" s="1"/>
  <c r="M22" i="11" s="1"/>
  <c r="AA7" i="11"/>
  <c r="AA8" i="11" s="1"/>
  <c r="AU82" i="11"/>
  <c r="AU98" i="12" s="1"/>
  <c r="AU56" i="11"/>
  <c r="AU44" i="11"/>
  <c r="AU5" i="11" s="1"/>
  <c r="AW53" i="11"/>
  <c r="AU4" i="11"/>
  <c r="AW56" i="11"/>
  <c r="AN81" i="11"/>
  <c r="AN95" i="12" s="1"/>
  <c r="AN82" i="11"/>
  <c r="AN98" i="12" s="1"/>
  <c r="AN60" i="11"/>
  <c r="AI53" i="11"/>
  <c r="AI55" i="11"/>
  <c r="AI82" i="11"/>
  <c r="AI98" i="12" s="1"/>
  <c r="AI81" i="11"/>
  <c r="AI95" i="12" s="1"/>
  <c r="AI45" i="11"/>
  <c r="AI44" i="11" s="1"/>
  <c r="AI5" i="11" s="1"/>
  <c r="AI59" i="11"/>
  <c r="AI56" i="11"/>
  <c r="AI60" i="11"/>
  <c r="AI52" i="11"/>
  <c r="AN80" i="11"/>
  <c r="AW4" i="11"/>
  <c r="AN59" i="11"/>
  <c r="AN53" i="11"/>
  <c r="AN52" i="11"/>
  <c r="AT80" i="11"/>
  <c r="AU52" i="11"/>
  <c r="AU59" i="11"/>
  <c r="AU53" i="11"/>
  <c r="AN56" i="11"/>
  <c r="AN55" i="11"/>
  <c r="AN45" i="11"/>
  <c r="AN44" i="11" s="1"/>
  <c r="AN5" i="11" s="1"/>
  <c r="AO4" i="11"/>
  <c r="AO59" i="11"/>
  <c r="AO81" i="11"/>
  <c r="AO95" i="12" s="1"/>
  <c r="AO56" i="11"/>
  <c r="CQ7" i="8"/>
  <c r="CQ8" i="8" s="1"/>
  <c r="AM7" i="8"/>
  <c r="AM8" i="8" s="1"/>
  <c r="U10" i="8"/>
  <c r="AI81" i="8"/>
  <c r="AI84" i="8" s="1"/>
  <c r="X84" i="8"/>
  <c r="AN81" i="8"/>
  <c r="AN84" i="8" s="1"/>
  <c r="U44" i="7"/>
  <c r="U5" i="7" s="1"/>
  <c r="U7" i="7" s="1"/>
  <c r="U8" i="7" s="1"/>
  <c r="AP54" i="7"/>
  <c r="AP10" i="7" s="1"/>
  <c r="AD54" i="7"/>
  <c r="AD10" i="7" s="1"/>
  <c r="W7" i="7"/>
  <c r="W8" i="7" s="1"/>
  <c r="Y44" i="7"/>
  <c r="Y5" i="7" s="1"/>
  <c r="AC44" i="7"/>
  <c r="AC5" i="7" s="1"/>
  <c r="AB51" i="7"/>
  <c r="CO82" i="7"/>
  <c r="CO59" i="7"/>
  <c r="CP53" i="7"/>
  <c r="AN54" i="7"/>
  <c r="CO53" i="7"/>
  <c r="AP51" i="7"/>
  <c r="AG51" i="7"/>
  <c r="AM51" i="7"/>
  <c r="CP60" i="7"/>
  <c r="CO81" i="7"/>
  <c r="CO46" i="7"/>
  <c r="AO7" i="7"/>
  <c r="AO8" i="7" s="1"/>
  <c r="CP4" i="7"/>
  <c r="CP57" i="7"/>
  <c r="CP45" i="7"/>
  <c r="CQ7" i="7"/>
  <c r="AM44" i="7"/>
  <c r="CP46" i="7"/>
  <c r="CP55" i="7"/>
  <c r="CP59" i="7"/>
  <c r="CM82" i="7"/>
  <c r="CO4" i="7"/>
  <c r="AN80" i="7"/>
  <c r="AN83" i="7" s="1"/>
  <c r="AL11" i="7"/>
  <c r="AI80" i="7"/>
  <c r="M7" i="7"/>
  <c r="M8" i="7" s="1"/>
  <c r="CM4" i="7"/>
  <c r="AA44" i="7"/>
  <c r="N8" i="7"/>
  <c r="AT80" i="7"/>
  <c r="AT83" i="7" s="1"/>
  <c r="CP4" i="6"/>
  <c r="AP5" i="6"/>
  <c r="AP7" i="6" s="1"/>
  <c r="AP8" i="6" s="1"/>
  <c r="CP56" i="6"/>
  <c r="AH51" i="6"/>
  <c r="CP57" i="6"/>
  <c r="CP82" i="6"/>
  <c r="CP53" i="6"/>
  <c r="AK55" i="6"/>
  <c r="CP58" i="6"/>
  <c r="CP59" i="6"/>
  <c r="AM7" i="6"/>
  <c r="AM8" i="6" s="1"/>
  <c r="AV51" i="6"/>
  <c r="CP79" i="6"/>
  <c r="AA55" i="6"/>
  <c r="CO58" i="6"/>
  <c r="AK5" i="6"/>
  <c r="AK7" i="6" s="1"/>
  <c r="AK8" i="6" s="1"/>
  <c r="AW55" i="6"/>
  <c r="AW10" i="6" s="1"/>
  <c r="AB55" i="6"/>
  <c r="AB10" i="6" s="1"/>
  <c r="AC5" i="6"/>
  <c r="AC7" i="6" s="1"/>
  <c r="AC8" i="6" s="1"/>
  <c r="AA51" i="6"/>
  <c r="CP45" i="6"/>
  <c r="CQ7" i="6"/>
  <c r="CP44" i="6"/>
  <c r="CP81" i="6"/>
  <c r="AU55" i="6"/>
  <c r="AU10" i="6" s="1"/>
  <c r="CO52" i="6"/>
  <c r="AJ5" i="6"/>
  <c r="AJ7" i="6" s="1"/>
  <c r="AJ8" i="6" s="1"/>
  <c r="AI55" i="6"/>
  <c r="CO57" i="6"/>
  <c r="AJ55" i="6"/>
  <c r="AH55" i="6"/>
  <c r="AH10" i="6" s="1"/>
  <c r="AP55" i="6"/>
  <c r="AI51" i="6"/>
  <c r="CO79" i="6"/>
  <c r="AA5" i="6"/>
  <c r="AA7" i="6" s="1"/>
  <c r="AA8" i="6" s="1"/>
  <c r="AT5" i="6"/>
  <c r="AT7" i="6" s="1"/>
  <c r="AT8" i="6" s="1"/>
  <c r="CO44" i="6"/>
  <c r="CO56" i="6"/>
  <c r="CN4" i="6"/>
  <c r="T47" i="6"/>
  <c r="T74" i="6" s="1"/>
  <c r="T92" i="6" s="1"/>
  <c r="CO45" i="6"/>
  <c r="T11" i="6"/>
  <c r="CO59" i="6"/>
  <c r="CO81" i="6"/>
  <c r="AT55" i="6"/>
  <c r="AT10" i="6" s="1"/>
  <c r="N14" i="6"/>
  <c r="N18" i="6" s="1"/>
  <c r="N22" i="6" s="1"/>
  <c r="N8" i="6"/>
  <c r="AH5" i="6"/>
  <c r="AH7" i="6" s="1"/>
  <c r="AH8" i="6" s="1"/>
  <c r="R8" i="6"/>
  <c r="AC55" i="6"/>
  <c r="AC10" i="6" s="1"/>
  <c r="CO82" i="6"/>
  <c r="CO4" i="6"/>
  <c r="AR10" i="6"/>
  <c r="L7" i="6"/>
  <c r="W83" i="6"/>
  <c r="AN80" i="6"/>
  <c r="AN83" i="6" s="1"/>
  <c r="Z10" i="6"/>
  <c r="AF10" i="6"/>
  <c r="AI80" i="6"/>
  <c r="AI83" i="6" s="1"/>
  <c r="AY11" i="5"/>
  <c r="AY14" i="5" s="1"/>
  <c r="AY18" i="5" s="1"/>
  <c r="AY22" i="5" s="1"/>
  <c r="AY24" i="5" s="1"/>
  <c r="AY47" i="5"/>
  <c r="AY75" i="5" s="1"/>
  <c r="AY93" i="5" s="1"/>
  <c r="AX14" i="5"/>
  <c r="AX18" i="5" s="1"/>
  <c r="AX22" i="5" s="1"/>
  <c r="AX24" i="5" s="1"/>
  <c r="CP35" i="5"/>
  <c r="CP36" i="5" s="1"/>
  <c r="CP37" i="5"/>
  <c r="CP38" i="5" s="1"/>
  <c r="CP45" i="5"/>
  <c r="CP53" i="5"/>
  <c r="CP60" i="5"/>
  <c r="CP80" i="5"/>
  <c r="CP89" i="5"/>
  <c r="CP39" i="5"/>
  <c r="CP46" i="5"/>
  <c r="CP56" i="5"/>
  <c r="CP82" i="5"/>
  <c r="CP91" i="5"/>
  <c r="CQ3" i="5"/>
  <c r="CR3" i="5" s="1"/>
  <c r="CP16" i="5"/>
  <c r="CP54" i="5"/>
  <c r="CP90" i="5"/>
  <c r="CP49" i="5"/>
  <c r="CP52" i="5"/>
  <c r="CP44" i="5"/>
  <c r="CP83" i="5"/>
  <c r="CP59" i="5"/>
  <c r="CP4" i="5"/>
  <c r="BA50" i="5"/>
  <c r="CP50" i="5" s="1"/>
  <c r="AZ48" i="5"/>
  <c r="AA10" i="5"/>
  <c r="AT81" i="5"/>
  <c r="AN81" i="5"/>
  <c r="AE11" i="5"/>
  <c r="CN4" i="5"/>
  <c r="X18" i="12"/>
  <c r="AF12" i="6"/>
  <c r="AU80" i="6"/>
  <c r="AU83" i="6" s="1"/>
  <c r="CM74" i="6"/>
  <c r="AW52" i="11"/>
  <c r="S4" i="7"/>
  <c r="CN4" i="7" s="1"/>
  <c r="CN46" i="7"/>
  <c r="CN56" i="7"/>
  <c r="S52" i="7"/>
  <c r="CN39" i="7"/>
  <c r="S55" i="7"/>
  <c r="S59" i="7"/>
  <c r="CN59" i="7" s="1"/>
  <c r="S60" i="7"/>
  <c r="CN60" i="7" s="1"/>
  <c r="S53" i="7"/>
  <c r="CN53" i="7" s="1"/>
  <c r="CN57" i="7"/>
  <c r="AW60" i="11"/>
  <c r="AW82" i="11"/>
  <c r="AW98" i="12" s="1"/>
  <c r="AW59" i="11"/>
  <c r="AW57" i="11"/>
  <c r="AM56" i="11"/>
  <c r="AM45" i="11"/>
  <c r="AM53" i="11"/>
  <c r="AM82" i="11"/>
  <c r="AM98" i="12" s="1"/>
  <c r="AM59" i="11"/>
  <c r="AM55" i="11"/>
  <c r="AM60" i="11"/>
  <c r="AM81" i="11"/>
  <c r="AM95" i="12" s="1"/>
  <c r="AM52" i="11"/>
  <c r="AQ4" i="11"/>
  <c r="AQ82" i="11"/>
  <c r="AQ98" i="12" s="1"/>
  <c r="AQ52" i="11"/>
  <c r="AQ53" i="11"/>
  <c r="AQ81" i="11"/>
  <c r="AQ95" i="12" s="1"/>
  <c r="AQ59" i="11"/>
  <c r="AQ60" i="11"/>
  <c r="AQ55" i="11"/>
  <c r="AQ57" i="11"/>
  <c r="AQ56" i="11"/>
  <c r="AQ44" i="11"/>
  <c r="AQ5" i="11" s="1"/>
  <c r="AG60" i="11"/>
  <c r="AG56" i="11"/>
  <c r="AG45" i="11"/>
  <c r="AG44" i="11" s="1"/>
  <c r="AG5" i="11" s="1"/>
  <c r="AG53" i="11"/>
  <c r="AG55" i="11"/>
  <c r="AG81" i="11"/>
  <c r="AG95" i="12" s="1"/>
  <c r="AG52" i="11"/>
  <c r="AG82" i="11"/>
  <c r="AG98" i="12" s="1"/>
  <c r="AG59" i="11"/>
  <c r="AJ4" i="11"/>
  <c r="AJ81" i="11"/>
  <c r="AJ95" i="12" s="1"/>
  <c r="AJ52" i="11"/>
  <c r="AJ53" i="11"/>
  <c r="AJ55" i="11"/>
  <c r="AJ82" i="11"/>
  <c r="AJ98" i="12" s="1"/>
  <c r="AJ45" i="11"/>
  <c r="AJ44" i="11" s="1"/>
  <c r="AJ5" i="11" s="1"/>
  <c r="AJ56" i="11"/>
  <c r="AT4" i="11"/>
  <c r="AT81" i="11"/>
  <c r="AT95" i="12" s="1"/>
  <c r="AT82" i="11"/>
  <c r="AT98" i="12" s="1"/>
  <c r="AT57" i="11"/>
  <c r="AT52" i="11"/>
  <c r="AT59" i="11"/>
  <c r="AT55" i="11"/>
  <c r="AT53" i="11"/>
  <c r="AT60" i="11"/>
  <c r="AT56" i="11"/>
  <c r="AT44" i="11"/>
  <c r="AT5" i="11" s="1"/>
  <c r="AP82" i="11"/>
  <c r="AP98" i="12" s="1"/>
  <c r="AP57" i="11"/>
  <c r="AP53" i="11"/>
  <c r="AP81" i="11"/>
  <c r="AP95" i="12" s="1"/>
  <c r="AP60" i="11"/>
  <c r="AP56" i="11"/>
  <c r="AP44" i="11"/>
  <c r="AP5" i="11" s="1"/>
  <c r="AP4" i="11"/>
  <c r="AP59" i="11"/>
  <c r="AP55" i="11"/>
  <c r="AP52" i="11"/>
  <c r="AH4" i="11"/>
  <c r="AH82" i="11"/>
  <c r="AH98" i="12" s="1"/>
  <c r="AH53" i="11"/>
  <c r="AH60" i="11"/>
  <c r="AH56" i="11"/>
  <c r="AH45" i="11"/>
  <c r="AH81" i="11"/>
  <c r="AH95" i="12" s="1"/>
  <c r="AH59" i="11"/>
  <c r="AH55" i="11"/>
  <c r="AH52" i="11"/>
  <c r="AL59" i="11"/>
  <c r="AL56" i="11"/>
  <c r="AL53" i="11"/>
  <c r="AL55" i="11"/>
  <c r="AL60" i="11"/>
  <c r="AL45" i="11"/>
  <c r="AL44" i="11" s="1"/>
  <c r="AL5" i="11" s="1"/>
  <c r="AL4" i="11"/>
  <c r="AL82" i="11"/>
  <c r="AL98" i="12" s="1"/>
  <c r="AL81" i="11"/>
  <c r="AL95" i="12" s="1"/>
  <c r="AL52" i="11"/>
  <c r="U11" i="6"/>
  <c r="AG11" i="6"/>
  <c r="AE8" i="11"/>
  <c r="O14" i="11"/>
  <c r="O18" i="11" s="1"/>
  <c r="O22" i="11" s="1"/>
  <c r="O24" i="11" s="1"/>
  <c r="O8" i="11"/>
  <c r="V11" i="11"/>
  <c r="AH48" i="11"/>
  <c r="W47" i="11"/>
  <c r="W11" i="11"/>
  <c r="S7" i="11"/>
  <c r="AN48" i="11"/>
  <c r="X48" i="11"/>
  <c r="U8" i="8"/>
  <c r="Y50" i="8"/>
  <c r="X48" i="8"/>
  <c r="AK12" i="8"/>
  <c r="U11" i="8"/>
  <c r="U47" i="8"/>
  <c r="AD8" i="8"/>
  <c r="U12" i="8"/>
  <c r="AA7" i="8"/>
  <c r="L92" i="7"/>
  <c r="AN8" i="7"/>
  <c r="AO50" i="7"/>
  <c r="AN48" i="7"/>
  <c r="X50" i="7"/>
  <c r="W48" i="7"/>
  <c r="T12" i="6"/>
  <c r="AE8" i="6"/>
  <c r="W8" i="6"/>
  <c r="AO50" i="6"/>
  <c r="AN48" i="6"/>
  <c r="S11" i="6"/>
  <c r="AM47" i="6"/>
  <c r="AM11" i="6"/>
  <c r="AL11" i="6"/>
  <c r="V11" i="6"/>
  <c r="X8" i="6"/>
  <c r="W48" i="6"/>
  <c r="AF47" i="6"/>
  <c r="AF11" i="6"/>
  <c r="S10" i="6"/>
  <c r="T11" i="5"/>
  <c r="AR11" i="5"/>
  <c r="CR114" i="1" l="1"/>
  <c r="CR117" i="1"/>
  <c r="CS80" i="6"/>
  <c r="CS81" i="8"/>
  <c r="CS83" i="7"/>
  <c r="CS84" i="8"/>
  <c r="CS7" i="7"/>
  <c r="CS80" i="7"/>
  <c r="CR8" i="7"/>
  <c r="CR49" i="5"/>
  <c r="CR91" i="5"/>
  <c r="CS3" i="5"/>
  <c r="CR81" i="5"/>
  <c r="CR46" i="5"/>
  <c r="CR54" i="5"/>
  <c r="CR89" i="5"/>
  <c r="CR16" i="5"/>
  <c r="CR37" i="5"/>
  <c r="CR57" i="5"/>
  <c r="CR90" i="5"/>
  <c r="CR35" i="5"/>
  <c r="CR82" i="5"/>
  <c r="CR39" i="5"/>
  <c r="CR56" i="5"/>
  <c r="CR53" i="5"/>
  <c r="CR4" i="5"/>
  <c r="CR45" i="5"/>
  <c r="CR80" i="5"/>
  <c r="CR59" i="5"/>
  <c r="CR58" i="5"/>
  <c r="CR60" i="5"/>
  <c r="CR52" i="5"/>
  <c r="CR83" i="5"/>
  <c r="CR51" i="5"/>
  <c r="CR44" i="5"/>
  <c r="CR55" i="5"/>
  <c r="CR84" i="5"/>
  <c r="CR5" i="5"/>
  <c r="CR7" i="5" s="1"/>
  <c r="CR8" i="5" s="1"/>
  <c r="CR10" i="5"/>
  <c r="AA47" i="5"/>
  <c r="AA75" i="5" s="1"/>
  <c r="CS83" i="6"/>
  <c r="CS8" i="6"/>
  <c r="CU104" i="12"/>
  <c r="CU125" i="12" s="1"/>
  <c r="CT125" i="12"/>
  <c r="CK88" i="12"/>
  <c r="CK87" i="12" s="1"/>
  <c r="CJ87" i="12"/>
  <c r="AB5" i="7"/>
  <c r="AB7" i="7" s="1"/>
  <c r="AB8" i="7" s="1"/>
  <c r="S47" i="6"/>
  <c r="CK84" i="5"/>
  <c r="CF34" i="11"/>
  <c r="CF43" i="11" s="1"/>
  <c r="CF79" i="11" s="1"/>
  <c r="CF87" i="11" s="1"/>
  <c r="CF2" i="11"/>
  <c r="CO95" i="12"/>
  <c r="T62" i="12"/>
  <c r="AJ47" i="7"/>
  <c r="CP95" i="12"/>
  <c r="W62" i="12"/>
  <c r="W55" i="12"/>
  <c r="Q62" i="12"/>
  <c r="W59" i="12"/>
  <c r="AE55" i="12"/>
  <c r="AF55" i="12"/>
  <c r="CQ95" i="12"/>
  <c r="AN92" i="12"/>
  <c r="AJ55" i="12"/>
  <c r="U10" i="5"/>
  <c r="U65" i="12"/>
  <c r="Q65" i="12"/>
  <c r="U11" i="5"/>
  <c r="U14" i="5" s="1"/>
  <c r="U18" i="5" s="1"/>
  <c r="U22" i="5" s="1"/>
  <c r="U62" i="12"/>
  <c r="AT84" i="5"/>
  <c r="V11" i="5"/>
  <c r="V62" i="12"/>
  <c r="AW55" i="12"/>
  <c r="AL55" i="12"/>
  <c r="AP55" i="12"/>
  <c r="V10" i="5"/>
  <c r="V65" i="12"/>
  <c r="V55" i="12"/>
  <c r="P62" i="12"/>
  <c r="L11" i="5"/>
  <c r="L62" i="12"/>
  <c r="P65" i="12"/>
  <c r="R62" i="12"/>
  <c r="N11" i="5"/>
  <c r="N62" i="12"/>
  <c r="AN55" i="12"/>
  <c r="M11" i="5"/>
  <c r="M62" i="12"/>
  <c r="CR59" i="1"/>
  <c r="CR60" i="1" s="1"/>
  <c r="Z65" i="12"/>
  <c r="Q47" i="7"/>
  <c r="Q75" i="7" s="1"/>
  <c r="Q92" i="7" s="1"/>
  <c r="R65" i="12"/>
  <c r="U55" i="12"/>
  <c r="CQ58" i="5"/>
  <c r="CQ57" i="5"/>
  <c r="Z62" i="12"/>
  <c r="O10" i="5"/>
  <c r="O65" i="12"/>
  <c r="AO55" i="12"/>
  <c r="T65" i="12"/>
  <c r="AC62" i="12"/>
  <c r="AE62" i="12"/>
  <c r="AC65" i="12"/>
  <c r="AK55" i="12"/>
  <c r="AU55" i="12"/>
  <c r="AE65" i="12"/>
  <c r="AI55" i="12"/>
  <c r="AV55" i="12"/>
  <c r="AG55" i="12"/>
  <c r="AD65" i="12"/>
  <c r="AD62" i="12"/>
  <c r="AT55" i="12"/>
  <c r="P55" i="12"/>
  <c r="CO55" i="12" s="1"/>
  <c r="AQ55" i="12"/>
  <c r="AC55" i="12"/>
  <c r="AW5" i="7"/>
  <c r="AW7" i="7" s="1"/>
  <c r="AW8" i="7" s="1"/>
  <c r="AR55" i="12"/>
  <c r="AB62" i="12"/>
  <c r="AA65" i="12"/>
  <c r="AA5" i="7"/>
  <c r="AA55" i="12"/>
  <c r="AA62" i="12"/>
  <c r="Z55" i="12"/>
  <c r="Y62" i="12"/>
  <c r="Y55" i="12"/>
  <c r="X62" i="12"/>
  <c r="S11" i="8"/>
  <c r="S14" i="8" s="1"/>
  <c r="S18" i="8" s="1"/>
  <c r="S22" i="8" s="1"/>
  <c r="S24" i="8" s="1"/>
  <c r="AN10" i="8"/>
  <c r="AM10" i="8"/>
  <c r="AO10" i="8"/>
  <c r="AG10" i="8"/>
  <c r="AS10" i="8"/>
  <c r="AT10" i="8"/>
  <c r="AW10" i="8"/>
  <c r="AF10" i="8"/>
  <c r="AR10" i="8"/>
  <c r="AI10" i="8"/>
  <c r="AH10" i="8"/>
  <c r="AV10" i="8"/>
  <c r="AU10" i="8"/>
  <c r="AK10" i="8"/>
  <c r="W10" i="8"/>
  <c r="W65" i="12"/>
  <c r="AB10" i="8"/>
  <c r="AB65" i="12"/>
  <c r="Y10" i="8"/>
  <c r="Y65" i="12"/>
  <c r="X10" i="8"/>
  <c r="X65" i="12"/>
  <c r="CR167" i="12"/>
  <c r="CR105" i="12"/>
  <c r="CR147" i="12"/>
  <c r="CR130" i="12"/>
  <c r="CR139" i="12"/>
  <c r="CR131" i="12"/>
  <c r="CR140" i="12"/>
  <c r="CR109" i="12"/>
  <c r="CR129" i="12"/>
  <c r="CR150" i="12"/>
  <c r="CR155" i="12"/>
  <c r="CR108" i="12"/>
  <c r="CR152" i="12"/>
  <c r="CR136" i="12"/>
  <c r="CR137" i="12"/>
  <c r="CS125" i="12"/>
  <c r="CR139" i="1"/>
  <c r="CR138" i="1"/>
  <c r="CR140" i="1"/>
  <c r="CR141" i="1"/>
  <c r="N10" i="5"/>
  <c r="AO47" i="5"/>
  <c r="AO75" i="5" s="1"/>
  <c r="AO93" i="5" s="1"/>
  <c r="AW47" i="5"/>
  <c r="AW75" i="5" s="1"/>
  <c r="AW93" i="5" s="1"/>
  <c r="CR24" i="12"/>
  <c r="CR165" i="12"/>
  <c r="CR164" i="12"/>
  <c r="CR166" i="12"/>
  <c r="CM26" i="12"/>
  <c r="CM30" i="12" s="1"/>
  <c r="CM31" i="12" s="1"/>
  <c r="W11" i="8"/>
  <c r="N14" i="8"/>
  <c r="N18" i="8" s="1"/>
  <c r="N22" i="8" s="1"/>
  <c r="N24" i="8" s="1"/>
  <c r="AD10" i="11"/>
  <c r="AW10" i="5"/>
  <c r="L47" i="5"/>
  <c r="L75" i="5" s="1"/>
  <c r="L93" i="5" s="1"/>
  <c r="L10" i="5"/>
  <c r="U47" i="11"/>
  <c r="U75" i="11" s="1"/>
  <c r="U93" i="11" s="1"/>
  <c r="AP10" i="5"/>
  <c r="AP14" i="5" s="1"/>
  <c r="AP18" i="5" s="1"/>
  <c r="AP22" i="5" s="1"/>
  <c r="AD10" i="8"/>
  <c r="AS47" i="5"/>
  <c r="Y47" i="5"/>
  <c r="Y75" i="5" s="1"/>
  <c r="Y93" i="5" s="1"/>
  <c r="M10" i="5"/>
  <c r="P26" i="6"/>
  <c r="P27" i="6" s="1"/>
  <c r="Z10" i="5"/>
  <c r="V10" i="11"/>
  <c r="V14" i="11" s="1"/>
  <c r="V18" i="11" s="1"/>
  <c r="V22" i="11" s="1"/>
  <c r="M47" i="5"/>
  <c r="M75" i="5" s="1"/>
  <c r="M93" i="5" s="1"/>
  <c r="V47" i="5"/>
  <c r="AE47" i="6"/>
  <c r="AE74" i="6" s="1"/>
  <c r="AE92" i="6" s="1"/>
  <c r="AB47" i="5"/>
  <c r="AB75" i="5" s="1"/>
  <c r="AB93" i="5" s="1"/>
  <c r="AS5" i="7"/>
  <c r="AS7" i="7" s="1"/>
  <c r="AS8" i="7" s="1"/>
  <c r="AT47" i="5"/>
  <c r="AT75" i="5" s="1"/>
  <c r="AT93" i="5" s="1"/>
  <c r="AL47" i="5"/>
  <c r="AL75" i="5" s="1"/>
  <c r="AL93" i="5" s="1"/>
  <c r="AL10" i="5"/>
  <c r="AL14" i="5" s="1"/>
  <c r="AL18" i="5" s="1"/>
  <c r="AL22" i="5" s="1"/>
  <c r="AT10" i="5"/>
  <c r="AE10" i="5"/>
  <c r="AE14" i="5" s="1"/>
  <c r="AE18" i="5" s="1"/>
  <c r="AE22" i="5" s="1"/>
  <c r="AE47" i="5"/>
  <c r="AE75" i="5" s="1"/>
  <c r="AE93" i="5" s="1"/>
  <c r="AI47" i="7"/>
  <c r="AI75" i="7" s="1"/>
  <c r="AI92" i="7" s="1"/>
  <c r="AS83" i="11"/>
  <c r="AS12" i="11" s="1"/>
  <c r="AR51" i="11"/>
  <c r="AR62" i="12" s="1"/>
  <c r="AU47" i="5"/>
  <c r="AU75" i="5" s="1"/>
  <c r="AU93" i="5" s="1"/>
  <c r="AV10" i="6"/>
  <c r="N47" i="5"/>
  <c r="N75" i="5" s="1"/>
  <c r="N93" i="5" s="1"/>
  <c r="Q11" i="7"/>
  <c r="AE11" i="11"/>
  <c r="AE14" i="11" s="1"/>
  <c r="AE18" i="11" s="1"/>
  <c r="AE22" i="11" s="1"/>
  <c r="AE24" i="11" s="1"/>
  <c r="M24" i="6"/>
  <c r="M26" i="6" s="1"/>
  <c r="M27" i="6" s="1"/>
  <c r="AP5" i="7"/>
  <c r="AP7" i="7" s="1"/>
  <c r="AP8" i="7" s="1"/>
  <c r="AH5" i="7"/>
  <c r="AH7" i="7" s="1"/>
  <c r="AH8" i="7" s="1"/>
  <c r="V47" i="11"/>
  <c r="V75" i="11" s="1"/>
  <c r="V93" i="11" s="1"/>
  <c r="Q24" i="6"/>
  <c r="Q26" i="6" s="1"/>
  <c r="Q27" i="6" s="1"/>
  <c r="R24" i="11"/>
  <c r="R26" i="11" s="1"/>
  <c r="R27" i="11" s="1"/>
  <c r="T10" i="7"/>
  <c r="AL10" i="8"/>
  <c r="N24" i="6"/>
  <c r="N26" i="6" s="1"/>
  <c r="N27" i="6" s="1"/>
  <c r="P24" i="11"/>
  <c r="P26" i="11" s="1"/>
  <c r="P27" i="11" s="1"/>
  <c r="U11" i="11"/>
  <c r="U14" i="11" s="1"/>
  <c r="U18" i="11" s="1"/>
  <c r="U22" i="11" s="1"/>
  <c r="M24" i="11"/>
  <c r="M26" i="11" s="1"/>
  <c r="M27" i="11" s="1"/>
  <c r="AH47" i="7"/>
  <c r="AH75" i="7" s="1"/>
  <c r="AH92" i="7" s="1"/>
  <c r="Q11" i="8"/>
  <c r="AF83" i="11"/>
  <c r="AF12" i="11" s="1"/>
  <c r="T47" i="8"/>
  <c r="T75" i="8" s="1"/>
  <c r="T93" i="8" s="1"/>
  <c r="AJ11" i="7"/>
  <c r="T10" i="8"/>
  <c r="T14" i="8" s="1"/>
  <c r="T18" i="8" s="1"/>
  <c r="T22" i="8" s="1"/>
  <c r="T24" i="8" s="1"/>
  <c r="AK47" i="5"/>
  <c r="AK75" i="5" s="1"/>
  <c r="AK93" i="5" s="1"/>
  <c r="X47" i="5"/>
  <c r="X75" i="5" s="1"/>
  <c r="X93" i="5" s="1"/>
  <c r="AE47" i="11"/>
  <c r="AE75" i="11" s="1"/>
  <c r="AE93" i="11" s="1"/>
  <c r="T11" i="11"/>
  <c r="AH10" i="7"/>
  <c r="P11" i="5"/>
  <c r="Q47" i="8"/>
  <c r="Q75" i="8" s="1"/>
  <c r="Q93" i="8" s="1"/>
  <c r="AS51" i="11"/>
  <c r="AS62" i="12" s="1"/>
  <c r="AP10" i="8"/>
  <c r="V10" i="8"/>
  <c r="V14" i="8" s="1"/>
  <c r="V18" i="8" s="1"/>
  <c r="V22" i="8" s="1"/>
  <c r="V24" i="8" s="1"/>
  <c r="V47" i="8"/>
  <c r="V75" i="8" s="1"/>
  <c r="V93" i="8" s="1"/>
  <c r="T10" i="11"/>
  <c r="T14" i="11" s="1"/>
  <c r="T18" i="11" s="1"/>
  <c r="T22" i="11" s="1"/>
  <c r="AA10" i="8"/>
  <c r="AB10" i="11"/>
  <c r="AL47" i="6"/>
  <c r="AL74" i="6" s="1"/>
  <c r="AL92" i="6" s="1"/>
  <c r="S47" i="11"/>
  <c r="S75" i="11" s="1"/>
  <c r="CP51" i="8"/>
  <c r="Y10" i="11"/>
  <c r="CN54" i="8"/>
  <c r="Z10" i="8"/>
  <c r="AC10" i="8"/>
  <c r="S47" i="8"/>
  <c r="S75" i="8" s="1"/>
  <c r="W47" i="8"/>
  <c r="W75" i="8" s="1"/>
  <c r="W93" i="8" s="1"/>
  <c r="AO10" i="7"/>
  <c r="U47" i="6"/>
  <c r="U74" i="6" s="1"/>
  <c r="U92" i="6" s="1"/>
  <c r="P10" i="5"/>
  <c r="P47" i="5"/>
  <c r="P75" i="5" s="1"/>
  <c r="P93" i="5" s="1"/>
  <c r="R10" i="5"/>
  <c r="U10" i="7"/>
  <c r="U14" i="7" s="1"/>
  <c r="U18" i="7" s="1"/>
  <c r="U22" i="7" s="1"/>
  <c r="U24" i="7" s="1"/>
  <c r="AR83" i="11"/>
  <c r="AR12" i="11" s="1"/>
  <c r="AK47" i="7"/>
  <c r="AK75" i="7" s="1"/>
  <c r="AK92" i="7" s="1"/>
  <c r="AP47" i="5"/>
  <c r="AP75" i="5" s="1"/>
  <c r="AP93" i="5" s="1"/>
  <c r="AC47" i="5"/>
  <c r="AC75" i="5" s="1"/>
  <c r="AC93" i="5" s="1"/>
  <c r="T47" i="5"/>
  <c r="T75" i="5" s="1"/>
  <c r="T93" i="5" s="1"/>
  <c r="T10" i="5"/>
  <c r="T14" i="5" s="1"/>
  <c r="T18" i="5" s="1"/>
  <c r="T22" i="5" s="1"/>
  <c r="T24" i="5" s="1"/>
  <c r="AV51" i="11"/>
  <c r="AV62" i="12" s="1"/>
  <c r="AV54" i="11"/>
  <c r="AV65" i="12" s="1"/>
  <c r="T47" i="11"/>
  <c r="T75" i="11" s="1"/>
  <c r="T93" i="11" s="1"/>
  <c r="AF51" i="11"/>
  <c r="AF11" i="11" s="1"/>
  <c r="S10" i="11"/>
  <c r="AQ10" i="8"/>
  <c r="R47" i="8"/>
  <c r="R75" i="8" s="1"/>
  <c r="R93" i="8" s="1"/>
  <c r="R11" i="8"/>
  <c r="CM54" i="8"/>
  <c r="P10" i="8"/>
  <c r="Q10" i="8"/>
  <c r="P11" i="8"/>
  <c r="CM11" i="8" s="1"/>
  <c r="P47" i="8"/>
  <c r="CM51" i="8"/>
  <c r="R10" i="8"/>
  <c r="P5" i="8"/>
  <c r="CM44" i="8"/>
  <c r="AS10" i="7"/>
  <c r="CP10" i="7" s="1"/>
  <c r="AL47" i="7"/>
  <c r="AL75" i="7" s="1"/>
  <c r="AL92" i="7" s="1"/>
  <c r="AE11" i="7"/>
  <c r="AE14" i="7" s="1"/>
  <c r="AE18" i="7" s="1"/>
  <c r="AE22" i="7" s="1"/>
  <c r="AE47" i="7"/>
  <c r="AE75" i="7" s="1"/>
  <c r="AE92" i="7" s="1"/>
  <c r="AM47" i="5"/>
  <c r="AM75" i="5" s="1"/>
  <c r="AH47" i="5"/>
  <c r="AH75" i="5" s="1"/>
  <c r="AH93" i="5" s="1"/>
  <c r="AD47" i="5"/>
  <c r="AD75" i="5" s="1"/>
  <c r="AD93" i="5" s="1"/>
  <c r="AN10" i="5"/>
  <c r="CM54" i="7"/>
  <c r="P10" i="7"/>
  <c r="AF47" i="7"/>
  <c r="AF75" i="7" s="1"/>
  <c r="AF92" i="7" s="1"/>
  <c r="V11" i="7"/>
  <c r="V14" i="7" s="1"/>
  <c r="V18" i="7" s="1"/>
  <c r="V22" i="7" s="1"/>
  <c r="V24" i="7" s="1"/>
  <c r="AJ10" i="7"/>
  <c r="R11" i="7"/>
  <c r="R47" i="7"/>
  <c r="R75" i="7" s="1"/>
  <c r="R92" i="7" s="1"/>
  <c r="P5" i="7"/>
  <c r="CM44" i="7"/>
  <c r="R10" i="7"/>
  <c r="P47" i="7"/>
  <c r="P11" i="7"/>
  <c r="CM51" i="7"/>
  <c r="T11" i="7"/>
  <c r="Q10" i="7"/>
  <c r="CM83" i="6"/>
  <c r="AK11" i="6"/>
  <c r="AJ10" i="5"/>
  <c r="AJ14" i="5" s="1"/>
  <c r="AJ18" i="5" s="1"/>
  <c r="AJ22" i="5" s="1"/>
  <c r="AJ24" i="5" s="1"/>
  <c r="AR10" i="5"/>
  <c r="AR14" i="5" s="1"/>
  <c r="AR18" i="5" s="1"/>
  <c r="AR22" i="5" s="1"/>
  <c r="AR24" i="5" s="1"/>
  <c r="AO10" i="5"/>
  <c r="Z47" i="5"/>
  <c r="Z75" i="5" s="1"/>
  <c r="Z93" i="5" s="1"/>
  <c r="AI47" i="5"/>
  <c r="AI75" i="5" s="1"/>
  <c r="AI93" i="5" s="1"/>
  <c r="Q8" i="5"/>
  <c r="O47" i="5"/>
  <c r="O11" i="5"/>
  <c r="CM51" i="5"/>
  <c r="O5" i="5"/>
  <c r="CM44" i="5"/>
  <c r="R11" i="5"/>
  <c r="R47" i="5"/>
  <c r="R75" i="5" s="1"/>
  <c r="R93" i="5" s="1"/>
  <c r="Q10" i="5"/>
  <c r="Q47" i="5"/>
  <c r="Q75" i="5" s="1"/>
  <c r="Q93" i="5" s="1"/>
  <c r="Q11" i="5"/>
  <c r="CM55" i="5"/>
  <c r="CR22" i="1"/>
  <c r="CR19" i="1"/>
  <c r="CR23" i="1"/>
  <c r="CR21" i="1"/>
  <c r="CR20" i="1"/>
  <c r="CN51" i="8"/>
  <c r="CO54" i="8"/>
  <c r="U47" i="7"/>
  <c r="U75" i="7" s="1"/>
  <c r="U92" i="7" s="1"/>
  <c r="AD5" i="7"/>
  <c r="AD7" i="7" s="1"/>
  <c r="AD8" i="7" s="1"/>
  <c r="T47" i="7"/>
  <c r="T75" i="7" s="1"/>
  <c r="T92" i="7" s="1"/>
  <c r="AG47" i="6"/>
  <c r="AG74" i="6" s="1"/>
  <c r="AG92" i="6" s="1"/>
  <c r="CO51" i="5"/>
  <c r="AU10" i="5"/>
  <c r="AF10" i="5"/>
  <c r="CP51" i="5"/>
  <c r="AD10" i="5"/>
  <c r="AQ47" i="5"/>
  <c r="AQ75" i="5" s="1"/>
  <c r="AQ93" i="5" s="1"/>
  <c r="AJ47" i="5"/>
  <c r="AJ75" i="5" s="1"/>
  <c r="AJ93" i="5" s="1"/>
  <c r="W47" i="5"/>
  <c r="W75" i="5" s="1"/>
  <c r="W93" i="5" s="1"/>
  <c r="AV47" i="5"/>
  <c r="AV75" i="5" s="1"/>
  <c r="AV93" i="5" s="1"/>
  <c r="S11" i="5"/>
  <c r="V47" i="7"/>
  <c r="V75" i="7" s="1"/>
  <c r="V92" i="7" s="1"/>
  <c r="CN55" i="5"/>
  <c r="AN47" i="5"/>
  <c r="AN75" i="5" s="1"/>
  <c r="AN93" i="5" s="1"/>
  <c r="U47" i="5"/>
  <c r="U75" i="5" s="1"/>
  <c r="U93" i="5" s="1"/>
  <c r="AS10" i="5"/>
  <c r="AS14" i="5" s="1"/>
  <c r="AS18" i="5" s="1"/>
  <c r="AS22" i="5" s="1"/>
  <c r="CP55" i="5"/>
  <c r="AF47" i="5"/>
  <c r="AF75" i="5" s="1"/>
  <c r="AF93" i="5" s="1"/>
  <c r="AO51" i="11"/>
  <c r="AO62" i="12" s="1"/>
  <c r="CN51" i="5"/>
  <c r="CN5" i="5"/>
  <c r="CN7" i="5" s="1"/>
  <c r="CN8" i="5" s="1"/>
  <c r="AG47" i="5"/>
  <c r="AG75" i="5" s="1"/>
  <c r="AG93" i="5" s="1"/>
  <c r="CO5" i="5"/>
  <c r="CO7" i="5" s="1"/>
  <c r="CO8" i="5" s="1"/>
  <c r="V10" i="6"/>
  <c r="V14" i="6" s="1"/>
  <c r="V18" i="6" s="1"/>
  <c r="V22" i="6" s="1"/>
  <c r="S10" i="5"/>
  <c r="S47" i="5"/>
  <c r="S75" i="5" s="1"/>
  <c r="S93" i="5" s="1"/>
  <c r="V47" i="6"/>
  <c r="V74" i="6" s="1"/>
  <c r="V92" i="6" s="1"/>
  <c r="AP10" i="6"/>
  <c r="AM10" i="5"/>
  <c r="AM14" i="5" s="1"/>
  <c r="AM18" i="5" s="1"/>
  <c r="AM22" i="5" s="1"/>
  <c r="AM24" i="5" s="1"/>
  <c r="CP5" i="5"/>
  <c r="CP7" i="5" s="1"/>
  <c r="AG11" i="7"/>
  <c r="AG14" i="7" s="1"/>
  <c r="AG18" i="7" s="1"/>
  <c r="AG22" i="7" s="1"/>
  <c r="CM10" i="6"/>
  <c r="CM14" i="6" s="1"/>
  <c r="CM18" i="6" s="1"/>
  <c r="CM22" i="6" s="1"/>
  <c r="CR66" i="12"/>
  <c r="CR47" i="12"/>
  <c r="CR46" i="12"/>
  <c r="CR115" i="1"/>
  <c r="AF54" i="11"/>
  <c r="AF65" i="12" s="1"/>
  <c r="AU7" i="11"/>
  <c r="AU8" i="11" s="1"/>
  <c r="AR54" i="11"/>
  <c r="AR10" i="11" s="1"/>
  <c r="AR7" i="11"/>
  <c r="AR8" i="11" s="1"/>
  <c r="CN5" i="8"/>
  <c r="CN7" i="8" s="1"/>
  <c r="CN8" i="8" s="1"/>
  <c r="CP5" i="8"/>
  <c r="CP7" i="8" s="1"/>
  <c r="CP8" i="8" s="1"/>
  <c r="CO51" i="8"/>
  <c r="AE10" i="8"/>
  <c r="L12" i="8"/>
  <c r="CM84" i="8"/>
  <c r="AJ47" i="6"/>
  <c r="AJ74" i="6" s="1"/>
  <c r="AJ92" i="6" s="1"/>
  <c r="CN51" i="6"/>
  <c r="CN5" i="6"/>
  <c r="CN7" i="6" s="1"/>
  <c r="CN8" i="6" s="1"/>
  <c r="CN55" i="6"/>
  <c r="CR94" i="1"/>
  <c r="CR95" i="1"/>
  <c r="CR76" i="1"/>
  <c r="CR45" i="1"/>
  <c r="CS3" i="1"/>
  <c r="CR83" i="1"/>
  <c r="CR84" i="1"/>
  <c r="CR116" i="1"/>
  <c r="CR92" i="1"/>
  <c r="CR80" i="1"/>
  <c r="CR93" i="1"/>
  <c r="AC17" i="13"/>
  <c r="AF10" i="13"/>
  <c r="CQ98" i="12"/>
  <c r="CR107" i="12"/>
  <c r="AE25" i="13"/>
  <c r="CP54" i="8"/>
  <c r="AL5" i="7"/>
  <c r="AL7" i="7" s="1"/>
  <c r="AL8" i="7" s="1"/>
  <c r="AJ5" i="7"/>
  <c r="AJ7" i="7" s="1"/>
  <c r="AJ8" i="7" s="1"/>
  <c r="AF5" i="7"/>
  <c r="AF7" i="7" s="1"/>
  <c r="AF8" i="7" s="1"/>
  <c r="AI47" i="6"/>
  <c r="AI74" i="6" s="1"/>
  <c r="AI92" i="6" s="1"/>
  <c r="AI11" i="6"/>
  <c r="CO51" i="6"/>
  <c r="CP54" i="7"/>
  <c r="CO55" i="5"/>
  <c r="O26" i="7"/>
  <c r="O27" i="7" s="1"/>
  <c r="AG47" i="7"/>
  <c r="AG75" i="7" s="1"/>
  <c r="AG92" i="7" s="1"/>
  <c r="AI10" i="6"/>
  <c r="CR43" i="12"/>
  <c r="CS3" i="12"/>
  <c r="CT3" i="12" s="1"/>
  <c r="CR110" i="12"/>
  <c r="CR80" i="12"/>
  <c r="CR87" i="12"/>
  <c r="CR79" i="12"/>
  <c r="CR68" i="12"/>
  <c r="CR71" i="12"/>
  <c r="CP51" i="7"/>
  <c r="AN54" i="11"/>
  <c r="AN10" i="11" s="1"/>
  <c r="CP98" i="12"/>
  <c r="CO55" i="6"/>
  <c r="AE5" i="8"/>
  <c r="CO44" i="8"/>
  <c r="CO98" i="12"/>
  <c r="AT11" i="5"/>
  <c r="AH47" i="6"/>
  <c r="AH74" i="6" s="1"/>
  <c r="AH92" i="6" s="1"/>
  <c r="Q14" i="11"/>
  <c r="Q18" i="11" s="1"/>
  <c r="Q22" i="11" s="1"/>
  <c r="W11" i="5"/>
  <c r="W84" i="5"/>
  <c r="AI11" i="7"/>
  <c r="AI83" i="7"/>
  <c r="N12" i="5"/>
  <c r="CM84" i="5"/>
  <c r="AW5" i="11"/>
  <c r="AW7" i="11" s="1"/>
  <c r="AW8" i="11" s="1"/>
  <c r="CO5" i="6"/>
  <c r="CO7" i="6" s="1"/>
  <c r="CO8" i="6" s="1"/>
  <c r="AH11" i="6"/>
  <c r="AH14" i="6" s="1"/>
  <c r="AH18" i="6" s="1"/>
  <c r="AH22" i="6" s="1"/>
  <c r="AK10" i="6"/>
  <c r="AS5" i="11"/>
  <c r="AS7" i="11" s="1"/>
  <c r="AS8" i="11" s="1"/>
  <c r="CR73" i="12"/>
  <c r="CR75" i="12"/>
  <c r="CR70" i="12"/>
  <c r="CO54" i="7"/>
  <c r="AN11" i="5"/>
  <c r="AN84" i="5"/>
  <c r="CP51" i="6"/>
  <c r="AK47" i="6"/>
  <c r="AK74" i="6" s="1"/>
  <c r="AK92" i="6" s="1"/>
  <c r="AA10" i="6"/>
  <c r="AJ10" i="6"/>
  <c r="AM11" i="7"/>
  <c r="W14" i="11"/>
  <c r="W18" i="11" s="1"/>
  <c r="W22" i="11" s="1"/>
  <c r="CO51" i="7"/>
  <c r="AG83" i="11"/>
  <c r="AG12" i="11" s="1"/>
  <c r="AN10" i="7"/>
  <c r="AI83" i="11"/>
  <c r="AI12" i="11" s="1"/>
  <c r="N14" i="11"/>
  <c r="N18" i="11" s="1"/>
  <c r="N22" i="11" s="1"/>
  <c r="CR23" i="12"/>
  <c r="CR76" i="12"/>
  <c r="CR78" i="12"/>
  <c r="CR95" i="12"/>
  <c r="AM47" i="7"/>
  <c r="AM75" i="7" s="1"/>
  <c r="AG14" i="6"/>
  <c r="AG18" i="6" s="1"/>
  <c r="AG22" i="6" s="1"/>
  <c r="AL83" i="11"/>
  <c r="AL12" i="11" s="1"/>
  <c r="CR106" i="12"/>
  <c r="CR67" i="12"/>
  <c r="CR69" i="12"/>
  <c r="CR81" i="12"/>
  <c r="CR98" i="12"/>
  <c r="N12" i="7"/>
  <c r="CM83" i="7"/>
  <c r="R14" i="6"/>
  <c r="R18" i="6" s="1"/>
  <c r="R22" i="6" s="1"/>
  <c r="AM44" i="11"/>
  <c r="AM55" i="12" s="1"/>
  <c r="AH83" i="11"/>
  <c r="AJ83" i="11"/>
  <c r="AQ83" i="11"/>
  <c r="AT83" i="11"/>
  <c r="AK51" i="11"/>
  <c r="AK62" i="12" s="1"/>
  <c r="L12" i="11"/>
  <c r="AP83" i="11"/>
  <c r="AW51" i="11"/>
  <c r="AW62" i="12" s="1"/>
  <c r="AM83" i="11"/>
  <c r="AN83" i="11"/>
  <c r="AK83" i="11"/>
  <c r="AK12" i="11" s="1"/>
  <c r="AS54" i="11"/>
  <c r="AS65" i="12" s="1"/>
  <c r="AK54" i="11"/>
  <c r="AK10" i="11" s="1"/>
  <c r="AN7" i="11"/>
  <c r="AN8" i="11" s="1"/>
  <c r="AN51" i="11"/>
  <c r="AN62" i="12" s="1"/>
  <c r="AO7" i="11"/>
  <c r="AO8" i="11" s="1"/>
  <c r="AK7" i="11"/>
  <c r="AK8" i="11" s="1"/>
  <c r="AU54" i="11"/>
  <c r="AU65" i="12" s="1"/>
  <c r="AO54" i="11"/>
  <c r="AO65" i="12" s="1"/>
  <c r="AI51" i="11"/>
  <c r="AI62" i="12" s="1"/>
  <c r="AU51" i="11"/>
  <c r="AU62" i="12" s="1"/>
  <c r="AI54" i="11"/>
  <c r="AI65" i="12" s="1"/>
  <c r="AU80" i="11"/>
  <c r="AU83" i="11" s="1"/>
  <c r="AO80" i="11"/>
  <c r="AI7" i="11"/>
  <c r="AI8" i="11" s="1"/>
  <c r="AO81" i="8"/>
  <c r="AO84" i="8" s="1"/>
  <c r="Y81" i="8"/>
  <c r="Y84" i="8" s="1"/>
  <c r="AI12" i="8"/>
  <c r="CP44" i="7"/>
  <c r="AM5" i="7"/>
  <c r="Y7" i="7"/>
  <c r="Y8" i="7" s="1"/>
  <c r="AC7" i="7"/>
  <c r="AC8" i="7" s="1"/>
  <c r="AK14" i="7"/>
  <c r="AK18" i="7" s="1"/>
  <c r="AK22" i="7" s="1"/>
  <c r="CQ8" i="7"/>
  <c r="M14" i="7"/>
  <c r="M18" i="7" s="1"/>
  <c r="M22" i="7" s="1"/>
  <c r="AO80" i="7"/>
  <c r="AO83" i="7" s="1"/>
  <c r="CN81" i="7"/>
  <c r="AU80" i="7"/>
  <c r="AU83" i="7" s="1"/>
  <c r="CN82" i="7"/>
  <c r="CO44" i="7"/>
  <c r="X83" i="7"/>
  <c r="CP55" i="6"/>
  <c r="CQ8" i="6"/>
  <c r="CP5" i="6"/>
  <c r="CP7" i="6" s="1"/>
  <c r="AJ12" i="6"/>
  <c r="AF14" i="6"/>
  <c r="AF18" i="6" s="1"/>
  <c r="AF22" i="6" s="1"/>
  <c r="AP12" i="6"/>
  <c r="T14" i="6"/>
  <c r="T18" i="6" s="1"/>
  <c r="T22" i="6" s="1"/>
  <c r="L8" i="6"/>
  <c r="L14" i="6"/>
  <c r="L18" i="6" s="1"/>
  <c r="L22" i="6" s="1"/>
  <c r="X83" i="6"/>
  <c r="AO80" i="6"/>
  <c r="AO83" i="6" s="1"/>
  <c r="CM8" i="6"/>
  <c r="AZ47" i="5"/>
  <c r="AZ75" i="5" s="1"/>
  <c r="AZ93" i="5" s="1"/>
  <c r="AZ11" i="5"/>
  <c r="AZ14" i="5" s="1"/>
  <c r="AZ18" i="5" s="1"/>
  <c r="AZ22" i="5" s="1"/>
  <c r="AX26" i="5"/>
  <c r="AX27" i="5" s="1"/>
  <c r="BA48" i="5"/>
  <c r="BB50" i="5"/>
  <c r="CQ49" i="5"/>
  <c r="CQ59" i="5"/>
  <c r="CQ83" i="5"/>
  <c r="CQ12" i="5"/>
  <c r="CQ53" i="5"/>
  <c r="CQ80" i="5"/>
  <c r="CQ89" i="5"/>
  <c r="CQ46" i="5"/>
  <c r="CQ84" i="5"/>
  <c r="CQ56" i="5"/>
  <c r="CQ82" i="5"/>
  <c r="CQ91" i="5"/>
  <c r="CQ54" i="5"/>
  <c r="CQ81" i="5"/>
  <c r="CQ90" i="5"/>
  <c r="CQ16" i="5"/>
  <c r="CQ44" i="5"/>
  <c r="CQ45" i="5"/>
  <c r="CQ35" i="5"/>
  <c r="CQ60" i="5"/>
  <c r="CQ52" i="5"/>
  <c r="CQ37" i="5"/>
  <c r="CQ38" i="5" s="1"/>
  <c r="CQ4" i="5"/>
  <c r="CQ51" i="5"/>
  <c r="CQ55" i="5"/>
  <c r="CQ39" i="5"/>
  <c r="CQ5" i="5"/>
  <c r="CQ10" i="5"/>
  <c r="AY26" i="5"/>
  <c r="AY27" i="5" s="1"/>
  <c r="AO81" i="5"/>
  <c r="AS75" i="5"/>
  <c r="AS93" i="5" s="1"/>
  <c r="X84" i="5"/>
  <c r="AU81" i="5"/>
  <c r="Y18" i="12"/>
  <c r="AG10" i="13" s="1"/>
  <c r="AB17" i="13"/>
  <c r="AV80" i="6"/>
  <c r="AV83" i="6" s="1"/>
  <c r="AI48" i="11"/>
  <c r="S44" i="7"/>
  <c r="CN45" i="7"/>
  <c r="CN55" i="7"/>
  <c r="S54" i="7"/>
  <c r="S65" i="12" s="1"/>
  <c r="S51" i="7"/>
  <c r="S62" i="12" s="1"/>
  <c r="CN52" i="7"/>
  <c r="U14" i="6"/>
  <c r="U18" i="6" s="1"/>
  <c r="U22" i="6" s="1"/>
  <c r="AW54" i="11"/>
  <c r="AW65" i="12" s="1"/>
  <c r="AM51" i="11"/>
  <c r="AM62" i="12" s="1"/>
  <c r="AM54" i="11"/>
  <c r="AM65" i="12" s="1"/>
  <c r="AL54" i="11"/>
  <c r="AL65" i="12" s="1"/>
  <c r="AP54" i="11"/>
  <c r="AP65" i="12" s="1"/>
  <c r="AQ7" i="11"/>
  <c r="AQ8" i="11" s="1"/>
  <c r="AQ54" i="11"/>
  <c r="AQ65" i="12" s="1"/>
  <c r="AL51" i="11"/>
  <c r="AL62" i="12" s="1"/>
  <c r="AJ51" i="11"/>
  <c r="AJ62" i="12" s="1"/>
  <c r="AQ51" i="11"/>
  <c r="AQ62" i="12" s="1"/>
  <c r="AG51" i="11"/>
  <c r="AG62" i="12" s="1"/>
  <c r="AG7" i="11"/>
  <c r="AG8" i="11" s="1"/>
  <c r="AG54" i="11"/>
  <c r="AG65" i="12" s="1"/>
  <c r="AL7" i="11"/>
  <c r="AL8" i="11" s="1"/>
  <c r="AT7" i="11"/>
  <c r="AT8" i="11" s="1"/>
  <c r="AT54" i="11"/>
  <c r="AT65" i="12" s="1"/>
  <c r="AJ54" i="11"/>
  <c r="AJ65" i="12" s="1"/>
  <c r="AH51" i="11"/>
  <c r="AH62" i="12" s="1"/>
  <c r="AJ7" i="11"/>
  <c r="AJ8" i="11" s="1"/>
  <c r="AH54" i="11"/>
  <c r="AH65" i="12" s="1"/>
  <c r="AH44" i="11"/>
  <c r="AH5" i="11" s="1"/>
  <c r="AP51" i="11"/>
  <c r="AP62" i="12" s="1"/>
  <c r="AT51" i="11"/>
  <c r="AT62" i="12" s="1"/>
  <c r="U14" i="8"/>
  <c r="U18" i="8" s="1"/>
  <c r="U22" i="8" s="1"/>
  <c r="U24" i="8" s="1"/>
  <c r="AM14" i="6"/>
  <c r="AM18" i="6" s="1"/>
  <c r="AM22" i="6" s="1"/>
  <c r="AM24" i="6" s="1"/>
  <c r="X47" i="11"/>
  <c r="X11" i="11"/>
  <c r="X14" i="11" s="1"/>
  <c r="X18" i="11" s="1"/>
  <c r="X22" i="11" s="1"/>
  <c r="X24" i="11" s="1"/>
  <c r="Y48" i="11"/>
  <c r="AO48" i="11"/>
  <c r="S14" i="11"/>
  <c r="S18" i="11" s="1"/>
  <c r="S22" i="11" s="1"/>
  <c r="S24" i="11" s="1"/>
  <c r="S8" i="11"/>
  <c r="W75" i="11"/>
  <c r="W93" i="11" s="1"/>
  <c r="O26" i="11"/>
  <c r="O27" i="11" s="1"/>
  <c r="U75" i="8"/>
  <c r="U93" i="8" s="1"/>
  <c r="AA8" i="8"/>
  <c r="Y48" i="8"/>
  <c r="X47" i="8"/>
  <c r="X11" i="8"/>
  <c r="S8" i="8"/>
  <c r="AN47" i="7"/>
  <c r="AN11" i="7"/>
  <c r="AP50" i="7"/>
  <c r="AO48" i="7"/>
  <c r="Y50" i="7"/>
  <c r="X48" i="7"/>
  <c r="AJ75" i="7"/>
  <c r="AJ92" i="7" s="1"/>
  <c r="W47" i="7"/>
  <c r="W11" i="7"/>
  <c r="AL14" i="6"/>
  <c r="AL18" i="6" s="1"/>
  <c r="AL22" i="6" s="1"/>
  <c r="W47" i="6"/>
  <c r="W11" i="6"/>
  <c r="AP50" i="6"/>
  <c r="AO48" i="6"/>
  <c r="AF74" i="6"/>
  <c r="AF92" i="6" s="1"/>
  <c r="X48" i="6"/>
  <c r="AE14" i="6"/>
  <c r="AE18" i="6" s="1"/>
  <c r="AE22" i="6" s="1"/>
  <c r="AE24" i="6" s="1"/>
  <c r="S14" i="6"/>
  <c r="S18" i="6" s="1"/>
  <c r="S22" i="6" s="1"/>
  <c r="S24" i="6" s="1"/>
  <c r="AM74" i="6"/>
  <c r="O26" i="6"/>
  <c r="O27" i="6" s="1"/>
  <c r="S74" i="6"/>
  <c r="AN47" i="6"/>
  <c r="AN11" i="6"/>
  <c r="AK14" i="5"/>
  <c r="AK18" i="5" s="1"/>
  <c r="AK22" i="5" s="1"/>
  <c r="AA93" i="5"/>
  <c r="V75" i="5"/>
  <c r="V93" i="5" s="1"/>
  <c r="AQ14" i="5"/>
  <c r="AQ18" i="5" s="1"/>
  <c r="AQ22" i="5" s="1"/>
  <c r="AQ24" i="5" s="1"/>
  <c r="CS81" i="5" l="1"/>
  <c r="CS49" i="5"/>
  <c r="CS91" i="5"/>
  <c r="CS16" i="5"/>
  <c r="CS46" i="5"/>
  <c r="CS54" i="5"/>
  <c r="CS89" i="5"/>
  <c r="CS37" i="5"/>
  <c r="CS38" i="5" s="1"/>
  <c r="CS57" i="5"/>
  <c r="CS90" i="5"/>
  <c r="CS35" i="5"/>
  <c r="CS36" i="5" s="1"/>
  <c r="CS58" i="5"/>
  <c r="CS52" i="5"/>
  <c r="CS56" i="5"/>
  <c r="CS59" i="5"/>
  <c r="CS4" i="5"/>
  <c r="CS39" i="5"/>
  <c r="CS53" i="5"/>
  <c r="CS80" i="5"/>
  <c r="CS60" i="5"/>
  <c r="CS82" i="5"/>
  <c r="CS45" i="5"/>
  <c r="CS83" i="5"/>
  <c r="CS51" i="5"/>
  <c r="CS44" i="5"/>
  <c r="CS55" i="5"/>
  <c r="CS10" i="5"/>
  <c r="CS5" i="5"/>
  <c r="CS7" i="5" s="1"/>
  <c r="CS8" i="5" s="1"/>
  <c r="V14" i="5"/>
  <c r="V18" i="5" s="1"/>
  <c r="V22" i="5" s="1"/>
  <c r="CR38" i="5"/>
  <c r="CS114" i="1"/>
  <c r="CT3" i="1"/>
  <c r="CS117" i="1"/>
  <c r="CS8" i="7"/>
  <c r="CK12" i="5"/>
  <c r="CS84" i="5"/>
  <c r="CQ36" i="5"/>
  <c r="CR36" i="5"/>
  <c r="CT69" i="12"/>
  <c r="CT78" i="12"/>
  <c r="CT105" i="12"/>
  <c r="CT166" i="12"/>
  <c r="CU3" i="12"/>
  <c r="CT95" i="12"/>
  <c r="CT136" i="12"/>
  <c r="CT152" i="12"/>
  <c r="CT70" i="12"/>
  <c r="CT79" i="12"/>
  <c r="CT106" i="12"/>
  <c r="CT167" i="12"/>
  <c r="CT46" i="12"/>
  <c r="CT137" i="12"/>
  <c r="CT154" i="12"/>
  <c r="CT23" i="12"/>
  <c r="CT65" i="12"/>
  <c r="CT71" i="12"/>
  <c r="CT80" i="12"/>
  <c r="CT107" i="12"/>
  <c r="CT43" i="12"/>
  <c r="CT129" i="12"/>
  <c r="CT139" i="12"/>
  <c r="CT147" i="12"/>
  <c r="CT155" i="12"/>
  <c r="CT24" i="12"/>
  <c r="CT73" i="12"/>
  <c r="CT81" i="12"/>
  <c r="CT108" i="12"/>
  <c r="CT92" i="12"/>
  <c r="CT98" i="12"/>
  <c r="CT130" i="12"/>
  <c r="CT140" i="12"/>
  <c r="CT55" i="12"/>
  <c r="CT67" i="12"/>
  <c r="CT75" i="12"/>
  <c r="CT109" i="12"/>
  <c r="CT164" i="12"/>
  <c r="CT131" i="12"/>
  <c r="CT150" i="12"/>
  <c r="CT62" i="12"/>
  <c r="CT68" i="12"/>
  <c r="CT76" i="12"/>
  <c r="CT110" i="12"/>
  <c r="CT165" i="12"/>
  <c r="CT87" i="12"/>
  <c r="CM47" i="7"/>
  <c r="L14" i="5"/>
  <c r="L18" i="5" s="1"/>
  <c r="L22" i="5" s="1"/>
  <c r="L24" i="5" s="1"/>
  <c r="CG34" i="11"/>
  <c r="CG43" i="11" s="1"/>
  <c r="CG79" i="11" s="1"/>
  <c r="CG87" i="11" s="1"/>
  <c r="CG2" i="11"/>
  <c r="CR55" i="12"/>
  <c r="X59" i="12"/>
  <c r="AF62" i="12"/>
  <c r="CQ62" i="12" s="1"/>
  <c r="W14" i="8"/>
  <c r="W18" i="8" s="1"/>
  <c r="W22" i="8" s="1"/>
  <c r="W24" i="8" s="1"/>
  <c r="S5" i="7"/>
  <c r="S55" i="12"/>
  <c r="CP55" i="12" s="1"/>
  <c r="AR65" i="12"/>
  <c r="CR65" i="12" s="1"/>
  <c r="M14" i="5"/>
  <c r="M18" i="5" s="1"/>
  <c r="M22" i="5" s="1"/>
  <c r="M24" i="5" s="1"/>
  <c r="M26" i="5" s="1"/>
  <c r="M27" i="5" s="1"/>
  <c r="AU84" i="5"/>
  <c r="AK65" i="12"/>
  <c r="AH55" i="12"/>
  <c r="CQ55" i="12" s="1"/>
  <c r="AO84" i="5"/>
  <c r="AO92" i="12"/>
  <c r="AN65" i="12"/>
  <c r="CS167" i="12"/>
  <c r="CS130" i="12"/>
  <c r="CS131" i="12"/>
  <c r="CS129" i="12"/>
  <c r="CS136" i="12"/>
  <c r="CS140" i="12"/>
  <c r="CS108" i="12"/>
  <c r="CS139" i="12"/>
  <c r="CS152" i="12"/>
  <c r="CS155" i="12"/>
  <c r="CS105" i="12"/>
  <c r="CS109" i="12"/>
  <c r="CS147" i="12"/>
  <c r="CS150" i="12"/>
  <c r="CS137" i="12"/>
  <c r="CS140" i="1"/>
  <c r="CS139" i="1"/>
  <c r="CS141" i="1"/>
  <c r="CS138" i="1"/>
  <c r="CS164" i="12"/>
  <c r="CS166" i="12"/>
  <c r="CS165" i="12"/>
  <c r="CP10" i="8"/>
  <c r="CS24" i="12"/>
  <c r="P14" i="5"/>
  <c r="P18" i="5" s="1"/>
  <c r="P22" i="5" s="1"/>
  <c r="P24" i="5" s="1"/>
  <c r="P26" i="5" s="1"/>
  <c r="P27" i="5" s="1"/>
  <c r="CO10" i="8"/>
  <c r="T14" i="7"/>
  <c r="T18" i="7" s="1"/>
  <c r="T22" i="7" s="1"/>
  <c r="T24" i="7" s="1"/>
  <c r="CM11" i="7"/>
  <c r="Q14" i="8"/>
  <c r="Q18" i="8" s="1"/>
  <c r="Q22" i="8" s="1"/>
  <c r="Q24" i="8" s="1"/>
  <c r="Q26" i="8" s="1"/>
  <c r="Q27" i="8" s="1"/>
  <c r="L26" i="5"/>
  <c r="L27" i="5" s="1"/>
  <c r="R14" i="5"/>
  <c r="R18" i="5" s="1"/>
  <c r="R22" i="5" s="1"/>
  <c r="R24" i="5" s="1"/>
  <c r="R26" i="5" s="1"/>
  <c r="R27" i="5" s="1"/>
  <c r="CP5" i="7"/>
  <c r="CP7" i="7" s="1"/>
  <c r="CP8" i="7" s="1"/>
  <c r="CP10" i="6"/>
  <c r="CM10" i="5"/>
  <c r="CM10" i="8"/>
  <c r="Q14" i="7"/>
  <c r="Q18" i="7" s="1"/>
  <c r="Q22" i="7" s="1"/>
  <c r="Q24" i="7" s="1"/>
  <c r="Q26" i="7" s="1"/>
  <c r="Q27" i="7" s="1"/>
  <c r="U24" i="11"/>
  <c r="U26" i="11" s="1"/>
  <c r="U27" i="11" s="1"/>
  <c r="AE24" i="7"/>
  <c r="AE26" i="7" s="1"/>
  <c r="AE27" i="7" s="1"/>
  <c r="AL24" i="5"/>
  <c r="AL26" i="5" s="1"/>
  <c r="AL27" i="5" s="1"/>
  <c r="AS24" i="5"/>
  <c r="AS26" i="5" s="1"/>
  <c r="AS27" i="5" s="1"/>
  <c r="Q24" i="11"/>
  <c r="Q26" i="11" s="1"/>
  <c r="Q27" i="11" s="1"/>
  <c r="AK24" i="7"/>
  <c r="AK26" i="7" s="1"/>
  <c r="AK27" i="7" s="1"/>
  <c r="AH24" i="6"/>
  <c r="AH26" i="6" s="1"/>
  <c r="AH27" i="6" s="1"/>
  <c r="AG24" i="7"/>
  <c r="AG26" i="7" s="1"/>
  <c r="AG27" i="7" s="1"/>
  <c r="CM47" i="8"/>
  <c r="AE24" i="5"/>
  <c r="AE26" i="5" s="1"/>
  <c r="AE27" i="5" s="1"/>
  <c r="U24" i="6"/>
  <c r="U26" i="6" s="1"/>
  <c r="U27" i="6" s="1"/>
  <c r="AH14" i="7"/>
  <c r="AH18" i="7" s="1"/>
  <c r="AH22" i="7" s="1"/>
  <c r="V24" i="5"/>
  <c r="V26" i="5" s="1"/>
  <c r="V27" i="5" s="1"/>
  <c r="V24" i="6"/>
  <c r="V26" i="6" s="1"/>
  <c r="V27" i="6" s="1"/>
  <c r="AZ24" i="5"/>
  <c r="AZ26" i="5" s="1"/>
  <c r="AZ27" i="5" s="1"/>
  <c r="T24" i="6"/>
  <c r="T26" i="6" s="1"/>
  <c r="T27" i="6" s="1"/>
  <c r="R14" i="8"/>
  <c r="R18" i="8" s="1"/>
  <c r="R22" i="8" s="1"/>
  <c r="AP24" i="5"/>
  <c r="AP26" i="5" s="1"/>
  <c r="AP27" i="5" s="1"/>
  <c r="V24" i="11"/>
  <c r="V26" i="11" s="1"/>
  <c r="V27" i="11" s="1"/>
  <c r="N24" i="11"/>
  <c r="N26" i="11" s="1"/>
  <c r="N27" i="11" s="1"/>
  <c r="L24" i="6"/>
  <c r="CM24" i="6" s="1"/>
  <c r="CM26" i="6" s="1"/>
  <c r="CM27" i="6" s="1"/>
  <c r="AG24" i="6"/>
  <c r="AG26" i="6" s="1"/>
  <c r="AG27" i="6" s="1"/>
  <c r="CM11" i="5"/>
  <c r="P75" i="8"/>
  <c r="P93" i="8" s="1"/>
  <c r="AK24" i="5"/>
  <c r="AK26" i="5" s="1"/>
  <c r="AK27" i="5" s="1"/>
  <c r="R24" i="6"/>
  <c r="R26" i="6" s="1"/>
  <c r="R27" i="6" s="1"/>
  <c r="T24" i="11"/>
  <c r="T26" i="11" s="1"/>
  <c r="T27" i="11" s="1"/>
  <c r="U24" i="5"/>
  <c r="U26" i="5" s="1"/>
  <c r="U27" i="5" s="1"/>
  <c r="AF24" i="6"/>
  <c r="AF26" i="6" s="1"/>
  <c r="AF27" i="6" s="1"/>
  <c r="AL24" i="6"/>
  <c r="AL26" i="6" s="1"/>
  <c r="AL27" i="6" s="1"/>
  <c r="W24" i="11"/>
  <c r="W26" i="11" s="1"/>
  <c r="W27" i="11" s="1"/>
  <c r="CO10" i="7"/>
  <c r="CM10" i="7"/>
  <c r="CN10" i="8"/>
  <c r="CN10" i="5"/>
  <c r="AV10" i="11"/>
  <c r="CR62" i="12"/>
  <c r="R14" i="7"/>
  <c r="R18" i="7" s="1"/>
  <c r="R22" i="7" s="1"/>
  <c r="AK14" i="6"/>
  <c r="AK18" i="6" s="1"/>
  <c r="AK22" i="6" s="1"/>
  <c r="CP62" i="12"/>
  <c r="AF47" i="11"/>
  <c r="AF75" i="11" s="1"/>
  <c r="AF93" i="11" s="1"/>
  <c r="P7" i="8"/>
  <c r="CM5" i="8"/>
  <c r="CM7" i="8" s="1"/>
  <c r="CM8" i="8" s="1"/>
  <c r="Q14" i="5"/>
  <c r="Q18" i="5" s="1"/>
  <c r="Q22" i="5" s="1"/>
  <c r="CM5" i="7"/>
  <c r="CM7" i="7" s="1"/>
  <c r="CM8" i="7" s="1"/>
  <c r="P7" i="7"/>
  <c r="P75" i="7"/>
  <c r="CO65" i="12"/>
  <c r="CM5" i="5"/>
  <c r="CM7" i="5" s="1"/>
  <c r="CM8" i="5" s="1"/>
  <c r="O7" i="5"/>
  <c r="CO62" i="12"/>
  <c r="O75" i="5"/>
  <c r="CM47" i="5"/>
  <c r="CS21" i="1"/>
  <c r="CS20" i="1"/>
  <c r="CS22" i="1"/>
  <c r="CS19" i="1"/>
  <c r="CS23" i="1"/>
  <c r="CS115" i="1"/>
  <c r="AJ14" i="7"/>
  <c r="AJ18" i="7" s="1"/>
  <c r="AJ22" i="7" s="1"/>
  <c r="CO10" i="5"/>
  <c r="CP10" i="5"/>
  <c r="CO47" i="5"/>
  <c r="S14" i="5"/>
  <c r="S18" i="5" s="1"/>
  <c r="S22" i="5" s="1"/>
  <c r="AF10" i="11"/>
  <c r="AF14" i="11" s="1"/>
  <c r="AF18" i="11" s="1"/>
  <c r="AF22" i="11" s="1"/>
  <c r="AF14" i="7"/>
  <c r="AF18" i="7" s="1"/>
  <c r="AF22" i="7" s="1"/>
  <c r="U26" i="7"/>
  <c r="U27" i="7" s="1"/>
  <c r="AL14" i="7"/>
  <c r="AL18" i="7" s="1"/>
  <c r="AL22" i="7" s="1"/>
  <c r="CP65" i="12"/>
  <c r="CS83" i="1"/>
  <c r="CS118" i="1"/>
  <c r="CN10" i="6"/>
  <c r="CN47" i="5"/>
  <c r="AN47" i="11"/>
  <c r="AN75" i="11" s="1"/>
  <c r="AN93" i="11" s="1"/>
  <c r="CS78" i="12"/>
  <c r="CS46" i="12"/>
  <c r="CM12" i="8"/>
  <c r="L14" i="8"/>
  <c r="L18" i="8" s="1"/>
  <c r="L22" i="8" s="1"/>
  <c r="CO10" i="6"/>
  <c r="CP48" i="5"/>
  <c r="CS116" i="1"/>
  <c r="CS92" i="1"/>
  <c r="CS76" i="1"/>
  <c r="CS89" i="1"/>
  <c r="CS84" i="1"/>
  <c r="CS72" i="1"/>
  <c r="CS93" i="1"/>
  <c r="CS80" i="1"/>
  <c r="CS107" i="12"/>
  <c r="AF25" i="13"/>
  <c r="AJ14" i="6"/>
  <c r="AJ18" i="6" s="1"/>
  <c r="AJ22" i="6" s="1"/>
  <c r="V26" i="7"/>
  <c r="V27" i="7" s="1"/>
  <c r="CS23" i="12"/>
  <c r="CS95" i="12"/>
  <c r="CS92" i="12"/>
  <c r="CS65" i="12"/>
  <c r="CS75" i="12"/>
  <c r="CS62" i="12"/>
  <c r="CS110" i="12"/>
  <c r="CS68" i="12"/>
  <c r="CS67" i="12"/>
  <c r="CS71" i="12"/>
  <c r="CS98" i="12"/>
  <c r="CS106" i="12"/>
  <c r="CS55" i="12"/>
  <c r="CS76" i="12"/>
  <c r="CS79" i="12"/>
  <c r="CS87" i="12"/>
  <c r="CS43" i="12"/>
  <c r="CS73" i="12"/>
  <c r="CS69" i="12"/>
  <c r="CS81" i="12"/>
  <c r="CS70" i="12"/>
  <c r="CS80" i="12"/>
  <c r="AE7" i="8"/>
  <c r="AE8" i="8" s="1"/>
  <c r="CO5" i="8"/>
  <c r="CO7" i="8" s="1"/>
  <c r="CO8" i="8" s="1"/>
  <c r="AS10" i="11"/>
  <c r="L14" i="11"/>
  <c r="L18" i="11" s="1"/>
  <c r="L22" i="11" s="1"/>
  <c r="L24" i="11" s="1"/>
  <c r="CM12" i="7"/>
  <c r="N14" i="7"/>
  <c r="N18" i="7" s="1"/>
  <c r="N22" i="7" s="1"/>
  <c r="N24" i="7" s="1"/>
  <c r="N26" i="7" s="1"/>
  <c r="N27" i="7" s="1"/>
  <c r="CM12" i="5"/>
  <c r="N14" i="5"/>
  <c r="N18" i="5" s="1"/>
  <c r="N22" i="5" s="1"/>
  <c r="N24" i="5" s="1"/>
  <c r="AM5" i="11"/>
  <c r="AN12" i="11"/>
  <c r="AO83" i="11"/>
  <c r="AO12" i="11" s="1"/>
  <c r="M24" i="7"/>
  <c r="U26" i="8"/>
  <c r="U27" i="8" s="1"/>
  <c r="T26" i="8"/>
  <c r="T27" i="8" s="1"/>
  <c r="V26" i="8"/>
  <c r="V27" i="8" s="1"/>
  <c r="N26" i="8"/>
  <c r="N27" i="8" s="1"/>
  <c r="AN11" i="11"/>
  <c r="AU10" i="11"/>
  <c r="AO10" i="11"/>
  <c r="AM11" i="11"/>
  <c r="AV80" i="11"/>
  <c r="AV83" i="11" s="1"/>
  <c r="AU12" i="11"/>
  <c r="AG10" i="11"/>
  <c r="AL10" i="11"/>
  <c r="AM10" i="11"/>
  <c r="AW10" i="11"/>
  <c r="AP10" i="11"/>
  <c r="AI47" i="11"/>
  <c r="AI75" i="11" s="1"/>
  <c r="AI93" i="11" s="1"/>
  <c r="AH11" i="11"/>
  <c r="AQ10" i="11"/>
  <c r="AI10" i="11"/>
  <c r="X12" i="8"/>
  <c r="X14" i="8" s="1"/>
  <c r="X18" i="8" s="1"/>
  <c r="X22" i="8" s="1"/>
  <c r="X24" i="8" s="1"/>
  <c r="AN12" i="8"/>
  <c r="AP81" i="8"/>
  <c r="AO12" i="8"/>
  <c r="AA81" i="8"/>
  <c r="AA84" i="8" s="1"/>
  <c r="Y12" i="8"/>
  <c r="AM7" i="7"/>
  <c r="AM8" i="7" s="1"/>
  <c r="AA7" i="7"/>
  <c r="AA8" i="7" s="1"/>
  <c r="CO5" i="7"/>
  <c r="CO7" i="7" s="1"/>
  <c r="CO8" i="7" s="1"/>
  <c r="Y80" i="7"/>
  <c r="AV80" i="7"/>
  <c r="AV83" i="7" s="1"/>
  <c r="W12" i="7"/>
  <c r="AT12" i="7"/>
  <c r="AI12" i="7"/>
  <c r="AN12" i="7"/>
  <c r="CP8" i="6"/>
  <c r="AM26" i="6"/>
  <c r="AM27" i="6" s="1"/>
  <c r="AN12" i="6"/>
  <c r="Y83" i="6"/>
  <c r="W12" i="6"/>
  <c r="W14" i="6" s="1"/>
  <c r="W18" i="6" s="1"/>
  <c r="W22" i="6" s="1"/>
  <c r="AI12" i="6"/>
  <c r="CP8" i="5"/>
  <c r="BC50" i="5"/>
  <c r="BB48" i="5"/>
  <c r="CQ7" i="5"/>
  <c r="CQ8" i="5" s="1"/>
  <c r="BA47" i="5"/>
  <c r="CP47" i="5" s="1"/>
  <c r="BA11" i="5"/>
  <c r="W12" i="5"/>
  <c r="AV81" i="5"/>
  <c r="AU11" i="5"/>
  <c r="AO11" i="5"/>
  <c r="AT12" i="5"/>
  <c r="Y84" i="5"/>
  <c r="X11" i="5"/>
  <c r="AN12" i="5"/>
  <c r="AD17" i="13"/>
  <c r="Z18" i="12"/>
  <c r="AW80" i="6"/>
  <c r="AW83" i="6" s="1"/>
  <c r="AU12" i="6"/>
  <c r="AI11" i="11"/>
  <c r="AK50" i="11"/>
  <c r="AJ48" i="11"/>
  <c r="S12" i="7"/>
  <c r="S47" i="7"/>
  <c r="S11" i="7"/>
  <c r="CN51" i="7"/>
  <c r="L26" i="7"/>
  <c r="L27" i="7" s="1"/>
  <c r="S10" i="7"/>
  <c r="CN10" i="7" s="1"/>
  <c r="CN54" i="7"/>
  <c r="CN44" i="7"/>
  <c r="AM47" i="11"/>
  <c r="AM12" i="11"/>
  <c r="AQ12" i="11"/>
  <c r="AP12" i="11"/>
  <c r="AG47" i="11"/>
  <c r="AG11" i="11"/>
  <c r="AT12" i="11"/>
  <c r="AP7" i="11"/>
  <c r="AP8" i="11" s="1"/>
  <c r="AJ12" i="11"/>
  <c r="AJ10" i="11"/>
  <c r="AH10" i="11"/>
  <c r="AH47" i="11"/>
  <c r="AH12" i="11"/>
  <c r="AT10" i="11"/>
  <c r="AQ50" i="11"/>
  <c r="AP48" i="11"/>
  <c r="Z48" i="11"/>
  <c r="S93" i="11"/>
  <c r="X75" i="11"/>
  <c r="X93" i="11" s="1"/>
  <c r="AO47" i="11"/>
  <c r="AO11" i="11"/>
  <c r="AE26" i="11"/>
  <c r="AE27" i="11" s="1"/>
  <c r="Y47" i="11"/>
  <c r="Y11" i="11"/>
  <c r="X26" i="11"/>
  <c r="X27" i="11" s="1"/>
  <c r="AA50" i="8"/>
  <c r="Z48" i="8"/>
  <c r="Y47" i="8"/>
  <c r="Y11" i="8"/>
  <c r="S26" i="8"/>
  <c r="S27" i="8" s="1"/>
  <c r="X75" i="8"/>
  <c r="X93" i="8" s="1"/>
  <c r="S93" i="8"/>
  <c r="Z50" i="7"/>
  <c r="Y48" i="7"/>
  <c r="AP48" i="7"/>
  <c r="AQ50" i="7"/>
  <c r="X47" i="7"/>
  <c r="X11" i="7"/>
  <c r="AM92" i="7"/>
  <c r="AO47" i="7"/>
  <c r="AO11" i="7"/>
  <c r="AN75" i="7"/>
  <c r="AN92" i="7" s="1"/>
  <c r="W75" i="7"/>
  <c r="W92" i="7" s="1"/>
  <c r="S92" i="6"/>
  <c r="AM92" i="6"/>
  <c r="AE26" i="6"/>
  <c r="AE27" i="6" s="1"/>
  <c r="Y48" i="6"/>
  <c r="AO47" i="6"/>
  <c r="AO11" i="6"/>
  <c r="S26" i="6"/>
  <c r="S27" i="6" s="1"/>
  <c r="AP48" i="6"/>
  <c r="AQ50" i="6"/>
  <c r="AN74" i="6"/>
  <c r="AN92" i="6" s="1"/>
  <c r="X47" i="6"/>
  <c r="X11" i="6"/>
  <c r="W74" i="6"/>
  <c r="W92" i="6" s="1"/>
  <c r="AR26" i="5"/>
  <c r="AR27" i="5" s="1"/>
  <c r="CN75" i="5"/>
  <c r="AJ26" i="5"/>
  <c r="AJ27" i="5" s="1"/>
  <c r="AQ26" i="5"/>
  <c r="AQ27" i="5" s="1"/>
  <c r="T26" i="5"/>
  <c r="T27" i="5" s="1"/>
  <c r="CO75" i="5"/>
  <c r="AM93" i="5"/>
  <c r="CR88" i="11" l="1"/>
  <c r="CT114" i="1"/>
  <c r="CT22" i="1"/>
  <c r="CT89" i="1"/>
  <c r="CT138" i="1"/>
  <c r="CT23" i="1"/>
  <c r="CT72" i="1"/>
  <c r="CT80" i="1"/>
  <c r="CT92" i="1"/>
  <c r="CT115" i="1"/>
  <c r="CT139" i="1"/>
  <c r="CT19" i="1"/>
  <c r="CU3" i="1"/>
  <c r="CT83" i="1"/>
  <c r="CT93" i="1"/>
  <c r="CT116" i="1"/>
  <c r="CT140" i="1"/>
  <c r="CT20" i="1"/>
  <c r="CT76" i="1"/>
  <c r="CT84" i="1"/>
  <c r="CT141" i="1"/>
  <c r="CT21" i="1"/>
  <c r="CT117" i="1"/>
  <c r="CT118" i="1"/>
  <c r="CT16" i="1"/>
  <c r="CR10" i="11"/>
  <c r="CR16" i="11"/>
  <c r="CR55" i="11"/>
  <c r="CS91" i="11"/>
  <c r="CR53" i="11"/>
  <c r="CR12" i="5"/>
  <c r="CS12" i="5"/>
  <c r="CU46" i="12"/>
  <c r="CV46" i="12" s="1"/>
  <c r="CU87" i="12"/>
  <c r="CU151" i="12"/>
  <c r="CU18" i="12"/>
  <c r="CU69" i="12"/>
  <c r="CU78" i="12"/>
  <c r="CU105" i="12"/>
  <c r="CU166" i="12"/>
  <c r="CU95" i="12"/>
  <c r="CU136" i="12"/>
  <c r="CU152" i="12"/>
  <c r="CU70" i="12"/>
  <c r="CU79" i="12"/>
  <c r="CU106" i="12"/>
  <c r="CU167" i="12"/>
  <c r="CU62" i="12"/>
  <c r="CU137" i="12"/>
  <c r="CU154" i="12"/>
  <c r="CU23" i="12"/>
  <c r="CU65" i="12"/>
  <c r="CU71" i="12"/>
  <c r="CU80" i="12"/>
  <c r="CU107" i="12"/>
  <c r="CU165" i="12"/>
  <c r="CU43" i="12"/>
  <c r="CU129" i="12"/>
  <c r="CU139" i="12"/>
  <c r="CU147" i="12"/>
  <c r="CU155" i="12"/>
  <c r="CU24" i="12"/>
  <c r="CU73" i="12"/>
  <c r="CU81" i="12"/>
  <c r="CU108" i="12"/>
  <c r="CU92" i="12"/>
  <c r="CU98" i="12"/>
  <c r="CU130" i="12"/>
  <c r="CU140" i="12"/>
  <c r="CU68" i="12"/>
  <c r="CU55" i="12"/>
  <c r="CU67" i="12"/>
  <c r="CU75" i="12"/>
  <c r="CU109" i="12"/>
  <c r="CU164" i="12"/>
  <c r="CU76" i="12"/>
  <c r="CU131" i="12"/>
  <c r="CU150" i="12"/>
  <c r="CU110" i="12"/>
  <c r="W26" i="8"/>
  <c r="W27" i="8" s="1"/>
  <c r="CH34" i="11"/>
  <c r="CH43" i="11" s="1"/>
  <c r="CH79" i="11" s="1"/>
  <c r="CH87" i="11" s="1"/>
  <c r="CH2" i="11"/>
  <c r="CR46" i="11" s="1"/>
  <c r="CM83" i="11"/>
  <c r="CN50" i="11"/>
  <c r="CN83" i="11"/>
  <c r="CO56" i="11"/>
  <c r="CO52" i="11"/>
  <c r="CM11" i="11"/>
  <c r="CP91" i="11"/>
  <c r="CP4" i="11"/>
  <c r="CO57" i="11"/>
  <c r="CO59" i="11"/>
  <c r="CO55" i="11"/>
  <c r="CN12" i="11"/>
  <c r="CN39" i="11"/>
  <c r="CP88" i="11"/>
  <c r="CO16" i="11"/>
  <c r="CO60" i="11"/>
  <c r="CO45" i="11"/>
  <c r="CP90" i="11"/>
  <c r="CP52" i="11"/>
  <c r="CO82" i="11"/>
  <c r="CO53" i="11"/>
  <c r="CM10" i="11"/>
  <c r="CP58" i="11"/>
  <c r="CP46" i="11"/>
  <c r="CP60" i="11"/>
  <c r="CP55" i="11"/>
  <c r="CO49" i="11"/>
  <c r="CP49" i="11"/>
  <c r="CN54" i="11"/>
  <c r="CP57" i="11"/>
  <c r="CO81" i="11"/>
  <c r="CM5" i="11"/>
  <c r="CO35" i="11"/>
  <c r="CN51" i="11"/>
  <c r="CP59" i="11"/>
  <c r="CP56" i="11"/>
  <c r="CO88" i="11"/>
  <c r="CP89" i="11"/>
  <c r="CO91" i="11"/>
  <c r="CM39" i="11"/>
  <c r="CP5" i="11"/>
  <c r="CO89" i="11"/>
  <c r="CM89" i="11"/>
  <c r="CQ49" i="11"/>
  <c r="CM58" i="11"/>
  <c r="CO90" i="11"/>
  <c r="CM54" i="11"/>
  <c r="CQ59" i="11"/>
  <c r="CN5" i="11"/>
  <c r="CP35" i="11"/>
  <c r="Y59" i="12"/>
  <c r="CQ65" i="12"/>
  <c r="AP84" i="8"/>
  <c r="AP92" i="12"/>
  <c r="Y83" i="7"/>
  <c r="Y92" i="12"/>
  <c r="AV84" i="5"/>
  <c r="CV43" i="12"/>
  <c r="T26" i="7"/>
  <c r="T27" i="7" s="1"/>
  <c r="L26" i="6"/>
  <c r="L27" i="6" s="1"/>
  <c r="R24" i="8"/>
  <c r="R26" i="8" s="1"/>
  <c r="R27" i="8" s="1"/>
  <c r="W24" i="6"/>
  <c r="W26" i="6" s="1"/>
  <c r="W27" i="6" s="1"/>
  <c r="AH24" i="7"/>
  <c r="AH26" i="7" s="1"/>
  <c r="AH27" i="7" s="1"/>
  <c r="AF24" i="11"/>
  <c r="AF26" i="11" s="1"/>
  <c r="AF27" i="11" s="1"/>
  <c r="Q24" i="5"/>
  <c r="Q26" i="5" s="1"/>
  <c r="Q27" i="5" s="1"/>
  <c r="AJ24" i="6"/>
  <c r="AJ26" i="6" s="1"/>
  <c r="AJ27" i="6" s="1"/>
  <c r="S24" i="5"/>
  <c r="S26" i="5" s="1"/>
  <c r="S27" i="5" s="1"/>
  <c r="CM75" i="8"/>
  <c r="AK24" i="6"/>
  <c r="AK26" i="6" s="1"/>
  <c r="AK27" i="6" s="1"/>
  <c r="AJ24" i="7"/>
  <c r="AJ26" i="7" s="1"/>
  <c r="AJ27" i="7" s="1"/>
  <c r="AF24" i="7"/>
  <c r="AF26" i="7" s="1"/>
  <c r="AF27" i="7" s="1"/>
  <c r="R24" i="7"/>
  <c r="R26" i="7" s="1"/>
  <c r="R27" i="7" s="1"/>
  <c r="AL24" i="7"/>
  <c r="AL26" i="7" s="1"/>
  <c r="AL27" i="7" s="1"/>
  <c r="CM14" i="8"/>
  <c r="CM18" i="8" s="1"/>
  <c r="CM22" i="8" s="1"/>
  <c r="CM14" i="7"/>
  <c r="CM18" i="7" s="1"/>
  <c r="CM22" i="7" s="1"/>
  <c r="P8" i="8"/>
  <c r="P14" i="8"/>
  <c r="P18" i="8" s="1"/>
  <c r="P22" i="8" s="1"/>
  <c r="P24" i="8" s="1"/>
  <c r="P26" i="8" s="1"/>
  <c r="P27" i="8" s="1"/>
  <c r="CM14" i="5"/>
  <c r="CM18" i="5" s="1"/>
  <c r="CM22" i="5" s="1"/>
  <c r="P92" i="7"/>
  <c r="CM75" i="7"/>
  <c r="P8" i="7"/>
  <c r="P14" i="7"/>
  <c r="P18" i="7" s="1"/>
  <c r="P22" i="7" s="1"/>
  <c r="O93" i="5"/>
  <c r="CM75" i="5"/>
  <c r="O8" i="5"/>
  <c r="O14" i="5"/>
  <c r="O18" i="5" s="1"/>
  <c r="O22" i="5" s="1"/>
  <c r="O24" i="5" s="1"/>
  <c r="CO83" i="11"/>
  <c r="L24" i="8"/>
  <c r="AE17" i="13"/>
  <c r="AH10" i="13"/>
  <c r="AG25" i="13"/>
  <c r="AM7" i="11"/>
  <c r="AM8" i="11" s="1"/>
  <c r="Y14" i="8"/>
  <c r="Y18" i="8" s="1"/>
  <c r="Y22" i="8" s="1"/>
  <c r="Y24" i="8" s="1"/>
  <c r="AN14" i="11"/>
  <c r="AN18" i="11" s="1"/>
  <c r="AN22" i="11" s="1"/>
  <c r="AI14" i="11"/>
  <c r="AI18" i="11" s="1"/>
  <c r="AI22" i="11" s="1"/>
  <c r="X26" i="8"/>
  <c r="X27" i="8" s="1"/>
  <c r="N26" i="5"/>
  <c r="N27" i="5" s="1"/>
  <c r="L26" i="11"/>
  <c r="L27" i="11" s="1"/>
  <c r="CM24" i="11"/>
  <c r="AO14" i="11"/>
  <c r="AO18" i="11" s="1"/>
  <c r="AO22" i="11" s="1"/>
  <c r="CP10" i="11"/>
  <c r="AR50" i="11"/>
  <c r="AS50" i="11" s="1"/>
  <c r="AU50" i="11" s="1"/>
  <c r="AV50" i="11" s="1"/>
  <c r="AW50" i="11" s="1"/>
  <c r="AX50" i="11" s="1"/>
  <c r="AX48" i="11" s="1"/>
  <c r="M26" i="7"/>
  <c r="M27" i="7" s="1"/>
  <c r="AG14" i="11"/>
  <c r="AG18" i="11" s="1"/>
  <c r="AG22" i="11" s="1"/>
  <c r="AJ11" i="11"/>
  <c r="AJ14" i="11" s="1"/>
  <c r="AJ18" i="11" s="1"/>
  <c r="AJ22" i="11" s="1"/>
  <c r="AW80" i="11"/>
  <c r="AW83" i="11" s="1"/>
  <c r="CP83" i="11" s="1"/>
  <c r="AQ81" i="8"/>
  <c r="AP12" i="8"/>
  <c r="AB81" i="8"/>
  <c r="AB84" i="8" s="1"/>
  <c r="AM14" i="7"/>
  <c r="AM18" i="7" s="1"/>
  <c r="AM22" i="7" s="1"/>
  <c r="AM24" i="7" s="1"/>
  <c r="AN14" i="7"/>
  <c r="AN18" i="7" s="1"/>
  <c r="AN22" i="7" s="1"/>
  <c r="X12" i="7"/>
  <c r="X14" i="7" s="1"/>
  <c r="X18" i="7" s="1"/>
  <c r="X22" i="7" s="1"/>
  <c r="X24" i="7" s="1"/>
  <c r="AO12" i="7"/>
  <c r="AO14" i="7" s="1"/>
  <c r="AO18" i="7" s="1"/>
  <c r="AO22" i="7" s="1"/>
  <c r="AO24" i="7" s="1"/>
  <c r="AU12" i="7"/>
  <c r="Z80" i="7"/>
  <c r="AI14" i="7"/>
  <c r="AI18" i="7" s="1"/>
  <c r="AI22" i="7" s="1"/>
  <c r="W14" i="7"/>
  <c r="W18" i="7" s="1"/>
  <c r="W22" i="7" s="1"/>
  <c r="W24" i="7" s="1"/>
  <c r="AW80" i="7"/>
  <c r="CP80" i="6"/>
  <c r="AI14" i="6"/>
  <c r="AI18" i="6" s="1"/>
  <c r="AI22" i="6" s="1"/>
  <c r="Z83" i="6"/>
  <c r="AN14" i="6"/>
  <c r="AN18" i="6" s="1"/>
  <c r="AN22" i="6" s="1"/>
  <c r="AN24" i="6" s="1"/>
  <c r="X12" i="6"/>
  <c r="X14" i="6" s="1"/>
  <c r="X18" i="6" s="1"/>
  <c r="X22" i="6" s="1"/>
  <c r="X24" i="6" s="1"/>
  <c r="AO12" i="6"/>
  <c r="BA14" i="5"/>
  <c r="BA18" i="5" s="1"/>
  <c r="BA22" i="5" s="1"/>
  <c r="BA24" i="5" s="1"/>
  <c r="AM26" i="5"/>
  <c r="AM27" i="5" s="1"/>
  <c r="BA75" i="5"/>
  <c r="BB47" i="5"/>
  <c r="BB75" i="5" s="1"/>
  <c r="BB93" i="5" s="1"/>
  <c r="BB11" i="5"/>
  <c r="BB14" i="5" s="1"/>
  <c r="BB18" i="5" s="1"/>
  <c r="BB22" i="5" s="1"/>
  <c r="BB24" i="5" s="1"/>
  <c r="BD50" i="5"/>
  <c r="BC48" i="5"/>
  <c r="AU12" i="5"/>
  <c r="AU14" i="5" s="1"/>
  <c r="AU18" i="5" s="1"/>
  <c r="AU22" i="5" s="1"/>
  <c r="AW81" i="5"/>
  <c r="AV11" i="5"/>
  <c r="Z84" i="5"/>
  <c r="Y11" i="5"/>
  <c r="AO12" i="5"/>
  <c r="AO14" i="5" s="1"/>
  <c r="AO18" i="5" s="1"/>
  <c r="AO22" i="5" s="1"/>
  <c r="AN14" i="5"/>
  <c r="AN18" i="5" s="1"/>
  <c r="AN22" i="5" s="1"/>
  <c r="X12" i="5"/>
  <c r="AT14" i="5"/>
  <c r="AT18" i="5" s="1"/>
  <c r="AT22" i="5" s="1"/>
  <c r="W14" i="5"/>
  <c r="W18" i="5" s="1"/>
  <c r="W22" i="5" s="1"/>
  <c r="AA18" i="12"/>
  <c r="AI10" i="13" s="1"/>
  <c r="CP83" i="6"/>
  <c r="AV12" i="6"/>
  <c r="AJ47" i="11"/>
  <c r="AJ75" i="11" s="1"/>
  <c r="AJ93" i="11" s="1"/>
  <c r="AL50" i="11"/>
  <c r="AL48" i="11" s="1"/>
  <c r="AK48" i="11"/>
  <c r="S7" i="7"/>
  <c r="CN5" i="7"/>
  <c r="CN7" i="7" s="1"/>
  <c r="CN8" i="7" s="1"/>
  <c r="S75" i="7"/>
  <c r="S92" i="7" s="1"/>
  <c r="AM75" i="11"/>
  <c r="AH75" i="11"/>
  <c r="AH93" i="11" s="1"/>
  <c r="CO10" i="11"/>
  <c r="AG75" i="11"/>
  <c r="AG93" i="11" s="1"/>
  <c r="CO12" i="11"/>
  <c r="AH7" i="11"/>
  <c r="CO5" i="11"/>
  <c r="Y14" i="11"/>
  <c r="Y18" i="11" s="1"/>
  <c r="Y22" i="11" s="1"/>
  <c r="Y24" i="11" s="1"/>
  <c r="AO75" i="11"/>
  <c r="Z47" i="11"/>
  <c r="Z11" i="11"/>
  <c r="Z14" i="11" s="1"/>
  <c r="Z18" i="11" s="1"/>
  <c r="Z22" i="11" s="1"/>
  <c r="Z24" i="11" s="1"/>
  <c r="AP47" i="11"/>
  <c r="AP11" i="11"/>
  <c r="Y75" i="11"/>
  <c r="S26" i="11"/>
  <c r="S27" i="11" s="1"/>
  <c r="AA48" i="11"/>
  <c r="AQ48" i="11"/>
  <c r="AB50" i="8"/>
  <c r="AA48" i="8"/>
  <c r="Y75" i="8"/>
  <c r="Y93" i="8" s="1"/>
  <c r="Z47" i="8"/>
  <c r="Z11" i="8"/>
  <c r="Z14" i="8" s="1"/>
  <c r="Z18" i="8" s="1"/>
  <c r="Z22" i="8" s="1"/>
  <c r="Z24" i="8" s="1"/>
  <c r="AO75" i="7"/>
  <c r="AO92" i="7" s="1"/>
  <c r="X75" i="7"/>
  <c r="X92" i="7" s="1"/>
  <c r="AP47" i="7"/>
  <c r="AP11" i="7"/>
  <c r="AP14" i="7" s="1"/>
  <c r="AP18" i="7" s="1"/>
  <c r="AP22" i="7" s="1"/>
  <c r="AP24" i="7" s="1"/>
  <c r="AQ48" i="7"/>
  <c r="AR50" i="7"/>
  <c r="Y47" i="7"/>
  <c r="Y11" i="7"/>
  <c r="AA50" i="7"/>
  <c r="Z48" i="7"/>
  <c r="AP47" i="6"/>
  <c r="AP11" i="6"/>
  <c r="AO74" i="6"/>
  <c r="AO92" i="6" s="1"/>
  <c r="X74" i="6"/>
  <c r="X92" i="6" s="1"/>
  <c r="Y47" i="6"/>
  <c r="Y11" i="6"/>
  <c r="Z48" i="6"/>
  <c r="AQ48" i="6"/>
  <c r="AR50" i="6"/>
  <c r="CS83" i="11" l="1"/>
  <c r="CS10" i="11"/>
  <c r="CS81" i="11"/>
  <c r="CR37" i="11"/>
  <c r="CR51" i="11"/>
  <c r="CR60" i="11"/>
  <c r="CS12" i="11"/>
  <c r="CS57" i="11"/>
  <c r="CS60" i="11"/>
  <c r="CS37" i="11"/>
  <c r="CS38" i="11" s="1"/>
  <c r="CS39" i="11"/>
  <c r="CR5" i="11"/>
  <c r="CR52" i="11"/>
  <c r="CS56" i="11"/>
  <c r="CS51" i="11"/>
  <c r="CR45" i="11"/>
  <c r="CS35" i="11"/>
  <c r="CS16" i="11"/>
  <c r="CS88" i="11"/>
  <c r="CR49" i="11"/>
  <c r="CR57" i="11"/>
  <c r="CS45" i="11"/>
  <c r="CP82" i="11"/>
  <c r="CP45" i="11"/>
  <c r="CP53" i="11"/>
  <c r="CP81" i="11"/>
  <c r="CO4" i="11"/>
  <c r="CO7" i="11" s="1"/>
  <c r="CO8" i="11" s="1"/>
  <c r="CS54" i="11"/>
  <c r="CS82" i="11"/>
  <c r="CS49" i="11"/>
  <c r="CR12" i="11"/>
  <c r="CR35" i="11"/>
  <c r="CR81" i="11"/>
  <c r="CU114" i="1"/>
  <c r="CU76" i="1"/>
  <c r="CU84" i="1"/>
  <c r="CU141" i="1"/>
  <c r="CU22" i="1"/>
  <c r="CU23" i="1"/>
  <c r="CU89" i="1"/>
  <c r="CU72" i="1"/>
  <c r="CU80" i="1"/>
  <c r="CU92" i="1"/>
  <c r="CU115" i="1"/>
  <c r="CU139" i="1"/>
  <c r="CU19" i="1"/>
  <c r="CU138" i="1"/>
  <c r="CU83" i="1"/>
  <c r="CU93" i="1"/>
  <c r="CU116" i="1"/>
  <c r="CU140" i="1"/>
  <c r="CU20" i="1"/>
  <c r="CU21" i="1"/>
  <c r="CU117" i="1"/>
  <c r="CU118" i="1"/>
  <c r="CU16" i="1"/>
  <c r="CR80" i="11"/>
  <c r="CR89" i="11"/>
  <c r="CS55" i="11"/>
  <c r="CS53" i="11"/>
  <c r="CS90" i="11"/>
  <c r="CR91" i="11"/>
  <c r="CR82" i="11"/>
  <c r="CR83" i="11"/>
  <c r="CS5" i="11"/>
  <c r="CR54" i="11"/>
  <c r="CS52" i="11"/>
  <c r="CS59" i="11"/>
  <c r="CS89" i="11"/>
  <c r="CR44" i="11"/>
  <c r="CR39" i="11"/>
  <c r="CR58" i="11"/>
  <c r="CR59" i="11"/>
  <c r="CS44" i="11"/>
  <c r="CP36" i="11"/>
  <c r="CS4" i="11"/>
  <c r="CS80" i="11"/>
  <c r="CR90" i="11"/>
  <c r="CS58" i="11"/>
  <c r="CR4" i="11"/>
  <c r="CR56" i="11"/>
  <c r="CS46" i="11"/>
  <c r="CP7" i="11"/>
  <c r="CP8" i="11" s="1"/>
  <c r="CM75" i="11"/>
  <c r="CN59" i="11"/>
  <c r="CM16" i="11"/>
  <c r="CN52" i="11"/>
  <c r="CP54" i="11"/>
  <c r="CN80" i="11"/>
  <c r="CN88" i="11"/>
  <c r="CN44" i="11"/>
  <c r="CM59" i="11"/>
  <c r="CQ88" i="11"/>
  <c r="CP44" i="11"/>
  <c r="CO51" i="11"/>
  <c r="CP51" i="11"/>
  <c r="CM48" i="11"/>
  <c r="CM52" i="11"/>
  <c r="CP39" i="11"/>
  <c r="CN60" i="11"/>
  <c r="CN49" i="11"/>
  <c r="CQ35" i="11"/>
  <c r="CM37" i="11"/>
  <c r="CQ81" i="11"/>
  <c r="CM81" i="11"/>
  <c r="CO39" i="11"/>
  <c r="CQ16" i="11"/>
  <c r="CM60" i="11"/>
  <c r="CQ51" i="11"/>
  <c r="CN81" i="11"/>
  <c r="CM51" i="11"/>
  <c r="CN45" i="11"/>
  <c r="CM4" i="11"/>
  <c r="CM7" i="11" s="1"/>
  <c r="CM8" i="11" s="1"/>
  <c r="CM80" i="11"/>
  <c r="CQ45" i="11"/>
  <c r="CM49" i="11"/>
  <c r="CM35" i="11"/>
  <c r="CN4" i="11"/>
  <c r="CN7" i="11" s="1"/>
  <c r="CN8" i="11" s="1"/>
  <c r="CQ83" i="11"/>
  <c r="CQ89" i="11"/>
  <c r="CM46" i="11"/>
  <c r="CM82" i="11"/>
  <c r="CN55" i="11"/>
  <c r="CN89" i="11"/>
  <c r="CN82" i="11"/>
  <c r="CM47" i="11"/>
  <c r="CQ4" i="11"/>
  <c r="CN91" i="11"/>
  <c r="CM91" i="11"/>
  <c r="CN53" i="11"/>
  <c r="CM88" i="11"/>
  <c r="CQ53" i="11"/>
  <c r="CP16" i="11"/>
  <c r="CM12" i="11"/>
  <c r="CM90" i="11"/>
  <c r="CQ55" i="11"/>
  <c r="CN56" i="11"/>
  <c r="CM45" i="11"/>
  <c r="CQ57" i="11"/>
  <c r="CN57" i="11"/>
  <c r="CQ60" i="11"/>
  <c r="CP37" i="11"/>
  <c r="CQ12" i="11"/>
  <c r="CO44" i="11"/>
  <c r="CQ52" i="11"/>
  <c r="CM55" i="11"/>
  <c r="CN35" i="11"/>
  <c r="CQ58" i="11"/>
  <c r="CN90" i="11"/>
  <c r="CQ46" i="11"/>
  <c r="CQ10" i="11"/>
  <c r="CQ39" i="11"/>
  <c r="CO46" i="11"/>
  <c r="CQ54" i="11"/>
  <c r="CO54" i="11"/>
  <c r="CQ5" i="11"/>
  <c r="CN16" i="11"/>
  <c r="CQ91" i="11"/>
  <c r="CM50" i="11"/>
  <c r="CM57" i="11"/>
  <c r="CQ44" i="11"/>
  <c r="CN46" i="11"/>
  <c r="CO58" i="11"/>
  <c r="CQ80" i="11"/>
  <c r="CQ82" i="11"/>
  <c r="CN37" i="11"/>
  <c r="CQ56" i="11"/>
  <c r="CQ37" i="11"/>
  <c r="CR38" i="11" s="1"/>
  <c r="CM44" i="11"/>
  <c r="CQ90" i="11"/>
  <c r="CM56" i="11"/>
  <c r="CN10" i="11"/>
  <c r="CN58" i="11"/>
  <c r="CM53" i="11"/>
  <c r="CO37" i="11"/>
  <c r="CO80" i="11"/>
  <c r="Z59" i="12"/>
  <c r="AQ84" i="8"/>
  <c r="AQ92" i="12"/>
  <c r="Z83" i="7"/>
  <c r="Z92" i="12"/>
  <c r="CM24" i="8"/>
  <c r="CM26" i="8" s="1"/>
  <c r="CM27" i="8" s="1"/>
  <c r="AN24" i="11"/>
  <c r="AN26" i="11" s="1"/>
  <c r="AN27" i="11" s="1"/>
  <c r="AN24" i="5"/>
  <c r="AN26" i="5" s="1"/>
  <c r="AN27" i="5" s="1"/>
  <c r="AJ24" i="11"/>
  <c r="AJ26" i="11" s="1"/>
  <c r="AJ27" i="11" s="1"/>
  <c r="AI24" i="7"/>
  <c r="AI26" i="7" s="1"/>
  <c r="AI27" i="7" s="1"/>
  <c r="AU24" i="5"/>
  <c r="AU26" i="5" s="1"/>
  <c r="AU27" i="5" s="1"/>
  <c r="AN24" i="7"/>
  <c r="AN26" i="7" s="1"/>
  <c r="AN27" i="7" s="1"/>
  <c r="AI24" i="11"/>
  <c r="AI26" i="11" s="1"/>
  <c r="AI27" i="11" s="1"/>
  <c r="AG24" i="11"/>
  <c r="AG26" i="11" s="1"/>
  <c r="AG27" i="11" s="1"/>
  <c r="AT24" i="5"/>
  <c r="AT26" i="5" s="1"/>
  <c r="AT27" i="5" s="1"/>
  <c r="AO24" i="11"/>
  <c r="AO26" i="11" s="1"/>
  <c r="AO27" i="11" s="1"/>
  <c r="AO24" i="5"/>
  <c r="AO26" i="5" s="1"/>
  <c r="AO27" i="5" s="1"/>
  <c r="W24" i="5"/>
  <c r="W26" i="5" s="1"/>
  <c r="W27" i="5" s="1"/>
  <c r="AI24" i="6"/>
  <c r="AI26" i="6" s="1"/>
  <c r="AI27" i="6" s="1"/>
  <c r="Y26" i="8"/>
  <c r="Y27" i="8" s="1"/>
  <c r="P24" i="7"/>
  <c r="CM24" i="7" s="1"/>
  <c r="CM26" i="7" s="1"/>
  <c r="CM27" i="7" s="1"/>
  <c r="CM24" i="5"/>
  <c r="CM26" i="5" s="1"/>
  <c r="CM27" i="5" s="1"/>
  <c r="AY50" i="11"/>
  <c r="AZ50" i="11" s="1"/>
  <c r="AM14" i="11"/>
  <c r="AM18" i="11" s="1"/>
  <c r="AM22" i="11" s="1"/>
  <c r="AM24" i="11" s="1"/>
  <c r="L26" i="8"/>
  <c r="L27" i="8" s="1"/>
  <c r="BA93" i="5"/>
  <c r="CP75" i="5"/>
  <c r="AH25" i="13"/>
  <c r="CP80" i="7"/>
  <c r="AW83" i="7"/>
  <c r="CP83" i="7" s="1"/>
  <c r="CP80" i="11"/>
  <c r="CP81" i="5"/>
  <c r="AW84" i="5"/>
  <c r="CP84" i="5" s="1"/>
  <c r="AM93" i="11"/>
  <c r="W26" i="7"/>
  <c r="W27" i="7" s="1"/>
  <c r="AM26" i="7"/>
  <c r="AM27" i="7" s="1"/>
  <c r="AX47" i="11"/>
  <c r="AX75" i="11" s="1"/>
  <c r="AX93" i="11" s="1"/>
  <c r="AX11" i="11"/>
  <c r="AX14" i="11" s="1"/>
  <c r="AX18" i="11" s="1"/>
  <c r="AX22" i="11" s="1"/>
  <c r="AW12" i="11"/>
  <c r="AV12" i="11"/>
  <c r="AA12" i="8"/>
  <c r="AC81" i="8"/>
  <c r="AC84" i="8" s="1"/>
  <c r="CN84" i="8" s="1"/>
  <c r="AB12" i="8"/>
  <c r="AR81" i="8"/>
  <c r="AV12" i="7"/>
  <c r="AA80" i="7"/>
  <c r="Y12" i="7"/>
  <c r="Y14" i="7" s="1"/>
  <c r="Y18" i="7" s="1"/>
  <c r="Y22" i="7" s="1"/>
  <c r="Y24" i="7" s="1"/>
  <c r="AN26" i="6"/>
  <c r="AN27" i="6" s="1"/>
  <c r="Y12" i="6"/>
  <c r="AO14" i="6"/>
  <c r="AO18" i="6" s="1"/>
  <c r="AO22" i="6" s="1"/>
  <c r="AA83" i="6"/>
  <c r="BC47" i="5"/>
  <c r="BC11" i="5"/>
  <c r="BC14" i="5" s="1"/>
  <c r="BC18" i="5" s="1"/>
  <c r="BC22" i="5" s="1"/>
  <c r="BC24" i="5" s="1"/>
  <c r="BE50" i="5"/>
  <c r="BD48" i="5"/>
  <c r="BB26" i="5"/>
  <c r="BB27" i="5" s="1"/>
  <c r="BA26" i="5"/>
  <c r="BA27" i="5" s="1"/>
  <c r="AW11" i="5"/>
  <c r="AA84" i="5"/>
  <c r="Z11" i="5"/>
  <c r="AV12" i="5"/>
  <c r="AV14" i="5" s="1"/>
  <c r="AV18" i="5" s="1"/>
  <c r="AV22" i="5" s="1"/>
  <c r="AV24" i="5" s="1"/>
  <c r="Y12" i="5"/>
  <c r="X14" i="5"/>
  <c r="X18" i="5" s="1"/>
  <c r="X22" i="5" s="1"/>
  <c r="X24" i="5" s="1"/>
  <c r="AB18" i="12"/>
  <c r="AW12" i="6"/>
  <c r="CP12" i="6" s="1"/>
  <c r="AK47" i="11"/>
  <c r="AK11" i="11"/>
  <c r="AK14" i="11" s="1"/>
  <c r="AK18" i="11" s="1"/>
  <c r="AK22" i="11" s="1"/>
  <c r="AL11" i="11"/>
  <c r="AL14" i="11" s="1"/>
  <c r="AL18" i="11" s="1"/>
  <c r="AL22" i="11" s="1"/>
  <c r="AL47" i="11"/>
  <c r="S8" i="7"/>
  <c r="S14" i="7"/>
  <c r="S18" i="7" s="1"/>
  <c r="S22" i="7" s="1"/>
  <c r="S24" i="7" s="1"/>
  <c r="AH8" i="11"/>
  <c r="AH14" i="11"/>
  <c r="AH18" i="11" s="1"/>
  <c r="AH22" i="11" s="1"/>
  <c r="AR48" i="11"/>
  <c r="AP14" i="11"/>
  <c r="AP18" i="11" s="1"/>
  <c r="AP22" i="11" s="1"/>
  <c r="AP24" i="11" s="1"/>
  <c r="AO93" i="11"/>
  <c r="Y93" i="11"/>
  <c r="AP75" i="11"/>
  <c r="AP93" i="11" s="1"/>
  <c r="AA47" i="11"/>
  <c r="AA11" i="11"/>
  <c r="Z26" i="11"/>
  <c r="Z27" i="11" s="1"/>
  <c r="Y26" i="11"/>
  <c r="Y27" i="11" s="1"/>
  <c r="AQ47" i="11"/>
  <c r="AQ11" i="11"/>
  <c r="AB48" i="11"/>
  <c r="Z75" i="11"/>
  <c r="Z93" i="11" s="1"/>
  <c r="Z75" i="8"/>
  <c r="Z93" i="8" s="1"/>
  <c r="AC50" i="8"/>
  <c r="CN50" i="8" s="1"/>
  <c r="AB48" i="8"/>
  <c r="Z26" i="8"/>
  <c r="Z27" i="8" s="1"/>
  <c r="AA47" i="8"/>
  <c r="AA11" i="8"/>
  <c r="AP26" i="7"/>
  <c r="AP27" i="7" s="1"/>
  <c r="Z47" i="7"/>
  <c r="Z11" i="7"/>
  <c r="AS50" i="7"/>
  <c r="AR48" i="7"/>
  <c r="AP75" i="7"/>
  <c r="AO26" i="7"/>
  <c r="AO27" i="7" s="1"/>
  <c r="AQ47" i="7"/>
  <c r="AQ11" i="7"/>
  <c r="AQ14" i="7" s="1"/>
  <c r="AQ18" i="7" s="1"/>
  <c r="AQ22" i="7" s="1"/>
  <c r="AQ24" i="7" s="1"/>
  <c r="AB50" i="7"/>
  <c r="AA48" i="7"/>
  <c r="Y75" i="7"/>
  <c r="Y92" i="7" s="1"/>
  <c r="X26" i="7"/>
  <c r="X27" i="7" s="1"/>
  <c r="Z47" i="6"/>
  <c r="Z11" i="6"/>
  <c r="AP74" i="6"/>
  <c r="AS50" i="6"/>
  <c r="AR48" i="6"/>
  <c r="AA48" i="6"/>
  <c r="AQ47" i="6"/>
  <c r="AQ11" i="6"/>
  <c r="AQ14" i="6" s="1"/>
  <c r="AQ18" i="6" s="1"/>
  <c r="AQ22" i="6" s="1"/>
  <c r="AQ24" i="6" s="1"/>
  <c r="X26" i="6"/>
  <c r="X27" i="6" s="1"/>
  <c r="Y74" i="6"/>
  <c r="Y92" i="6" s="1"/>
  <c r="AP14" i="6"/>
  <c r="AP18" i="6" s="1"/>
  <c r="AP22" i="6" s="1"/>
  <c r="AP24" i="6" s="1"/>
  <c r="CS7" i="11" l="1"/>
  <c r="CR7" i="11"/>
  <c r="CR8" i="11" s="1"/>
  <c r="CS36" i="11"/>
  <c r="CQ36" i="11"/>
  <c r="CR36" i="11"/>
  <c r="AA59" i="12"/>
  <c r="CM14" i="11"/>
  <c r="CM18" i="11" s="1"/>
  <c r="CM22" i="11" s="1"/>
  <c r="CM26" i="11" s="1"/>
  <c r="CM27" i="11" s="1"/>
  <c r="CQ7" i="11"/>
  <c r="CQ8" i="11" s="1"/>
  <c r="CQ38" i="11"/>
  <c r="CP38" i="11"/>
  <c r="AR84" i="8"/>
  <c r="AR12" i="8" s="1"/>
  <c r="AR92" i="12"/>
  <c r="AA83" i="7"/>
  <c r="AA92" i="12"/>
  <c r="AH24" i="11"/>
  <c r="AH26" i="11" s="1"/>
  <c r="AH27" i="11" s="1"/>
  <c r="AX24" i="11"/>
  <c r="AX26" i="11" s="1"/>
  <c r="AX27" i="11" s="1"/>
  <c r="AO24" i="6"/>
  <c r="AO26" i="6" s="1"/>
  <c r="AO27" i="6" s="1"/>
  <c r="AK24" i="11"/>
  <c r="AK26" i="11" s="1"/>
  <c r="AK27" i="11" s="1"/>
  <c r="AY48" i="11"/>
  <c r="AY47" i="11" s="1"/>
  <c r="AL24" i="11"/>
  <c r="AL26" i="11" s="1"/>
  <c r="AL27" i="11" s="1"/>
  <c r="O26" i="5"/>
  <c r="O27" i="5" s="1"/>
  <c r="AM26" i="11"/>
  <c r="AM27" i="11" s="1"/>
  <c r="P26" i="7"/>
  <c r="P27" i="7" s="1"/>
  <c r="CN81" i="8"/>
  <c r="AG17" i="13"/>
  <c r="AJ10" i="13"/>
  <c r="AI25" i="13"/>
  <c r="AQ14" i="11"/>
  <c r="AQ18" i="11" s="1"/>
  <c r="AQ22" i="11" s="1"/>
  <c r="CP12" i="11"/>
  <c r="S26" i="7"/>
  <c r="S27" i="7" s="1"/>
  <c r="Y26" i="7"/>
  <c r="Y27" i="7" s="1"/>
  <c r="BA50" i="11"/>
  <c r="CP50" i="11" s="1"/>
  <c r="AZ48" i="11"/>
  <c r="AS81" i="8"/>
  <c r="AD81" i="8"/>
  <c r="AD84" i="8" s="1"/>
  <c r="AC12" i="8"/>
  <c r="CN12" i="8" s="1"/>
  <c r="AQ12" i="8"/>
  <c r="AB80" i="7"/>
  <c r="AB92" i="12" s="1"/>
  <c r="Z12" i="7"/>
  <c r="Z14" i="7" s="1"/>
  <c r="Z18" i="7" s="1"/>
  <c r="Z22" i="7" s="1"/>
  <c r="Z24" i="7" s="1"/>
  <c r="AW12" i="7"/>
  <c r="CP12" i="7" s="1"/>
  <c r="Y14" i="6"/>
  <c r="Y18" i="6" s="1"/>
  <c r="Y22" i="6" s="1"/>
  <c r="Z12" i="6"/>
  <c r="Z14" i="6" s="1"/>
  <c r="Z18" i="6" s="1"/>
  <c r="Z22" i="6" s="1"/>
  <c r="BC26" i="5"/>
  <c r="BC27" i="5" s="1"/>
  <c r="BD47" i="5"/>
  <c r="BD75" i="5" s="1"/>
  <c r="BD93" i="5" s="1"/>
  <c r="BD11" i="5"/>
  <c r="BC75" i="5"/>
  <c r="BC93" i="5" s="1"/>
  <c r="BF50" i="5"/>
  <c r="BE48" i="5"/>
  <c r="AV26" i="5"/>
  <c r="AV27" i="5" s="1"/>
  <c r="AA11" i="5"/>
  <c r="Z12" i="5"/>
  <c r="Y14" i="5"/>
  <c r="Y18" i="5" s="1"/>
  <c r="Y22" i="5" s="1"/>
  <c r="AW12" i="5"/>
  <c r="CP12" i="5" s="1"/>
  <c r="X26" i="5"/>
  <c r="X27" i="5" s="1"/>
  <c r="AC18" i="12"/>
  <c r="AK10" i="13" s="1"/>
  <c r="AF17" i="13"/>
  <c r="AL75" i="11"/>
  <c r="AL93" i="11" s="1"/>
  <c r="AK75" i="11"/>
  <c r="AK93" i="11" s="1"/>
  <c r="AS48" i="11"/>
  <c r="AB47" i="11"/>
  <c r="AB11" i="11"/>
  <c r="AQ75" i="11"/>
  <c r="AA14" i="11"/>
  <c r="AA18" i="11" s="1"/>
  <c r="AA22" i="11" s="1"/>
  <c r="AA24" i="11" s="1"/>
  <c r="AR47" i="11"/>
  <c r="AR11" i="11"/>
  <c r="AR14" i="11" s="1"/>
  <c r="AR18" i="11" s="1"/>
  <c r="AR22" i="11" s="1"/>
  <c r="AR24" i="11" s="1"/>
  <c r="AD48" i="11"/>
  <c r="AC48" i="11"/>
  <c r="AA75" i="11"/>
  <c r="CO50" i="11"/>
  <c r="AB47" i="8"/>
  <c r="AB11" i="8"/>
  <c r="AD50" i="8"/>
  <c r="AC48" i="8"/>
  <c r="CN48" i="8" s="1"/>
  <c r="AA14" i="8"/>
  <c r="AA18" i="8" s="1"/>
  <c r="AA22" i="8" s="1"/>
  <c r="AA24" i="8" s="1"/>
  <c r="AA75" i="8"/>
  <c r="AQ75" i="7"/>
  <c r="AQ92" i="7" s="1"/>
  <c r="AP92" i="7"/>
  <c r="AT50" i="7"/>
  <c r="AS48" i="7"/>
  <c r="AA47" i="7"/>
  <c r="AA11" i="7"/>
  <c r="AC50" i="7"/>
  <c r="CN50" i="7" s="1"/>
  <c r="AB48" i="7"/>
  <c r="AQ26" i="7"/>
  <c r="AQ27" i="7" s="1"/>
  <c r="AR47" i="7"/>
  <c r="AR11" i="7"/>
  <c r="AR14" i="7" s="1"/>
  <c r="AR18" i="7" s="1"/>
  <c r="AR22" i="7" s="1"/>
  <c r="AR24" i="7" s="1"/>
  <c r="Z75" i="7"/>
  <c r="Z92" i="7" s="1"/>
  <c r="AP92" i="6"/>
  <c r="Z74" i="6"/>
  <c r="Z92" i="6" s="1"/>
  <c r="AQ26" i="6"/>
  <c r="AQ27" i="6" s="1"/>
  <c r="AA47" i="6"/>
  <c r="AA11" i="6"/>
  <c r="AR47" i="6"/>
  <c r="AR11" i="6"/>
  <c r="AR14" i="6" s="1"/>
  <c r="AR18" i="6" s="1"/>
  <c r="AR22" i="6" s="1"/>
  <c r="AR24" i="6" s="1"/>
  <c r="AQ74" i="6"/>
  <c r="AQ92" i="6" s="1"/>
  <c r="CN50" i="6"/>
  <c r="AB48" i="6"/>
  <c r="AB59" i="12" s="1"/>
  <c r="AT50" i="6"/>
  <c r="AS48" i="6"/>
  <c r="CS8" i="11" l="1"/>
  <c r="AS84" i="8"/>
  <c r="AS92" i="12"/>
  <c r="Y24" i="6"/>
  <c r="Y26" i="6" s="1"/>
  <c r="Y27" i="6" s="1"/>
  <c r="AQ24" i="11"/>
  <c r="AQ26" i="11" s="1"/>
  <c r="AQ27" i="11" s="1"/>
  <c r="Z24" i="6"/>
  <c r="Z26" i="6" s="1"/>
  <c r="Z27" i="6" s="1"/>
  <c r="AY11" i="11"/>
  <c r="AY14" i="11" s="1"/>
  <c r="AY18" i="11" s="1"/>
  <c r="AY22" i="11" s="1"/>
  <c r="AY24" i="11" s="1"/>
  <c r="Y24" i="5"/>
  <c r="Y26" i="5" s="1"/>
  <c r="Y27" i="5" s="1"/>
  <c r="AB14" i="11"/>
  <c r="AB18" i="11" s="1"/>
  <c r="AB22" i="11" s="1"/>
  <c r="AB14" i="8"/>
  <c r="AB18" i="8" s="1"/>
  <c r="AB22" i="8" s="1"/>
  <c r="AB24" i="8" s="1"/>
  <c r="AB83" i="7"/>
  <c r="AB83" i="6"/>
  <c r="AB84" i="5"/>
  <c r="AJ25" i="13"/>
  <c r="CO81" i="8"/>
  <c r="AQ93" i="11"/>
  <c r="AY75" i="11"/>
  <c r="Z26" i="7"/>
  <c r="Z27" i="7" s="1"/>
  <c r="AZ47" i="11"/>
  <c r="AZ75" i="11" s="1"/>
  <c r="AZ93" i="11" s="1"/>
  <c r="AZ11" i="11"/>
  <c r="AZ14" i="11" s="1"/>
  <c r="AZ18" i="11" s="1"/>
  <c r="AZ22" i="11" s="1"/>
  <c r="BB50" i="11"/>
  <c r="BA48" i="11"/>
  <c r="AT81" i="8"/>
  <c r="AA12" i="7"/>
  <c r="AA14" i="7" s="1"/>
  <c r="AA18" i="7" s="1"/>
  <c r="AA22" i="7" s="1"/>
  <c r="AA24" i="7" s="1"/>
  <c r="AC80" i="7"/>
  <c r="AP26" i="6"/>
  <c r="AP27" i="6" s="1"/>
  <c r="AA12" i="6"/>
  <c r="AA14" i="6" s="1"/>
  <c r="AA18" i="6" s="1"/>
  <c r="AA22" i="6" s="1"/>
  <c r="AA24" i="6" s="1"/>
  <c r="AC83" i="6"/>
  <c r="BE11" i="5"/>
  <c r="BE14" i="5" s="1"/>
  <c r="BE18" i="5" s="1"/>
  <c r="BE22" i="5" s="1"/>
  <c r="BE24" i="5" s="1"/>
  <c r="BE47" i="5"/>
  <c r="BF48" i="5"/>
  <c r="BG50" i="5"/>
  <c r="BD14" i="5"/>
  <c r="BD18" i="5" s="1"/>
  <c r="BD22" i="5" s="1"/>
  <c r="AA12" i="5"/>
  <c r="AC84" i="5"/>
  <c r="AB11" i="5"/>
  <c r="AW14" i="5"/>
  <c r="AW18" i="5" s="1"/>
  <c r="AW22" i="5" s="1"/>
  <c r="AW24" i="5" s="1"/>
  <c r="Z14" i="5"/>
  <c r="Z18" i="5" s="1"/>
  <c r="Z22" i="5" s="1"/>
  <c r="AD18" i="12"/>
  <c r="AD48" i="8"/>
  <c r="AD47" i="8" s="1"/>
  <c r="AE50" i="8"/>
  <c r="AR26" i="11"/>
  <c r="AR27" i="11" s="1"/>
  <c r="AA93" i="11"/>
  <c r="AD47" i="11"/>
  <c r="AD11" i="11"/>
  <c r="AD14" i="11" s="1"/>
  <c r="AD18" i="11" s="1"/>
  <c r="AD22" i="11" s="1"/>
  <c r="AD24" i="11" s="1"/>
  <c r="AR75" i="11"/>
  <c r="AA26" i="11"/>
  <c r="AA27" i="11" s="1"/>
  <c r="AB75" i="11"/>
  <c r="AT48" i="11"/>
  <c r="AC47" i="11"/>
  <c r="AC11" i="11"/>
  <c r="AC14" i="11" s="1"/>
  <c r="AC18" i="11" s="1"/>
  <c r="AC22" i="11" s="1"/>
  <c r="AC24" i="11" s="1"/>
  <c r="CO48" i="11"/>
  <c r="AP26" i="11"/>
  <c r="AP27" i="11" s="1"/>
  <c r="AS47" i="11"/>
  <c r="AS11" i="11"/>
  <c r="AS14" i="11" s="1"/>
  <c r="AS18" i="11" s="1"/>
  <c r="AS22" i="11" s="1"/>
  <c r="AS24" i="11" s="1"/>
  <c r="AC47" i="8"/>
  <c r="AC11" i="8"/>
  <c r="CN11" i="8" s="1"/>
  <c r="CN14" i="8" s="1"/>
  <c r="CN18" i="8" s="1"/>
  <c r="CN22" i="8" s="1"/>
  <c r="AA93" i="8"/>
  <c r="AB75" i="8"/>
  <c r="AB93" i="8" s="1"/>
  <c r="AT48" i="7"/>
  <c r="AU50" i="7"/>
  <c r="AD50" i="7"/>
  <c r="AD48" i="7" s="1"/>
  <c r="AC48" i="7"/>
  <c r="AA75" i="7"/>
  <c r="AR75" i="7"/>
  <c r="AR92" i="7" s="1"/>
  <c r="AB47" i="7"/>
  <c r="AB11" i="7"/>
  <c r="AR26" i="7"/>
  <c r="AR27" i="7" s="1"/>
  <c r="AS47" i="7"/>
  <c r="AS11" i="7"/>
  <c r="AS14" i="7" s="1"/>
  <c r="AS18" i="7" s="1"/>
  <c r="AS22" i="7" s="1"/>
  <c r="AS24" i="7" s="1"/>
  <c r="AD48" i="6"/>
  <c r="AC48" i="6"/>
  <c r="AS47" i="6"/>
  <c r="AS11" i="6"/>
  <c r="AS14" i="6" s="1"/>
  <c r="AS18" i="6" s="1"/>
  <c r="AS22" i="6" s="1"/>
  <c r="AS24" i="6" s="1"/>
  <c r="AR26" i="6"/>
  <c r="AR27" i="6" s="1"/>
  <c r="AA74" i="6"/>
  <c r="AT48" i="6"/>
  <c r="AU50" i="6"/>
  <c r="AR74" i="6"/>
  <c r="AR92" i="6" s="1"/>
  <c r="AB47" i="6"/>
  <c r="AB11" i="6"/>
  <c r="R72" i="1"/>
  <c r="T72" i="1"/>
  <c r="U72" i="1"/>
  <c r="V72" i="1"/>
  <c r="W72" i="1"/>
  <c r="X72" i="1"/>
  <c r="Y72" i="1"/>
  <c r="Z72" i="1"/>
  <c r="AA72" i="1"/>
  <c r="AB72" i="1"/>
  <c r="AC72" i="1"/>
  <c r="AD72" i="1"/>
  <c r="AE72" i="1"/>
  <c r="AF72" i="1"/>
  <c r="AG72" i="1"/>
  <c r="AH72" i="1"/>
  <c r="AI72" i="1"/>
  <c r="AJ72" i="1"/>
  <c r="AK72" i="1"/>
  <c r="AL72" i="1"/>
  <c r="AM72" i="1"/>
  <c r="AN72" i="1"/>
  <c r="AO72" i="1"/>
  <c r="AP72" i="1"/>
  <c r="AQ72" i="1"/>
  <c r="AR72" i="1"/>
  <c r="AS72" i="1"/>
  <c r="AT72" i="1"/>
  <c r="AU72" i="1"/>
  <c r="AV72" i="1"/>
  <c r="AW72" i="1"/>
  <c r="R89" i="1"/>
  <c r="S89" i="1"/>
  <c r="T89" i="1"/>
  <c r="U89" i="1"/>
  <c r="V89" i="1"/>
  <c r="W89" i="1"/>
  <c r="X89" i="1"/>
  <c r="Y89" i="1"/>
  <c r="Z89" i="1"/>
  <c r="AA89" i="1"/>
  <c r="AB89" i="1"/>
  <c r="AC89" i="1"/>
  <c r="AD89" i="1"/>
  <c r="AE89" i="1"/>
  <c r="AF89" i="1"/>
  <c r="AG89" i="1"/>
  <c r="AH89" i="1"/>
  <c r="AI89" i="1"/>
  <c r="AJ89" i="1"/>
  <c r="AK89" i="1"/>
  <c r="AL89" i="1"/>
  <c r="AM89" i="1"/>
  <c r="AN89" i="1"/>
  <c r="AO89" i="1"/>
  <c r="AP89" i="1"/>
  <c r="AQ89" i="1"/>
  <c r="AR89" i="1"/>
  <c r="AS89" i="1"/>
  <c r="AT89" i="1"/>
  <c r="AU89" i="1"/>
  <c r="AV89" i="1"/>
  <c r="AW89" i="1"/>
  <c r="R75" i="1"/>
  <c r="AD75" i="1" s="1"/>
  <c r="AP75" i="1" s="1"/>
  <c r="BB75" i="1" s="1"/>
  <c r="S75" i="1"/>
  <c r="AE75" i="1" s="1"/>
  <c r="AQ75" i="1" s="1"/>
  <c r="BC75" i="1" s="1"/>
  <c r="T75" i="1"/>
  <c r="AF75" i="1" s="1"/>
  <c r="AR75" i="1" s="1"/>
  <c r="BD75" i="1" s="1"/>
  <c r="U75" i="1"/>
  <c r="AG75" i="1" s="1"/>
  <c r="AS75" i="1" s="1"/>
  <c r="BE75" i="1" s="1"/>
  <c r="V75" i="1"/>
  <c r="AH75" i="1" s="1"/>
  <c r="AT75" i="1" s="1"/>
  <c r="BF75" i="1" s="1"/>
  <c r="W75" i="1"/>
  <c r="AI75" i="1" s="1"/>
  <c r="AU75" i="1" s="1"/>
  <c r="BG75" i="1" s="1"/>
  <c r="X75" i="1"/>
  <c r="AJ75" i="1" s="1"/>
  <c r="AV75" i="1" s="1"/>
  <c r="BH75" i="1" s="1"/>
  <c r="Y75" i="1"/>
  <c r="AK75" i="1" s="1"/>
  <c r="AW75" i="1" s="1"/>
  <c r="BI75" i="1" s="1"/>
  <c r="BU75" i="1" s="1"/>
  <c r="CG75" i="1" s="1"/>
  <c r="Z75" i="1"/>
  <c r="AL75" i="1" s="1"/>
  <c r="AX75" i="1" s="1"/>
  <c r="AA75" i="1"/>
  <c r="AM75" i="1" s="1"/>
  <c r="AY75" i="1" s="1"/>
  <c r="AB75" i="1"/>
  <c r="AN75" i="1" s="1"/>
  <c r="AZ75" i="1" s="1"/>
  <c r="AC75" i="1"/>
  <c r="AO75" i="1" s="1"/>
  <c r="BA75" i="1" s="1"/>
  <c r="X77" i="1"/>
  <c r="Y77" i="1"/>
  <c r="Z77" i="1"/>
  <c r="AA77" i="1"/>
  <c r="AB77" i="1"/>
  <c r="AC77" i="1"/>
  <c r="AD77" i="1" s="1"/>
  <c r="AE77" i="1" s="1"/>
  <c r="AF77" i="1" s="1"/>
  <c r="AG77" i="1" s="1"/>
  <c r="AH77" i="1" s="1"/>
  <c r="AI77" i="1" s="1"/>
  <c r="AJ77" i="1" s="1"/>
  <c r="AK77" i="1" s="1"/>
  <c r="AL77" i="1" s="1"/>
  <c r="AM77" i="1" s="1"/>
  <c r="AN77" i="1" s="1"/>
  <c r="AO77" i="1" s="1"/>
  <c r="AP77" i="1" s="1"/>
  <c r="AQ77" i="1" s="1"/>
  <c r="AR77" i="1" s="1"/>
  <c r="AS77" i="1" s="1"/>
  <c r="AT77" i="1" s="1"/>
  <c r="AU77" i="1" s="1"/>
  <c r="AV77" i="1" s="1"/>
  <c r="AW77" i="1" s="1"/>
  <c r="AX77" i="1" s="1"/>
  <c r="AY77" i="1" s="1"/>
  <c r="AZ77" i="1" s="1"/>
  <c r="BA77" i="1" s="1"/>
  <c r="BB77" i="1" s="1"/>
  <c r="AC83" i="7" l="1"/>
  <c r="CN83" i="7" s="1"/>
  <c r="AC92" i="12"/>
  <c r="AC59" i="12"/>
  <c r="AD59" i="12"/>
  <c r="AT84" i="8"/>
  <c r="AT12" i="8" s="1"/>
  <c r="AT92" i="12"/>
  <c r="AZ24" i="11"/>
  <c r="AZ26" i="11" s="1"/>
  <c r="AZ27" i="11" s="1"/>
  <c r="Z24" i="5"/>
  <c r="Z26" i="5" s="1"/>
  <c r="Z27" i="5" s="1"/>
  <c r="BD24" i="5"/>
  <c r="BD26" i="5" s="1"/>
  <c r="BD27" i="5" s="1"/>
  <c r="AB24" i="11"/>
  <c r="AB26" i="11" s="1"/>
  <c r="AB27" i="11" s="1"/>
  <c r="BM75" i="1"/>
  <c r="BY75" i="1" s="1"/>
  <c r="CK75" i="1" s="1"/>
  <c r="BA74" i="1"/>
  <c r="BQ75" i="1"/>
  <c r="CC75" i="1" s="1"/>
  <c r="BC77" i="1"/>
  <c r="BD77" i="1" s="1"/>
  <c r="BE77" i="1" s="1"/>
  <c r="BF77" i="1" s="1"/>
  <c r="BG77" i="1" s="1"/>
  <c r="BH77" i="1" s="1"/>
  <c r="BI77" i="1" s="1"/>
  <c r="BJ77" i="1" s="1"/>
  <c r="BK77" i="1" s="1"/>
  <c r="BL77" i="1" s="1"/>
  <c r="BM77" i="1" s="1"/>
  <c r="BN77" i="1" s="1"/>
  <c r="BL75" i="1"/>
  <c r="BX75" i="1" s="1"/>
  <c r="CJ75" i="1" s="1"/>
  <c r="AZ74" i="1"/>
  <c r="BT75" i="1"/>
  <c r="CF75" i="1" s="1"/>
  <c r="BP75" i="1"/>
  <c r="CB75" i="1" s="1"/>
  <c r="BK75" i="1"/>
  <c r="BW75" i="1" s="1"/>
  <c r="CI75" i="1" s="1"/>
  <c r="AY74" i="1"/>
  <c r="BS75" i="1"/>
  <c r="CE75" i="1" s="1"/>
  <c r="BO75" i="1"/>
  <c r="CA75" i="1" s="1"/>
  <c r="BJ75" i="1"/>
  <c r="BV75" i="1" s="1"/>
  <c r="CH75" i="1" s="1"/>
  <c r="AX74" i="1"/>
  <c r="BR75" i="1"/>
  <c r="CD75" i="1" s="1"/>
  <c r="BN75" i="1"/>
  <c r="AB26" i="8"/>
  <c r="AB27" i="8" s="1"/>
  <c r="CN11" i="11"/>
  <c r="CN14" i="11" s="1"/>
  <c r="CN18" i="11" s="1"/>
  <c r="CN22" i="11" s="1"/>
  <c r="AB93" i="11"/>
  <c r="CN80" i="7"/>
  <c r="CN80" i="6"/>
  <c r="CN83" i="6"/>
  <c r="CN81" i="5"/>
  <c r="CN84" i="5"/>
  <c r="CO75" i="1"/>
  <c r="CO72" i="1"/>
  <c r="CO89" i="1"/>
  <c r="AI17" i="13"/>
  <c r="AL10" i="13"/>
  <c r="AK25" i="13"/>
  <c r="CR118" i="1"/>
  <c r="CR75" i="1"/>
  <c r="CR89" i="1"/>
  <c r="CR77" i="1"/>
  <c r="CR72" i="1"/>
  <c r="AY26" i="11"/>
  <c r="AY27" i="11" s="1"/>
  <c r="CQ77" i="1"/>
  <c r="CQ118" i="1"/>
  <c r="CQ75" i="1"/>
  <c r="CQ89" i="1"/>
  <c r="CQ72" i="1"/>
  <c r="AY93" i="11"/>
  <c r="BA47" i="11"/>
  <c r="BA75" i="11" s="1"/>
  <c r="BA93" i="11" s="1"/>
  <c r="BA11" i="11"/>
  <c r="BC50" i="11"/>
  <c r="BB48" i="11"/>
  <c r="AD11" i="8"/>
  <c r="AU81" i="8"/>
  <c r="AS12" i="8"/>
  <c r="AD12" i="8"/>
  <c r="CO12" i="8" s="1"/>
  <c r="CO84" i="8"/>
  <c r="AB12" i="7"/>
  <c r="AD80" i="7"/>
  <c r="AD83" i="6"/>
  <c r="AB12" i="6"/>
  <c r="BH50" i="5"/>
  <c r="BG48" i="5"/>
  <c r="BE75" i="5"/>
  <c r="BE93" i="5" s="1"/>
  <c r="BF11" i="5"/>
  <c r="BF47" i="5"/>
  <c r="BF75" i="5" s="1"/>
  <c r="BF93" i="5" s="1"/>
  <c r="BE26" i="5"/>
  <c r="BE27" i="5" s="1"/>
  <c r="AW26" i="5"/>
  <c r="AW27" i="5" s="1"/>
  <c r="AD84" i="5"/>
  <c r="AC11" i="5"/>
  <c r="CN11" i="5" s="1"/>
  <c r="AB12" i="5"/>
  <c r="AA14" i="5"/>
  <c r="AA18" i="5" s="1"/>
  <c r="AA22" i="5" s="1"/>
  <c r="AA24" i="5" s="1"/>
  <c r="T91" i="12"/>
  <c r="T90" i="12" s="1"/>
  <c r="AE18" i="12"/>
  <c r="AH17" i="13"/>
  <c r="CP89" i="1"/>
  <c r="AF50" i="8"/>
  <c r="AE48" i="8"/>
  <c r="AE59" i="12" s="1"/>
  <c r="CO48" i="6"/>
  <c r="AU48" i="11"/>
  <c r="AR93" i="11"/>
  <c r="AC26" i="11"/>
  <c r="AC27" i="11" s="1"/>
  <c r="AS75" i="11"/>
  <c r="AS93" i="11" s="1"/>
  <c r="AC75" i="11"/>
  <c r="AC93" i="11" s="1"/>
  <c r="CO47" i="11"/>
  <c r="CO24" i="11"/>
  <c r="AT47" i="11"/>
  <c r="AT11" i="11"/>
  <c r="AT14" i="11" s="1"/>
  <c r="AT18" i="11" s="1"/>
  <c r="AT22" i="11" s="1"/>
  <c r="AT24" i="11" s="1"/>
  <c r="CO11" i="11"/>
  <c r="CO14" i="11" s="1"/>
  <c r="CO18" i="11" s="1"/>
  <c r="CO22" i="11" s="1"/>
  <c r="AD75" i="11"/>
  <c r="AD93" i="11" s="1"/>
  <c r="AD75" i="8"/>
  <c r="AD93" i="8" s="1"/>
  <c r="AC14" i="8"/>
  <c r="AC18" i="8" s="1"/>
  <c r="AC22" i="8" s="1"/>
  <c r="AC24" i="8" s="1"/>
  <c r="AA26" i="8"/>
  <c r="AA27" i="8" s="1"/>
  <c r="AC75" i="8"/>
  <c r="AC93" i="8" s="1"/>
  <c r="AD47" i="7"/>
  <c r="CO48" i="7"/>
  <c r="AB75" i="7"/>
  <c r="AB92" i="7" s="1"/>
  <c r="AS75" i="7"/>
  <c r="AS92" i="7" s="1"/>
  <c r="CO50" i="7"/>
  <c r="AU48" i="7"/>
  <c r="AV50" i="7"/>
  <c r="AS26" i="7"/>
  <c r="AS27" i="7" s="1"/>
  <c r="AA92" i="7"/>
  <c r="AC47" i="7"/>
  <c r="AC11" i="7"/>
  <c r="CN11" i="7" s="1"/>
  <c r="AT47" i="7"/>
  <c r="AT11" i="7"/>
  <c r="AT14" i="7" s="1"/>
  <c r="AT18" i="7" s="1"/>
  <c r="AT22" i="7" s="1"/>
  <c r="AT24" i="7" s="1"/>
  <c r="AB74" i="6"/>
  <c r="AB92" i="6" s="1"/>
  <c r="AT47" i="6"/>
  <c r="AT11" i="6"/>
  <c r="AT14" i="6" s="1"/>
  <c r="AT18" i="6" s="1"/>
  <c r="AT22" i="6" s="1"/>
  <c r="AT24" i="6" s="1"/>
  <c r="AA26" i="6"/>
  <c r="AA27" i="6" s="1"/>
  <c r="AD47" i="6"/>
  <c r="AS74" i="6"/>
  <c r="AS92" i="6" s="1"/>
  <c r="AA92" i="6"/>
  <c r="AU48" i="6"/>
  <c r="AV50" i="6"/>
  <c r="AC47" i="6"/>
  <c r="AC11" i="6"/>
  <c r="CN11" i="6" s="1"/>
  <c r="AS26" i="6"/>
  <c r="AS27" i="6" s="1"/>
  <c r="CO50" i="6"/>
  <c r="CP42" i="1"/>
  <c r="CP118" i="1"/>
  <c r="CO118" i="1"/>
  <c r="U105" i="1"/>
  <c r="CP72" i="1"/>
  <c r="CP77" i="1"/>
  <c r="CP75" i="1"/>
  <c r="M47" i="1"/>
  <c r="O47" i="1"/>
  <c r="N47" i="1"/>
  <c r="BZ75" i="1" l="1"/>
  <c r="CU75" i="1" s="1"/>
  <c r="CT75" i="1"/>
  <c r="M4" i="1"/>
  <c r="O4" i="1"/>
  <c r="O36" i="1"/>
  <c r="N4" i="1"/>
  <c r="N36" i="1"/>
  <c r="AU84" i="8"/>
  <c r="AU92" i="12"/>
  <c r="CO80" i="7"/>
  <c r="AD92" i="12"/>
  <c r="CS77" i="1"/>
  <c r="AZ58" i="12"/>
  <c r="AZ73" i="1"/>
  <c r="AZ98" i="1" s="1"/>
  <c r="AZ120" i="1" s="1"/>
  <c r="AY58" i="12"/>
  <c r="AY73" i="1"/>
  <c r="AY98" i="1" s="1"/>
  <c r="AY120" i="1" s="1"/>
  <c r="CS75" i="1"/>
  <c r="BA58" i="12"/>
  <c r="BA73" i="1"/>
  <c r="BA98" i="1" s="1"/>
  <c r="BA120" i="1" s="1"/>
  <c r="AX58" i="12"/>
  <c r="AX73" i="1"/>
  <c r="AX98" i="1" s="1"/>
  <c r="AX120" i="1" s="1"/>
  <c r="BO77" i="1"/>
  <c r="BP77" i="1" s="1"/>
  <c r="BQ77" i="1" s="1"/>
  <c r="BR77" i="1" s="1"/>
  <c r="BS77" i="1" s="1"/>
  <c r="BT77" i="1" s="1"/>
  <c r="BU77" i="1" s="1"/>
  <c r="BV77" i="1" s="1"/>
  <c r="BW77" i="1" s="1"/>
  <c r="BX77" i="1" s="1"/>
  <c r="BY77" i="1" s="1"/>
  <c r="BZ77" i="1" s="1"/>
  <c r="CP43" i="1"/>
  <c r="AJ47" i="1"/>
  <c r="X47" i="1"/>
  <c r="AN47" i="1"/>
  <c r="AC47" i="1"/>
  <c r="AC82" i="1" s="1"/>
  <c r="AL47" i="1"/>
  <c r="Y47" i="1"/>
  <c r="AB47" i="1"/>
  <c r="AB82" i="1" s="1"/>
  <c r="AM47" i="1"/>
  <c r="Q47" i="1"/>
  <c r="AW47" i="1"/>
  <c r="P47" i="1"/>
  <c r="AV47" i="1"/>
  <c r="AA47" i="1"/>
  <c r="AA82" i="1" s="1"/>
  <c r="AK47" i="1"/>
  <c r="CN75" i="11"/>
  <c r="L47" i="1"/>
  <c r="CO40" i="1"/>
  <c r="AJ17" i="13"/>
  <c r="AM10" i="13"/>
  <c r="L42" i="12"/>
  <c r="AL25" i="13"/>
  <c r="AD11" i="6"/>
  <c r="CO11" i="6" s="1"/>
  <c r="CO80" i="6"/>
  <c r="AD11" i="7"/>
  <c r="CO11" i="7" s="1"/>
  <c r="AD83" i="7"/>
  <c r="BA14" i="11"/>
  <c r="BA18" i="11" s="1"/>
  <c r="BA22" i="11" s="1"/>
  <c r="AS26" i="11"/>
  <c r="AS27" i="11" s="1"/>
  <c r="BB47" i="11"/>
  <c r="BB75" i="11" s="1"/>
  <c r="BB93" i="11" s="1"/>
  <c r="BB11" i="11"/>
  <c r="BB14" i="11" s="1"/>
  <c r="BB18" i="11" s="1"/>
  <c r="BB22" i="11" s="1"/>
  <c r="BD50" i="11"/>
  <c r="BC48" i="11"/>
  <c r="AV81" i="8"/>
  <c r="AD14" i="8"/>
  <c r="AD18" i="8" s="1"/>
  <c r="AD22" i="8" s="1"/>
  <c r="AB14" i="7"/>
  <c r="AB18" i="7" s="1"/>
  <c r="AB22" i="7" s="1"/>
  <c r="AB24" i="7" s="1"/>
  <c r="AC12" i="7"/>
  <c r="CN12" i="7" s="1"/>
  <c r="CN14" i="7" s="1"/>
  <c r="CN18" i="7" s="1"/>
  <c r="CN22" i="7" s="1"/>
  <c r="AC12" i="6"/>
  <c r="CN12" i="6" s="1"/>
  <c r="CN14" i="6" s="1"/>
  <c r="CN18" i="6" s="1"/>
  <c r="CN22" i="6" s="1"/>
  <c r="AB14" i="6"/>
  <c r="AB18" i="6" s="1"/>
  <c r="AB22" i="6" s="1"/>
  <c r="BF14" i="5"/>
  <c r="BF18" i="5" s="1"/>
  <c r="BF22" i="5" s="1"/>
  <c r="BG11" i="5"/>
  <c r="BG14" i="5" s="1"/>
  <c r="BG18" i="5" s="1"/>
  <c r="BG22" i="5" s="1"/>
  <c r="BG47" i="5"/>
  <c r="BG75" i="5" s="1"/>
  <c r="BG93" i="5" s="1"/>
  <c r="BI50" i="5"/>
  <c r="BH48" i="5"/>
  <c r="AF81" i="5"/>
  <c r="AD11" i="5"/>
  <c r="AA26" i="5"/>
  <c r="AA27" i="5" s="1"/>
  <c r="AC12" i="5"/>
  <c r="CN12" i="5" s="1"/>
  <c r="CN14" i="5" s="1"/>
  <c r="CN18" i="5" s="1"/>
  <c r="CN22" i="5" s="1"/>
  <c r="AB14" i="5"/>
  <c r="AB18" i="5" s="1"/>
  <c r="AB22" i="5" s="1"/>
  <c r="AB24" i="5" s="1"/>
  <c r="AM42" i="12"/>
  <c r="AF18" i="12"/>
  <c r="AN10" i="13" s="1"/>
  <c r="AA42" i="12"/>
  <c r="O42" i="12"/>
  <c r="O41" i="12" s="1"/>
  <c r="V105" i="1"/>
  <c r="U91" i="12"/>
  <c r="U90" i="12" s="1"/>
  <c r="AE11" i="8"/>
  <c r="AE47" i="8"/>
  <c r="AG50" i="8"/>
  <c r="AF48" i="8"/>
  <c r="AF59" i="12" s="1"/>
  <c r="AL42" i="12"/>
  <c r="AJ42" i="12"/>
  <c r="AK42" i="12"/>
  <c r="Z42" i="12"/>
  <c r="Y42" i="12"/>
  <c r="AO42" i="12"/>
  <c r="N42" i="12"/>
  <c r="X42" i="12"/>
  <c r="AN42" i="12"/>
  <c r="M42" i="12"/>
  <c r="AC42" i="12"/>
  <c r="P42" i="12"/>
  <c r="AV42" i="12"/>
  <c r="AB42" i="12"/>
  <c r="Q42" i="12"/>
  <c r="AW42" i="12"/>
  <c r="AD26" i="11"/>
  <c r="AD27" i="11" s="1"/>
  <c r="CO26" i="11"/>
  <c r="CO27" i="11" s="1"/>
  <c r="AT26" i="11"/>
  <c r="AT27" i="11" s="1"/>
  <c r="AU47" i="11"/>
  <c r="AU11" i="11"/>
  <c r="AU14" i="11" s="1"/>
  <c r="AU18" i="11" s="1"/>
  <c r="AU22" i="11" s="1"/>
  <c r="AU24" i="11" s="1"/>
  <c r="AT75" i="11"/>
  <c r="AT93" i="11" s="1"/>
  <c r="CO75" i="11"/>
  <c r="AV48" i="11"/>
  <c r="AT75" i="7"/>
  <c r="AT92" i="7" s="1"/>
  <c r="AC75" i="7"/>
  <c r="CO47" i="7"/>
  <c r="AA26" i="7"/>
  <c r="AA27" i="7" s="1"/>
  <c r="AU47" i="7"/>
  <c r="AU11" i="7"/>
  <c r="AU14" i="7" s="1"/>
  <c r="AU18" i="7" s="1"/>
  <c r="AU22" i="7" s="1"/>
  <c r="AU24" i="7" s="1"/>
  <c r="AD75" i="7"/>
  <c r="AD92" i="7" s="1"/>
  <c r="AT26" i="7"/>
  <c r="AT27" i="7" s="1"/>
  <c r="AW50" i="7"/>
  <c r="AX50" i="7" s="1"/>
  <c r="AV48" i="7"/>
  <c r="AC74" i="6"/>
  <c r="CO47" i="6"/>
  <c r="AW50" i="6"/>
  <c r="AX50" i="6" s="1"/>
  <c r="AV48" i="6"/>
  <c r="AT26" i="6"/>
  <c r="AT27" i="6" s="1"/>
  <c r="AU47" i="6"/>
  <c r="AU11" i="6"/>
  <c r="AU14" i="6" s="1"/>
  <c r="AU18" i="6" s="1"/>
  <c r="AU22" i="6" s="1"/>
  <c r="AU24" i="6" s="1"/>
  <c r="AD74" i="6"/>
  <c r="AD92" i="6" s="1"/>
  <c r="AT74" i="6"/>
  <c r="AT92" i="6" s="1"/>
  <c r="CA77" i="1" l="1"/>
  <c r="CB77" i="1" s="1"/>
  <c r="CC77" i="1" s="1"/>
  <c r="CD77" i="1" s="1"/>
  <c r="CE77" i="1" s="1"/>
  <c r="CF77" i="1" s="1"/>
  <c r="CG77" i="1" s="1"/>
  <c r="CH77" i="1" s="1"/>
  <c r="CI77" i="1" s="1"/>
  <c r="CJ77" i="1" s="1"/>
  <c r="CK77" i="1" s="1"/>
  <c r="CU77" i="1"/>
  <c r="AM88" i="1"/>
  <c r="N11" i="24" s="1"/>
  <c r="AM82" i="1"/>
  <c r="AK88" i="1"/>
  <c r="L11" i="24" s="1"/>
  <c r="AK82" i="1"/>
  <c r="AK81" i="1" s="1"/>
  <c r="AK61" i="12" s="1"/>
  <c r="AK60" i="12" s="1"/>
  <c r="AL88" i="1"/>
  <c r="M11" i="24" s="1"/>
  <c r="AL82" i="1"/>
  <c r="O11" i="24"/>
  <c r="AN88" i="1"/>
  <c r="AN82" i="1"/>
  <c r="AJ82" i="1"/>
  <c r="AJ88" i="1"/>
  <c r="K11" i="24" s="1"/>
  <c r="CT77" i="1"/>
  <c r="AC36" i="1"/>
  <c r="L4" i="1"/>
  <c r="L36" i="1"/>
  <c r="P4" i="1"/>
  <c r="P36" i="1"/>
  <c r="Q4" i="1"/>
  <c r="Q36" i="1"/>
  <c r="X82" i="1"/>
  <c r="X81" i="1" s="1"/>
  <c r="X61" i="12" s="1"/>
  <c r="X60" i="12" s="1"/>
  <c r="AB36" i="1"/>
  <c r="M36" i="1"/>
  <c r="AA36" i="1"/>
  <c r="Y106" i="1"/>
  <c r="Y36" i="1"/>
  <c r="Z36" i="1"/>
  <c r="AV84" i="8"/>
  <c r="AV12" i="8" s="1"/>
  <c r="AV92" i="12"/>
  <c r="AK104" i="1"/>
  <c r="AF84" i="5"/>
  <c r="AF92" i="12"/>
  <c r="AO104" i="1"/>
  <c r="AO81" i="1"/>
  <c r="AJ104" i="1"/>
  <c r="AJ81" i="1"/>
  <c r="AL104" i="1"/>
  <c r="AL81" i="1"/>
  <c r="AL61" i="12" s="1"/>
  <c r="AL60" i="12" s="1"/>
  <c r="AV104" i="1"/>
  <c r="AV82" i="1"/>
  <c r="AV81" i="1" s="1"/>
  <c r="AV61" i="12" s="1"/>
  <c r="AV60" i="12" s="1"/>
  <c r="AW104" i="1"/>
  <c r="AW89" i="12" s="1"/>
  <c r="AW82" i="1"/>
  <c r="AW81" i="1" s="1"/>
  <c r="AW61" i="12" s="1"/>
  <c r="AW60" i="12" s="1"/>
  <c r="AN104" i="1"/>
  <c r="AN81" i="1"/>
  <c r="AN61" i="12" s="1"/>
  <c r="AN60" i="12" s="1"/>
  <c r="AM104" i="1"/>
  <c r="W105" i="1"/>
  <c r="Z82" i="1"/>
  <c r="Z81" i="1" s="1"/>
  <c r="Z61" i="12" s="1"/>
  <c r="Z60" i="12" s="1"/>
  <c r="Z108" i="1"/>
  <c r="Z97" i="12" s="1"/>
  <c r="Z96" i="12" s="1"/>
  <c r="W89" i="12"/>
  <c r="AC81" i="1"/>
  <c r="AC61" i="12" s="1"/>
  <c r="AC60" i="12" s="1"/>
  <c r="AL4" i="1"/>
  <c r="AN4" i="1"/>
  <c r="AK4" i="1"/>
  <c r="Y82" i="1"/>
  <c r="Y81" i="1" s="1"/>
  <c r="Y61" i="12" s="1"/>
  <c r="Y60" i="12" s="1"/>
  <c r="Y88" i="1"/>
  <c r="AO4" i="1"/>
  <c r="AB81" i="1"/>
  <c r="AB61" i="12" s="1"/>
  <c r="AB60" i="12" s="1"/>
  <c r="AJ4" i="1"/>
  <c r="AM4" i="1"/>
  <c r="AV4" i="1"/>
  <c r="AW4" i="1"/>
  <c r="Y4" i="1"/>
  <c r="X4" i="1"/>
  <c r="Z4" i="1"/>
  <c r="AC4" i="1"/>
  <c r="AA4" i="1"/>
  <c r="AB4" i="1"/>
  <c r="AM41" i="12"/>
  <c r="AM48" i="12" s="1"/>
  <c r="AM115" i="12" s="1"/>
  <c r="AA41" i="12"/>
  <c r="AA48" i="12" s="1"/>
  <c r="O48" i="12"/>
  <c r="AV108" i="1"/>
  <c r="AO108" i="1"/>
  <c r="AO97" i="12" s="1"/>
  <c r="AO96" i="12" s="1"/>
  <c r="AD24" i="8"/>
  <c r="AD26" i="8" s="1"/>
  <c r="AD27" i="8" s="1"/>
  <c r="AK108" i="1"/>
  <c r="AK97" i="12" s="1"/>
  <c r="AK96" i="12" s="1"/>
  <c r="BG24" i="5"/>
  <c r="BG26" i="5" s="1"/>
  <c r="BG27" i="5" s="1"/>
  <c r="AL108" i="1"/>
  <c r="AL97" i="12" s="1"/>
  <c r="AL96" i="12" s="1"/>
  <c r="AM108" i="1"/>
  <c r="AM97" i="12" s="1"/>
  <c r="AM96" i="12" s="1"/>
  <c r="AN108" i="1"/>
  <c r="AN97" i="12" s="1"/>
  <c r="AN96" i="12" s="1"/>
  <c r="BB24" i="11"/>
  <c r="BB26" i="11" s="1"/>
  <c r="BB27" i="11" s="1"/>
  <c r="AJ108" i="1"/>
  <c r="AJ97" i="12" s="1"/>
  <c r="AJ96" i="12" s="1"/>
  <c r="AB24" i="6"/>
  <c r="AB26" i="6" s="1"/>
  <c r="AB27" i="6" s="1"/>
  <c r="AW108" i="1"/>
  <c r="AW97" i="12" s="1"/>
  <c r="AW96" i="12" s="1"/>
  <c r="BF24" i="5"/>
  <c r="BF26" i="5" s="1"/>
  <c r="BF27" i="5" s="1"/>
  <c r="BA24" i="11"/>
  <c r="BA26" i="11" s="1"/>
  <c r="BA27" i="11" s="1"/>
  <c r="L89" i="12"/>
  <c r="P97" i="12"/>
  <c r="P96" i="12" s="1"/>
  <c r="Q97" i="12"/>
  <c r="Q96" i="12" s="1"/>
  <c r="AM87" i="1"/>
  <c r="AJ87" i="1"/>
  <c r="AK87" i="1"/>
  <c r="AN87" i="1"/>
  <c r="AO87" i="1"/>
  <c r="AL87" i="1"/>
  <c r="AV87" i="1"/>
  <c r="AW87" i="1"/>
  <c r="AV88" i="1"/>
  <c r="AW88" i="1"/>
  <c r="P74" i="1"/>
  <c r="P58" i="12" s="1"/>
  <c r="P57" i="12" s="1"/>
  <c r="L94" i="12"/>
  <c r="L93" i="12" s="1"/>
  <c r="Q69" i="1"/>
  <c r="Q5" i="1" s="1"/>
  <c r="Y104" i="1"/>
  <c r="Y71" i="1"/>
  <c r="X104" i="1"/>
  <c r="X71" i="1"/>
  <c r="AA71" i="1"/>
  <c r="AA69" i="1" s="1"/>
  <c r="R89" i="12"/>
  <c r="Z104" i="1"/>
  <c r="Z71" i="1"/>
  <c r="L41" i="12"/>
  <c r="L48" i="12" s="1"/>
  <c r="CO42" i="12"/>
  <c r="CO47" i="1"/>
  <c r="AO86" i="1"/>
  <c r="AK106" i="1"/>
  <c r="AJ86" i="1"/>
  <c r="CO70" i="1"/>
  <c r="AM25" i="13"/>
  <c r="AN71" i="1"/>
  <c r="AN69" i="1" s="1"/>
  <c r="AW86" i="1"/>
  <c r="AJ91" i="1"/>
  <c r="N74" i="1"/>
  <c r="N58" i="12" s="1"/>
  <c r="N57" i="12" s="1"/>
  <c r="AW71" i="1"/>
  <c r="AW69" i="1" s="1"/>
  <c r="AC79" i="1"/>
  <c r="AW91" i="1"/>
  <c r="AL91" i="1"/>
  <c r="AL86" i="1"/>
  <c r="M81" i="1"/>
  <c r="M61" i="12" s="1"/>
  <c r="M60" i="12" s="1"/>
  <c r="AL79" i="1"/>
  <c r="AL71" i="1"/>
  <c r="AL69" i="1" s="1"/>
  <c r="AK71" i="1"/>
  <c r="AW79" i="1"/>
  <c r="AK86" i="1"/>
  <c r="AO91" i="1"/>
  <c r="AL90" i="1"/>
  <c r="AK90" i="1"/>
  <c r="AK91" i="1"/>
  <c r="N81" i="1"/>
  <c r="N61" i="12" s="1"/>
  <c r="N60" i="12" s="1"/>
  <c r="X87" i="1"/>
  <c r="AK79" i="1"/>
  <c r="X79" i="1"/>
  <c r="AJ106" i="1"/>
  <c r="X91" i="1"/>
  <c r="AL106" i="1"/>
  <c r="Y87" i="1"/>
  <c r="AV86" i="1"/>
  <c r="AO90" i="1"/>
  <c r="AW41" i="12"/>
  <c r="AC41" i="12"/>
  <c r="Y41" i="12"/>
  <c r="AJ41" i="12"/>
  <c r="Q41" i="12"/>
  <c r="P41" i="12"/>
  <c r="AN41" i="12"/>
  <c r="N41" i="12"/>
  <c r="Z41" i="12"/>
  <c r="AB41" i="12"/>
  <c r="AV41" i="12"/>
  <c r="M41" i="12"/>
  <c r="X41" i="12"/>
  <c r="AO41" i="12"/>
  <c r="AK41" i="12"/>
  <c r="AL41" i="12"/>
  <c r="AB26" i="7"/>
  <c r="AB27" i="7" s="1"/>
  <c r="BC47" i="11"/>
  <c r="BC11" i="11"/>
  <c r="BC14" i="11" s="1"/>
  <c r="BC18" i="11" s="1"/>
  <c r="BC22" i="11" s="1"/>
  <c r="BC24" i="11" s="1"/>
  <c r="BE50" i="11"/>
  <c r="BD48" i="11"/>
  <c r="AW81" i="8"/>
  <c r="AW92" i="12" s="1"/>
  <c r="AU12" i="8"/>
  <c r="AY50" i="7"/>
  <c r="AX48" i="7"/>
  <c r="AD12" i="7"/>
  <c r="CO12" i="7" s="1"/>
  <c r="CO14" i="7" s="1"/>
  <c r="CO18" i="7" s="1"/>
  <c r="CO22" i="7" s="1"/>
  <c r="CO83" i="7"/>
  <c r="AC14" i="7"/>
  <c r="AC18" i="7" s="1"/>
  <c r="AC22" i="7" s="1"/>
  <c r="AC24" i="7" s="1"/>
  <c r="AY50" i="6"/>
  <c r="AX48" i="6"/>
  <c r="AD12" i="6"/>
  <c r="CO12" i="6" s="1"/>
  <c r="CO14" i="6" s="1"/>
  <c r="CO18" i="6" s="1"/>
  <c r="CO22" i="6" s="1"/>
  <c r="CO83" i="6"/>
  <c r="AC14" i="6"/>
  <c r="AC18" i="6" s="1"/>
  <c r="AC22" i="6" s="1"/>
  <c r="BH47" i="5"/>
  <c r="BH75" i="5" s="1"/>
  <c r="BH93" i="5" s="1"/>
  <c r="BH11" i="5"/>
  <c r="BI48" i="5"/>
  <c r="BJ50" i="5"/>
  <c r="AG81" i="5"/>
  <c r="AF11" i="5"/>
  <c r="AD12" i="5"/>
  <c r="AC14" i="5"/>
  <c r="AC18" i="5" s="1"/>
  <c r="AC22" i="5" s="1"/>
  <c r="AC24" i="5" s="1"/>
  <c r="AB90" i="1"/>
  <c r="AN91" i="1"/>
  <c r="P81" i="1"/>
  <c r="Z91" i="1"/>
  <c r="Z86" i="1"/>
  <c r="AV71" i="1"/>
  <c r="AJ71" i="1"/>
  <c r="AW90" i="1"/>
  <c r="AJ90" i="1"/>
  <c r="X86" i="1"/>
  <c r="Z90" i="1"/>
  <c r="Z106" i="1"/>
  <c r="Z87" i="1"/>
  <c r="U74" i="1"/>
  <c r="U58" i="12" s="1"/>
  <c r="U57" i="12" s="1"/>
  <c r="AO79" i="1"/>
  <c r="AW106" i="1"/>
  <c r="Z79" i="1"/>
  <c r="AO106" i="1"/>
  <c r="X108" i="1"/>
  <c r="X97" i="12" s="1"/>
  <c r="X96" i="12" s="1"/>
  <c r="Z88" i="1"/>
  <c r="AB108" i="1"/>
  <c r="AC106" i="1"/>
  <c r="AN86" i="1"/>
  <c r="N94" i="12"/>
  <c r="N93" i="12" s="1"/>
  <c r="Y91" i="1"/>
  <c r="AC71" i="1"/>
  <c r="AN79" i="1"/>
  <c r="AB79" i="1"/>
  <c r="AB106" i="1"/>
  <c r="Y90" i="1"/>
  <c r="AC91" i="1"/>
  <c r="AB91" i="1"/>
  <c r="AB87" i="1"/>
  <c r="AC90" i="1"/>
  <c r="Y86" i="1"/>
  <c r="Q81" i="1"/>
  <c r="Q61" i="12" s="1"/>
  <c r="Q60" i="12" s="1"/>
  <c r="AG18" i="12"/>
  <c r="CP110" i="12"/>
  <c r="CO110" i="12"/>
  <c r="Y79" i="1"/>
  <c r="Y74" i="1" s="1"/>
  <c r="W74" i="1"/>
  <c r="AC86" i="1"/>
  <c r="AN90" i="1"/>
  <c r="AN106" i="1"/>
  <c r="Y108" i="1"/>
  <c r="AB71" i="1"/>
  <c r="AM90" i="1"/>
  <c r="AB86" i="1"/>
  <c r="AA87" i="1"/>
  <c r="AC108" i="1"/>
  <c r="AC87" i="1"/>
  <c r="AM91" i="1"/>
  <c r="V91" i="12"/>
  <c r="V90" i="12" s="1"/>
  <c r="AH50" i="8"/>
  <c r="AG48" i="8"/>
  <c r="AG59" i="12" s="1"/>
  <c r="AE75" i="8"/>
  <c r="AF47" i="8"/>
  <c r="AF11" i="8"/>
  <c r="AF14" i="8" s="1"/>
  <c r="AF18" i="8" s="1"/>
  <c r="AF22" i="8" s="1"/>
  <c r="AE14" i="8"/>
  <c r="AE18" i="8" s="1"/>
  <c r="AE22" i="8" s="1"/>
  <c r="AV79" i="1"/>
  <c r="AV74" i="1" s="1"/>
  <c r="AJ79" i="1"/>
  <c r="AJ74" i="1" s="1"/>
  <c r="X90" i="1"/>
  <c r="X106" i="1"/>
  <c r="AA79" i="1"/>
  <c r="AA74" i="1" s="1"/>
  <c r="AO71" i="1"/>
  <c r="X88" i="1"/>
  <c r="AV90" i="1"/>
  <c r="AV106" i="1"/>
  <c r="AV91" i="1"/>
  <c r="AC26" i="8"/>
  <c r="AC27" i="8" s="1"/>
  <c r="AU26" i="11"/>
  <c r="AU27" i="11" s="1"/>
  <c r="AW48" i="11"/>
  <c r="AU75" i="11"/>
  <c r="AU93" i="11" s="1"/>
  <c r="AV47" i="11"/>
  <c r="AV11" i="11"/>
  <c r="AV14" i="11" s="1"/>
  <c r="AV18" i="11" s="1"/>
  <c r="AV22" i="11" s="1"/>
  <c r="AV24" i="11" s="1"/>
  <c r="AW48" i="7"/>
  <c r="AV47" i="7"/>
  <c r="AV11" i="7"/>
  <c r="AV14" i="7" s="1"/>
  <c r="AV18" i="7" s="1"/>
  <c r="AV22" i="7" s="1"/>
  <c r="AV24" i="7" s="1"/>
  <c r="AU75" i="7"/>
  <c r="AU92" i="7" s="1"/>
  <c r="AC92" i="7"/>
  <c r="CO75" i="7"/>
  <c r="AU26" i="7"/>
  <c r="AU27" i="7" s="1"/>
  <c r="AU74" i="6"/>
  <c r="AU92" i="6" s="1"/>
  <c r="AC92" i="6"/>
  <c r="CO74" i="6"/>
  <c r="AU26" i="6"/>
  <c r="AU27" i="6" s="1"/>
  <c r="AV47" i="6"/>
  <c r="AV11" i="6"/>
  <c r="AV14" i="6" s="1"/>
  <c r="AV18" i="6" s="1"/>
  <c r="AV22" i="6" s="1"/>
  <c r="AV24" i="6" s="1"/>
  <c r="AW48" i="6"/>
  <c r="AM79" i="1"/>
  <c r="AM74" i="1" s="1"/>
  <c r="O74" i="1"/>
  <c r="AM86" i="1"/>
  <c r="AM71" i="1"/>
  <c r="O69" i="1"/>
  <c r="O5" i="1" s="1"/>
  <c r="AA106" i="1"/>
  <c r="AA91" i="1"/>
  <c r="AM106" i="1"/>
  <c r="AA90" i="1"/>
  <c r="AA108" i="1"/>
  <c r="AA86" i="1"/>
  <c r="AA115" i="12" l="1"/>
  <c r="AA4" i="12" s="1"/>
  <c r="AI4" i="13" s="1"/>
  <c r="AW5" i="1"/>
  <c r="CR92" i="12"/>
  <c r="AG84" i="5"/>
  <c r="AG92" i="12"/>
  <c r="AM4" i="12"/>
  <c r="AU4" i="13" s="1"/>
  <c r="O115" i="12"/>
  <c r="O4" i="12" s="1"/>
  <c r="W4" i="13" s="1"/>
  <c r="L115" i="12"/>
  <c r="AN5" i="1"/>
  <c r="AN7" i="1" s="1"/>
  <c r="AL5" i="1"/>
  <c r="AL7" i="1" s="1"/>
  <c r="O43" i="21"/>
  <c r="AA43" i="21"/>
  <c r="AB41" i="21" s="1"/>
  <c r="AA39" i="21" s="1"/>
  <c r="AA5" i="1"/>
  <c r="AA7" i="1" s="1"/>
  <c r="AA8" i="1" s="1"/>
  <c r="AL94" i="12"/>
  <c r="AL93" i="12" s="1"/>
  <c r="AB94" i="12"/>
  <c r="AB93" i="12" s="1"/>
  <c r="AJ94" i="12"/>
  <c r="AJ93" i="12" s="1"/>
  <c r="AK94" i="12"/>
  <c r="AK93" i="12" s="1"/>
  <c r="AW94" i="12"/>
  <c r="AW93" i="12" s="1"/>
  <c r="AC94" i="12"/>
  <c r="AC93" i="12" s="1"/>
  <c r="AO94" i="12"/>
  <c r="AO93" i="12" s="1"/>
  <c r="Z94" i="12"/>
  <c r="Z93" i="12" s="1"/>
  <c r="N48" i="12"/>
  <c r="AE24" i="8"/>
  <c r="AE26" i="8" s="1"/>
  <c r="AE27" i="8" s="1"/>
  <c r="AC24" i="6"/>
  <c r="AC26" i="6" s="1"/>
  <c r="AC27" i="6" s="1"/>
  <c r="M48" i="12"/>
  <c r="P48" i="12"/>
  <c r="AC48" i="12"/>
  <c r="AL48" i="12"/>
  <c r="AV48" i="12"/>
  <c r="Q48" i="12"/>
  <c r="AJ48" i="12"/>
  <c r="Z48" i="12"/>
  <c r="AF24" i="8"/>
  <c r="AF26" i="8" s="1"/>
  <c r="AF27" i="8" s="1"/>
  <c r="AB48" i="12"/>
  <c r="AO48" i="12"/>
  <c r="X48" i="12"/>
  <c r="X115" i="12" s="1"/>
  <c r="X4" i="12" s="1"/>
  <c r="AN48" i="12"/>
  <c r="Y48" i="12"/>
  <c r="Y115" i="12" s="1"/>
  <c r="Y4" i="12" s="1"/>
  <c r="AW48" i="12"/>
  <c r="AK48" i="12"/>
  <c r="CO41" i="12"/>
  <c r="AB26" i="5"/>
  <c r="AB27" i="5" s="1"/>
  <c r="CO4" i="1"/>
  <c r="CO91" i="1"/>
  <c r="CO104" i="1"/>
  <c r="CO106" i="1"/>
  <c r="L81" i="1"/>
  <c r="CO82" i="1"/>
  <c r="L74" i="1"/>
  <c r="CO79" i="1"/>
  <c r="CO88" i="1"/>
  <c r="CO90" i="1"/>
  <c r="L97" i="12"/>
  <c r="L96" i="12" s="1"/>
  <c r="CO108" i="1"/>
  <c r="CO86" i="1"/>
  <c r="CO71" i="1"/>
  <c r="CO87" i="1"/>
  <c r="AL17" i="13"/>
  <c r="AO10" i="13"/>
  <c r="P11" i="1"/>
  <c r="N11" i="1"/>
  <c r="Q74" i="1"/>
  <c r="AW74" i="1"/>
  <c r="AW58" i="12" s="1"/>
  <c r="AC74" i="1"/>
  <c r="AC58" i="12" s="1"/>
  <c r="AC57" i="12" s="1"/>
  <c r="AB74" i="1"/>
  <c r="Z74" i="1"/>
  <c r="Z58" i="12" s="1"/>
  <c r="Z57" i="12" s="1"/>
  <c r="X74" i="1"/>
  <c r="AO74" i="1"/>
  <c r="AO58" i="12" s="1"/>
  <c r="AK74" i="1"/>
  <c r="AK58" i="12" s="1"/>
  <c r="AL74" i="1"/>
  <c r="AN74" i="1"/>
  <c r="M74" i="1"/>
  <c r="M58" i="12" s="1"/>
  <c r="M57" i="12" s="1"/>
  <c r="AN25" i="13"/>
  <c r="P109" i="1"/>
  <c r="AK89" i="12"/>
  <c r="N109" i="1"/>
  <c r="Z89" i="12"/>
  <c r="Q89" i="12"/>
  <c r="Q109" i="1"/>
  <c r="M109" i="1"/>
  <c r="O109" i="1"/>
  <c r="AN89" i="12"/>
  <c r="AC89" i="12"/>
  <c r="AA89" i="12"/>
  <c r="AL89" i="12"/>
  <c r="AB89" i="12"/>
  <c r="AL85" i="1"/>
  <c r="AC69" i="1"/>
  <c r="AC5" i="1" s="1"/>
  <c r="N69" i="1"/>
  <c r="AK85" i="1"/>
  <c r="AK69" i="1"/>
  <c r="AK5" i="1" s="1"/>
  <c r="AJ69" i="1"/>
  <c r="AJ5" i="1" s="1"/>
  <c r="AW85" i="1"/>
  <c r="AW10" i="1" s="1"/>
  <c r="AO85" i="1"/>
  <c r="AO10" i="1" s="1"/>
  <c r="L69" i="1"/>
  <c r="L5" i="1" s="1"/>
  <c r="Q85" i="1"/>
  <c r="Q64" i="12" s="1"/>
  <c r="Q63" i="12" s="1"/>
  <c r="AJ85" i="1"/>
  <c r="AJ64" i="12" s="1"/>
  <c r="AJ63" i="12" s="1"/>
  <c r="AJ11" i="12" s="1"/>
  <c r="AV69" i="1"/>
  <c r="AV5" i="1" s="1"/>
  <c r="AC85" i="1"/>
  <c r="AX47" i="6"/>
  <c r="AX74" i="6" s="1"/>
  <c r="AX92" i="6" s="1"/>
  <c r="AX11" i="6"/>
  <c r="AX14" i="6" s="1"/>
  <c r="AX18" i="6" s="1"/>
  <c r="AX22" i="6" s="1"/>
  <c r="CP81" i="8"/>
  <c r="AW84" i="8"/>
  <c r="CP84" i="8" s="1"/>
  <c r="N89" i="12"/>
  <c r="P89" i="12"/>
  <c r="AM89" i="12"/>
  <c r="BC75" i="11"/>
  <c r="BC26" i="11"/>
  <c r="BC27" i="11" s="1"/>
  <c r="AC26" i="7"/>
  <c r="AC27" i="7" s="1"/>
  <c r="BD47" i="11"/>
  <c r="BD75" i="11" s="1"/>
  <c r="BD93" i="11" s="1"/>
  <c r="BD11" i="11"/>
  <c r="BD14" i="11" s="1"/>
  <c r="BD18" i="11" s="1"/>
  <c r="BD22" i="11" s="1"/>
  <c r="BF50" i="11"/>
  <c r="BE48" i="11"/>
  <c r="AX11" i="7"/>
  <c r="AX14" i="7" s="1"/>
  <c r="AX18" i="7" s="1"/>
  <c r="AX22" i="7" s="1"/>
  <c r="AX47" i="7"/>
  <c r="AX75" i="7" s="1"/>
  <c r="AX92" i="7" s="1"/>
  <c r="AZ50" i="7"/>
  <c r="AY48" i="7"/>
  <c r="AD14" i="7"/>
  <c r="AD18" i="7" s="1"/>
  <c r="AD22" i="7" s="1"/>
  <c r="AD24" i="7" s="1"/>
  <c r="AZ50" i="6"/>
  <c r="AY48" i="6"/>
  <c r="AD14" i="6"/>
  <c r="AD18" i="6" s="1"/>
  <c r="AD22" i="6" s="1"/>
  <c r="AD24" i="6" s="1"/>
  <c r="BK50" i="5"/>
  <c r="BJ48" i="5"/>
  <c r="BI11" i="5"/>
  <c r="BI14" i="5" s="1"/>
  <c r="BI18" i="5" s="1"/>
  <c r="BI22" i="5" s="1"/>
  <c r="BI24" i="5" s="1"/>
  <c r="BI47" i="5"/>
  <c r="BI75" i="5" s="1"/>
  <c r="BI93" i="5" s="1"/>
  <c r="BH14" i="5"/>
  <c r="BH18" i="5" s="1"/>
  <c r="BH22" i="5" s="1"/>
  <c r="BH24" i="5" s="1"/>
  <c r="AF12" i="5"/>
  <c r="AC26" i="5"/>
  <c r="AC27" i="5" s="1"/>
  <c r="AD14" i="5"/>
  <c r="AD18" i="5" s="1"/>
  <c r="AD22" i="5" s="1"/>
  <c r="AH81" i="5"/>
  <c r="AG11" i="5"/>
  <c r="Y69" i="1"/>
  <c r="Y5" i="1" s="1"/>
  <c r="P85" i="1"/>
  <c r="P73" i="1" s="1"/>
  <c r="AV85" i="1"/>
  <c r="AV10" i="1" s="1"/>
  <c r="P69" i="1"/>
  <c r="Z69" i="1"/>
  <c r="Z5" i="1" s="1"/>
  <c r="Z85" i="1"/>
  <c r="M85" i="1"/>
  <c r="M10" i="1" s="1"/>
  <c r="AB97" i="12"/>
  <c r="AB96" i="12" s="1"/>
  <c r="U89" i="12"/>
  <c r="Y85" i="1"/>
  <c r="Y64" i="12" s="1"/>
  <c r="Y63" i="12" s="1"/>
  <c r="P61" i="12"/>
  <c r="P60" i="12" s="1"/>
  <c r="Q94" i="12"/>
  <c r="AB85" i="1"/>
  <c r="AB64" i="12" s="1"/>
  <c r="AB63" i="12" s="1"/>
  <c r="CP91" i="1"/>
  <c r="AN85" i="1"/>
  <c r="CP104" i="1"/>
  <c r="AO69" i="1"/>
  <c r="AO5" i="1" s="1"/>
  <c r="CP70" i="1"/>
  <c r="X85" i="1"/>
  <c r="L85" i="1"/>
  <c r="AB69" i="1"/>
  <c r="AB5" i="1" s="1"/>
  <c r="AN54" i="12"/>
  <c r="AA54" i="12"/>
  <c r="O54" i="12"/>
  <c r="O53" i="12" s="1"/>
  <c r="AJ89" i="12"/>
  <c r="X94" i="12"/>
  <c r="X93" i="12" s="1"/>
  <c r="M94" i="12"/>
  <c r="M93" i="12" s="1"/>
  <c r="AO89" i="12"/>
  <c r="AV58" i="12"/>
  <c r="AC97" i="12"/>
  <c r="AC96" i="12" s="1"/>
  <c r="Y89" i="12"/>
  <c r="O97" i="12"/>
  <c r="O96" i="12" s="1"/>
  <c r="AH18" i="12"/>
  <c r="AP10" i="13" s="1"/>
  <c r="V89" i="12"/>
  <c r="AJ61" i="12"/>
  <c r="AJ60" i="12" s="1"/>
  <c r="M97" i="12"/>
  <c r="M96" i="12" s="1"/>
  <c r="X89" i="12"/>
  <c r="N97" i="12"/>
  <c r="N96" i="12" s="1"/>
  <c r="P94" i="12"/>
  <c r="P93" i="12" s="1"/>
  <c r="Y94" i="12"/>
  <c r="Y93" i="12" s="1"/>
  <c r="AL54" i="12"/>
  <c r="O94" i="12"/>
  <c r="O93" i="12" s="1"/>
  <c r="AV94" i="12"/>
  <c r="AV93" i="12" s="1"/>
  <c r="S89" i="12"/>
  <c r="AV89" i="12"/>
  <c r="M89" i="12"/>
  <c r="AJ58" i="12"/>
  <c r="Y97" i="12"/>
  <c r="Y96" i="12" s="1"/>
  <c r="AN94" i="12"/>
  <c r="AN93" i="12" s="1"/>
  <c r="W58" i="12"/>
  <c r="W57" i="12" s="1"/>
  <c r="O89" i="12"/>
  <c r="AK17" i="13"/>
  <c r="Q54" i="12"/>
  <c r="AO61" i="12"/>
  <c r="AO60" i="12" s="1"/>
  <c r="AV97" i="12"/>
  <c r="AV96" i="12" s="1"/>
  <c r="T89" i="12"/>
  <c r="Y58" i="12"/>
  <c r="Y57" i="12" s="1"/>
  <c r="M69" i="1"/>
  <c r="M5" i="1" s="1"/>
  <c r="CP87" i="1"/>
  <c r="AW54" i="12"/>
  <c r="AA85" i="1"/>
  <c r="AA10" i="1" s="1"/>
  <c r="CP88" i="1"/>
  <c r="X105" i="1"/>
  <c r="X109" i="1" s="1"/>
  <c r="W91" i="12"/>
  <c r="X69" i="1"/>
  <c r="X5" i="1" s="1"/>
  <c r="AA94" i="12"/>
  <c r="AA93" i="12" s="1"/>
  <c r="N85" i="1"/>
  <c r="N73" i="1" s="1"/>
  <c r="AM69" i="1"/>
  <c r="AM5" i="1" s="1"/>
  <c r="AM94" i="12"/>
  <c r="AM93" i="12" s="1"/>
  <c r="O85" i="1"/>
  <c r="O10" i="1" s="1"/>
  <c r="AM85" i="1"/>
  <c r="AA97" i="12"/>
  <c r="AA96" i="12" s="1"/>
  <c r="N12" i="12"/>
  <c r="O58" i="12"/>
  <c r="O57" i="12" s="1"/>
  <c r="AA58" i="12"/>
  <c r="AA57" i="12" s="1"/>
  <c r="AG11" i="8"/>
  <c r="AG47" i="8"/>
  <c r="AF75" i="8"/>
  <c r="AF93" i="8" s="1"/>
  <c r="AE93" i="8"/>
  <c r="AI50" i="8"/>
  <c r="AH48" i="8"/>
  <c r="AH59" i="12" s="1"/>
  <c r="AV26" i="11"/>
  <c r="AV27" i="11" s="1"/>
  <c r="AV75" i="11"/>
  <c r="AV93" i="11" s="1"/>
  <c r="AW47" i="11"/>
  <c r="AW11" i="11"/>
  <c r="AW14" i="11" s="1"/>
  <c r="AW18" i="11" s="1"/>
  <c r="AW22" i="11" s="1"/>
  <c r="AW24" i="11" s="1"/>
  <c r="AV75" i="7"/>
  <c r="AV92" i="7" s="1"/>
  <c r="AW47" i="7"/>
  <c r="AW11" i="7"/>
  <c r="AW14" i="7" s="1"/>
  <c r="AW18" i="7" s="1"/>
  <c r="AW22" i="7" s="1"/>
  <c r="AW24" i="7" s="1"/>
  <c r="AV26" i="7"/>
  <c r="AV27" i="7" s="1"/>
  <c r="AW47" i="6"/>
  <c r="AW11" i="6"/>
  <c r="AW14" i="6" s="1"/>
  <c r="AW18" i="6" s="1"/>
  <c r="AW22" i="6" s="1"/>
  <c r="AW24" i="6" s="1"/>
  <c r="AV26" i="6"/>
  <c r="AV27" i="6" s="1"/>
  <c r="AV74" i="6"/>
  <c r="AV92" i="6" s="1"/>
  <c r="Q7" i="1"/>
  <c r="Q8" i="1" s="1"/>
  <c r="AM81" i="1"/>
  <c r="O81" i="1"/>
  <c r="O11" i="1" s="1"/>
  <c r="AA81" i="1"/>
  <c r="AW7" i="1"/>
  <c r="Z115" i="12" l="1"/>
  <c r="Z4" i="12" s="1"/>
  <c r="AC115" i="12"/>
  <c r="AC4" i="12" s="1"/>
  <c r="AB115" i="12"/>
  <c r="AB4" i="12" s="1"/>
  <c r="AH84" i="5"/>
  <c r="AH92" i="12"/>
  <c r="AL115" i="12"/>
  <c r="L4" i="12"/>
  <c r="T4" i="13" s="1"/>
  <c r="AW115" i="12"/>
  <c r="AK115" i="12"/>
  <c r="N43" i="21"/>
  <c r="M43" i="21"/>
  <c r="AJ115" i="12"/>
  <c r="P115" i="12"/>
  <c r="M115" i="12"/>
  <c r="M4" i="12" s="1"/>
  <c r="AN115" i="12"/>
  <c r="AO115" i="12"/>
  <c r="Q115" i="12"/>
  <c r="N115" i="12"/>
  <c r="N4" i="12" s="1"/>
  <c r="V4" i="13" s="1"/>
  <c r="AV115" i="12"/>
  <c r="AW6" i="12"/>
  <c r="L43" i="21"/>
  <c r="AL6" i="12"/>
  <c r="AN6" i="12"/>
  <c r="Z43" i="21"/>
  <c r="AA41" i="21" s="1"/>
  <c r="Z39" i="21" s="1"/>
  <c r="Y43" i="21"/>
  <c r="Z41" i="21" s="1"/>
  <c r="Y39" i="21" s="1"/>
  <c r="AK43" i="21"/>
  <c r="AL41" i="21" s="1"/>
  <c r="AL38" i="21" s="1"/>
  <c r="AR5" i="14" s="1"/>
  <c r="X43" i="21"/>
  <c r="Y41" i="21" s="1"/>
  <c r="X39" i="21" s="1"/>
  <c r="AJ43" i="21"/>
  <c r="AK41" i="21" s="1"/>
  <c r="AJ39" i="21" s="1"/>
  <c r="AA6" i="12"/>
  <c r="Q43" i="21"/>
  <c r="R41" i="21" s="1"/>
  <c r="AB43" i="21"/>
  <c r="AC41" i="21" s="1"/>
  <c r="AB39" i="21" s="1"/>
  <c r="AB38" i="21" s="1"/>
  <c r="AH5" i="14" s="1"/>
  <c r="AC43" i="21"/>
  <c r="AD41" i="21" s="1"/>
  <c r="P43" i="21"/>
  <c r="CO48" i="12"/>
  <c r="CW41" i="12" s="1"/>
  <c r="AB11" i="12"/>
  <c r="F13" i="22"/>
  <c r="Y11" i="12"/>
  <c r="CO74" i="1"/>
  <c r="X12" i="1"/>
  <c r="Z7" i="1"/>
  <c r="Z8" i="1" s="1"/>
  <c r="AB7" i="1"/>
  <c r="AB8" i="1" s="1"/>
  <c r="AC7" i="1"/>
  <c r="AC8" i="1" s="1"/>
  <c r="AJ54" i="12"/>
  <c r="AJ7" i="1"/>
  <c r="AJ8" i="1" s="1"/>
  <c r="AV54" i="12"/>
  <c r="AK7" i="1"/>
  <c r="AK8" i="1" s="1"/>
  <c r="AO54" i="12"/>
  <c r="AO7" i="1"/>
  <c r="AO8" i="1" s="1"/>
  <c r="Y54" i="12"/>
  <c r="Y7" i="1"/>
  <c r="Y8" i="1" s="1"/>
  <c r="CO89" i="12"/>
  <c r="L100" i="12"/>
  <c r="CO96" i="12"/>
  <c r="N5" i="1"/>
  <c r="N7" i="1" s="1"/>
  <c r="N8" i="1" s="1"/>
  <c r="P54" i="12"/>
  <c r="P53" i="12" s="1"/>
  <c r="P5" i="1"/>
  <c r="P7" i="1" s="1"/>
  <c r="O6" i="12"/>
  <c r="Y56" i="12"/>
  <c r="M56" i="21" s="1"/>
  <c r="AD24" i="5"/>
  <c r="AD26" i="5" s="1"/>
  <c r="AD27" i="5" s="1"/>
  <c r="AX24" i="6"/>
  <c r="AX26" i="6" s="1"/>
  <c r="AX27" i="6" s="1"/>
  <c r="AX24" i="7"/>
  <c r="AX26" i="7" s="1"/>
  <c r="AX27" i="7" s="1"/>
  <c r="BD24" i="11"/>
  <c r="BD26" i="11" s="1"/>
  <c r="BD27" i="11" s="1"/>
  <c r="L11" i="1"/>
  <c r="AJ10" i="1"/>
  <c r="CN24" i="5"/>
  <c r="CN26" i="5" s="1"/>
  <c r="CN27" i="5" s="1"/>
  <c r="L64" i="12"/>
  <c r="CO85" i="1"/>
  <c r="L61" i="12"/>
  <c r="CO81" i="1"/>
  <c r="L54" i="12"/>
  <c r="CO69" i="1"/>
  <c r="AA73" i="1"/>
  <c r="AV73" i="1"/>
  <c r="AV98" i="1" s="1"/>
  <c r="Y73" i="1"/>
  <c r="Y98" i="1" s="1"/>
  <c r="AM73" i="1"/>
  <c r="AN73" i="1"/>
  <c r="AN98" i="1" s="1"/>
  <c r="AL73" i="1"/>
  <c r="AL98" i="1" s="1"/>
  <c r="X11" i="1"/>
  <c r="X73" i="1"/>
  <c r="X98" i="1" s="1"/>
  <c r="AB73" i="1"/>
  <c r="AB98" i="1" s="1"/>
  <c r="Q58" i="12"/>
  <c r="Q57" i="12" s="1"/>
  <c r="Q56" i="12" s="1"/>
  <c r="Q11" i="1"/>
  <c r="Q73" i="1"/>
  <c r="Q98" i="1" s="1"/>
  <c r="AJ73" i="1"/>
  <c r="AJ98" i="1" s="1"/>
  <c r="AN58" i="12"/>
  <c r="AL58" i="12"/>
  <c r="X58" i="12"/>
  <c r="X57" i="12" s="1"/>
  <c r="AB58" i="12"/>
  <c r="AB57" i="12" s="1"/>
  <c r="AB56" i="12" s="1"/>
  <c r="P56" i="21" s="1"/>
  <c r="L73" i="1"/>
  <c r="L98" i="1" s="1"/>
  <c r="O73" i="1"/>
  <c r="M11" i="1"/>
  <c r="M73" i="1"/>
  <c r="M98" i="1" s="1"/>
  <c r="AK73" i="1"/>
  <c r="AK98" i="1" s="1"/>
  <c r="AO73" i="1"/>
  <c r="AO98" i="1" s="1"/>
  <c r="Z73" i="1"/>
  <c r="Z98" i="1" s="1"/>
  <c r="AC73" i="1"/>
  <c r="AC98" i="1" s="1"/>
  <c r="AW73" i="1"/>
  <c r="AW98" i="1" s="1"/>
  <c r="AL10" i="1"/>
  <c r="AL64" i="12"/>
  <c r="N54" i="12"/>
  <c r="N53" i="12" s="1"/>
  <c r="L7" i="1"/>
  <c r="L58" i="12"/>
  <c r="AO25" i="13"/>
  <c r="AC54" i="12"/>
  <c r="AK10" i="1"/>
  <c r="AC64" i="12"/>
  <c r="AK64" i="12"/>
  <c r="AC10" i="1"/>
  <c r="L10" i="1"/>
  <c r="AM58" i="12"/>
  <c r="AN64" i="12"/>
  <c r="AW64" i="12"/>
  <c r="Y10" i="1"/>
  <c r="AV7" i="1"/>
  <c r="AV8" i="1" s="1"/>
  <c r="AK54" i="12"/>
  <c r="AB10" i="1"/>
  <c r="AO64" i="12"/>
  <c r="P10" i="1"/>
  <c r="AB54" i="12"/>
  <c r="P64" i="12"/>
  <c r="Q10" i="1"/>
  <c r="AV64" i="12"/>
  <c r="Z10" i="1"/>
  <c r="Z64" i="12"/>
  <c r="Z63" i="12" s="1"/>
  <c r="AN10" i="1"/>
  <c r="W90" i="12"/>
  <c r="M64" i="12"/>
  <c r="M63" i="12" s="1"/>
  <c r="M56" i="12" s="1"/>
  <c r="Q93" i="12"/>
  <c r="Z54" i="12"/>
  <c r="AW53" i="12"/>
  <c r="AP6" i="14" s="1"/>
  <c r="AN53" i="12"/>
  <c r="AG6" i="14" s="1"/>
  <c r="AA53" i="12"/>
  <c r="Q53" i="12"/>
  <c r="AL53" i="12"/>
  <c r="AE6" i="14" s="1"/>
  <c r="N100" i="12"/>
  <c r="P100" i="12"/>
  <c r="AY11" i="6"/>
  <c r="CO97" i="12"/>
  <c r="CO94" i="12"/>
  <c r="AM10" i="1"/>
  <c r="M12" i="12"/>
  <c r="M100" i="12"/>
  <c r="BC93" i="11"/>
  <c r="BE47" i="11"/>
  <c r="BE75" i="11" s="1"/>
  <c r="BE93" i="11" s="1"/>
  <c r="BE11" i="11"/>
  <c r="BE14" i="11" s="1"/>
  <c r="BE18" i="11" s="1"/>
  <c r="BE22" i="11" s="1"/>
  <c r="BE24" i="11" s="1"/>
  <c r="BG50" i="11"/>
  <c r="BF48" i="11"/>
  <c r="AW12" i="8"/>
  <c r="CP12" i="8" s="1"/>
  <c r="AY11" i="7"/>
  <c r="AY47" i="7"/>
  <c r="BA50" i="7"/>
  <c r="CP50" i="7" s="1"/>
  <c r="AZ48" i="7"/>
  <c r="P12" i="12"/>
  <c r="AD26" i="7"/>
  <c r="AD27" i="7" s="1"/>
  <c r="CO24" i="7"/>
  <c r="CO26" i="7" s="1"/>
  <c r="CO27" i="7" s="1"/>
  <c r="AY47" i="6"/>
  <c r="BA50" i="6"/>
  <c r="CP50" i="6" s="1"/>
  <c r="AZ48" i="6"/>
  <c r="AD26" i="6"/>
  <c r="AD27" i="6" s="1"/>
  <c r="CO24" i="6"/>
  <c r="CO26" i="6" s="1"/>
  <c r="CO27" i="6" s="1"/>
  <c r="BI26" i="5"/>
  <c r="BI27" i="5" s="1"/>
  <c r="BJ11" i="5"/>
  <c r="BJ14" i="5" s="1"/>
  <c r="BJ18" i="5" s="1"/>
  <c r="BJ22" i="5" s="1"/>
  <c r="BJ47" i="5"/>
  <c r="BJ75" i="5" s="1"/>
  <c r="BJ93" i="5" s="1"/>
  <c r="BH26" i="5"/>
  <c r="BH27" i="5" s="1"/>
  <c r="BL50" i="5"/>
  <c r="BK48" i="5"/>
  <c r="AI81" i="5"/>
  <c r="AH11" i="5"/>
  <c r="AG12" i="5"/>
  <c r="AF14" i="5"/>
  <c r="AF18" i="5" s="1"/>
  <c r="AF22" i="5" s="1"/>
  <c r="X64" i="12"/>
  <c r="X63" i="12" s="1"/>
  <c r="X11" i="12" s="1"/>
  <c r="X10" i="1"/>
  <c r="X7" i="1"/>
  <c r="X8" i="1" s="1"/>
  <c r="M7" i="1"/>
  <c r="AM54" i="12"/>
  <c r="N64" i="12"/>
  <c r="N63" i="12" s="1"/>
  <c r="N56" i="12" s="1"/>
  <c r="AI18" i="12"/>
  <c r="AA61" i="12"/>
  <c r="O64" i="12"/>
  <c r="O63" i="12" s="1"/>
  <c r="AA64" i="12"/>
  <c r="AA63" i="12" s="1"/>
  <c r="AA11" i="12" s="1"/>
  <c r="M54" i="12"/>
  <c r="M53" i="12" s="1"/>
  <c r="AM64" i="12"/>
  <c r="AM63" i="12" s="1"/>
  <c r="AM11" i="12" s="1"/>
  <c r="N10" i="1"/>
  <c r="CN10" i="1" s="1"/>
  <c r="CN11" i="12" s="1"/>
  <c r="N98" i="1"/>
  <c r="X54" i="12"/>
  <c r="Y105" i="1"/>
  <c r="Y12" i="1" s="1"/>
  <c r="X91" i="12"/>
  <c r="AM61" i="12"/>
  <c r="O61" i="12"/>
  <c r="AG75" i="8"/>
  <c r="AJ50" i="8"/>
  <c r="AI48" i="8"/>
  <c r="AI59" i="12" s="1"/>
  <c r="AH47" i="8"/>
  <c r="AH11" i="8"/>
  <c r="AH14" i="8" s="1"/>
  <c r="AH18" i="8" s="1"/>
  <c r="AH22" i="8" s="1"/>
  <c r="AG14" i="8"/>
  <c r="AG18" i="8" s="1"/>
  <c r="AG22" i="8" s="1"/>
  <c r="AG24" i="8" s="1"/>
  <c r="CP89" i="12"/>
  <c r="AW75" i="11"/>
  <c r="AW93" i="11" s="1"/>
  <c r="AW26" i="11"/>
  <c r="AW27" i="11" s="1"/>
  <c r="CN48" i="11"/>
  <c r="AW75" i="7"/>
  <c r="AW92" i="7" s="1"/>
  <c r="AW26" i="7"/>
  <c r="AW27" i="7" s="1"/>
  <c r="CN48" i="7"/>
  <c r="CN48" i="6"/>
  <c r="AW26" i="6"/>
  <c r="AW27" i="6" s="1"/>
  <c r="AW74" i="6"/>
  <c r="AW92" i="6" s="1"/>
  <c r="P98" i="1"/>
  <c r="AM7" i="1"/>
  <c r="AM8" i="1" s="1"/>
  <c r="O7" i="1"/>
  <c r="AW8" i="1"/>
  <c r="AL8" i="1"/>
  <c r="AN8" i="1"/>
  <c r="AI84" i="5" l="1"/>
  <c r="AI92" i="12"/>
  <c r="M116" i="12"/>
  <c r="M118" i="12" s="1"/>
  <c r="AO4" i="12"/>
  <c r="AW4" i="13" s="1"/>
  <c r="N116" i="12"/>
  <c r="N118" i="12" s="1"/>
  <c r="AJ4" i="13"/>
  <c r="AK4" i="13"/>
  <c r="AW4" i="12"/>
  <c r="BE4" i="13" s="1"/>
  <c r="Q116" i="12"/>
  <c r="Q118" i="12" s="1"/>
  <c r="AL4" i="12"/>
  <c r="AT4" i="13" s="1"/>
  <c r="AJ4" i="12"/>
  <c r="AR4" i="13" s="1"/>
  <c r="AB6" i="12"/>
  <c r="AK6" i="12"/>
  <c r="AV6" i="12"/>
  <c r="AK4" i="12"/>
  <c r="AS4" i="13" s="1"/>
  <c r="AO6" i="12"/>
  <c r="AC6" i="12"/>
  <c r="Y6" i="12"/>
  <c r="AG5" i="13" s="1"/>
  <c r="AG4" i="13"/>
  <c r="X6" i="12"/>
  <c r="AN4" i="12"/>
  <c r="AV4" i="13" s="1"/>
  <c r="AV4" i="12"/>
  <c r="BD4" i="13" s="1"/>
  <c r="Z6" i="12"/>
  <c r="AJ6" i="12"/>
  <c r="Q4" i="12"/>
  <c r="Y4" i="13" s="1"/>
  <c r="P4" i="12"/>
  <c r="X4" i="13" s="1"/>
  <c r="AA38" i="21"/>
  <c r="AG5" i="14" s="1"/>
  <c r="W5" i="14"/>
  <c r="AM6" i="12"/>
  <c r="Z38" i="21"/>
  <c r="AF5" i="14" s="1"/>
  <c r="CW48" i="12"/>
  <c r="CW46" i="12"/>
  <c r="CW45" i="12"/>
  <c r="CW44" i="12"/>
  <c r="CW47" i="12"/>
  <c r="CW43" i="12"/>
  <c r="CW42" i="12"/>
  <c r="AK39" i="21"/>
  <c r="AK38" i="21" s="1"/>
  <c r="AQ5" i="14" s="1"/>
  <c r="AC39" i="21"/>
  <c r="AC38" i="21" s="1"/>
  <c r="AI5" i="14" s="1"/>
  <c r="Y38" i="21"/>
  <c r="AE5" i="14" s="1"/>
  <c r="G13" i="22"/>
  <c r="AV53" i="12"/>
  <c r="AO6" i="14" s="1"/>
  <c r="Y53" i="12"/>
  <c r="Z56" i="12"/>
  <c r="N56" i="21" s="1"/>
  <c r="Z11" i="12"/>
  <c r="AJ53" i="12"/>
  <c r="AC6" i="14" s="1"/>
  <c r="AO53" i="12"/>
  <c r="AH6" i="14" s="1"/>
  <c r="T8" i="13"/>
  <c r="M6" i="12"/>
  <c r="Q6" i="12"/>
  <c r="P6" i="12"/>
  <c r="N6" i="12"/>
  <c r="N8" i="12" s="1"/>
  <c r="N9" i="12" s="1"/>
  <c r="Q100" i="12"/>
  <c r="Y8" i="13"/>
  <c r="AK53" i="12"/>
  <c r="AD6" i="14" s="1"/>
  <c r="AB53" i="12"/>
  <c r="AM53" i="12"/>
  <c r="AF6" i="14" s="1"/>
  <c r="AC53" i="12"/>
  <c r="Z53" i="12"/>
  <c r="X53" i="12"/>
  <c r="AH24" i="8"/>
  <c r="AH26" i="8" s="1"/>
  <c r="AH27" i="8" s="1"/>
  <c r="BJ24" i="5"/>
  <c r="BJ26" i="5" s="1"/>
  <c r="BJ27" i="5" s="1"/>
  <c r="AF24" i="5"/>
  <c r="AF26" i="5" s="1"/>
  <c r="AF27" i="5" s="1"/>
  <c r="X56" i="12"/>
  <c r="L56" i="21" s="1"/>
  <c r="L63" i="12"/>
  <c r="L11" i="12" s="1"/>
  <c r="CO64" i="12"/>
  <c r="L60" i="12"/>
  <c r="CO61" i="12"/>
  <c r="L57" i="12"/>
  <c r="CO58" i="12"/>
  <c r="L53" i="12"/>
  <c r="CO54" i="12"/>
  <c r="AW120" i="1"/>
  <c r="AJ120" i="1"/>
  <c r="AC120" i="1"/>
  <c r="AK120" i="1"/>
  <c r="M120" i="1"/>
  <c r="Q120" i="1"/>
  <c r="AB120" i="1"/>
  <c r="AV120" i="1"/>
  <c r="AO120" i="1"/>
  <c r="Y120" i="1"/>
  <c r="P120" i="1"/>
  <c r="Z120" i="1"/>
  <c r="X120" i="1"/>
  <c r="AL120" i="1"/>
  <c r="N120" i="1"/>
  <c r="AN120" i="1"/>
  <c r="CO10" i="1"/>
  <c r="CN12" i="1"/>
  <c r="CN13" i="12" s="1"/>
  <c r="C8" i="13" s="1"/>
  <c r="C9" i="13" s="1"/>
  <c r="C11" i="13" s="1"/>
  <c r="CO12" i="1"/>
  <c r="U4" i="13"/>
  <c r="K20" i="13"/>
  <c r="W5" i="13"/>
  <c r="AN17" i="13"/>
  <c r="AQ10" i="13"/>
  <c r="AW63" i="12"/>
  <c r="AW11" i="12" s="1"/>
  <c r="AC63" i="12"/>
  <c r="AL63" i="12"/>
  <c r="AL11" i="12" s="1"/>
  <c r="AV63" i="12"/>
  <c r="AV11" i="12" s="1"/>
  <c r="P63" i="12"/>
  <c r="P56" i="12" s="1"/>
  <c r="P116" i="12" s="1"/>
  <c r="P118" i="12" s="1"/>
  <c r="AO63" i="12"/>
  <c r="AO11" i="12" s="1"/>
  <c r="AN63" i="12"/>
  <c r="AN11" i="12" s="1"/>
  <c r="AK63" i="12"/>
  <c r="AK11" i="12" s="1"/>
  <c r="CO5" i="1"/>
  <c r="CO7" i="1" s="1"/>
  <c r="CO73" i="1"/>
  <c r="M14" i="1"/>
  <c r="M18" i="1" s="1"/>
  <c r="Q14" i="1"/>
  <c r="Q18" i="1" s="1"/>
  <c r="Q25" i="1" s="1"/>
  <c r="Y109" i="1"/>
  <c r="Y11" i="1"/>
  <c r="CI5" i="14"/>
  <c r="AP25" i="13"/>
  <c r="P14" i="1"/>
  <c r="P18" i="1" s="1"/>
  <c r="P25" i="1" s="1"/>
  <c r="P27" i="1" s="1"/>
  <c r="P8" i="1"/>
  <c r="Q11" i="12"/>
  <c r="Q12" i="12"/>
  <c r="V8" i="13"/>
  <c r="M11" i="12"/>
  <c r="U7" i="13" s="1"/>
  <c r="X90" i="12"/>
  <c r="X13" i="12" s="1"/>
  <c r="M8" i="1"/>
  <c r="AM60" i="12"/>
  <c r="AA60" i="12"/>
  <c r="AA56" i="12" s="1"/>
  <c r="O56" i="21" s="1"/>
  <c r="O60" i="12"/>
  <c r="AZ47" i="6"/>
  <c r="AZ74" i="6" s="1"/>
  <c r="AZ92" i="6" s="1"/>
  <c r="AZ11" i="6"/>
  <c r="AZ14" i="6" s="1"/>
  <c r="AZ18" i="6" s="1"/>
  <c r="AZ22" i="6" s="1"/>
  <c r="AZ24" i="6" s="1"/>
  <c r="AY14" i="6"/>
  <c r="AY18" i="6" s="1"/>
  <c r="AY22" i="6" s="1"/>
  <c r="AY24" i="6" s="1"/>
  <c r="CN7" i="1"/>
  <c r="O100" i="12"/>
  <c r="BE26" i="11"/>
  <c r="BE27" i="11" s="1"/>
  <c r="X8" i="13"/>
  <c r="BF47" i="11"/>
  <c r="BF75" i="11" s="1"/>
  <c r="BF93" i="11" s="1"/>
  <c r="BF11" i="11"/>
  <c r="BF14" i="11" s="1"/>
  <c r="BF18" i="11" s="1"/>
  <c r="BF22" i="11" s="1"/>
  <c r="BH50" i="11"/>
  <c r="BG48" i="11"/>
  <c r="BA48" i="7"/>
  <c r="BB50" i="7"/>
  <c r="AY75" i="7"/>
  <c r="AY92" i="7" s="1"/>
  <c r="AZ47" i="7"/>
  <c r="AZ75" i="7" s="1"/>
  <c r="AZ92" i="7" s="1"/>
  <c r="AZ11" i="7"/>
  <c r="AY14" i="7"/>
  <c r="AY18" i="7" s="1"/>
  <c r="AY22" i="7" s="1"/>
  <c r="AY24" i="7" s="1"/>
  <c r="BB50" i="6"/>
  <c r="BA48" i="6"/>
  <c r="AY74" i="6"/>
  <c r="BM50" i="5"/>
  <c r="CQ50" i="5" s="1"/>
  <c r="BL48" i="5"/>
  <c r="BK47" i="5"/>
  <c r="BK11" i="5"/>
  <c r="AI11" i="5"/>
  <c r="CO81" i="5"/>
  <c r="AH12" i="5"/>
  <c r="AG14" i="5"/>
  <c r="AG18" i="5" s="1"/>
  <c r="AG22" i="5" s="1"/>
  <c r="AG24" i="5" s="1"/>
  <c r="X14" i="1"/>
  <c r="X18" i="1" s="1"/>
  <c r="L14" i="1"/>
  <c r="L18" i="1" s="1"/>
  <c r="AM98" i="1"/>
  <c r="AJ18" i="12"/>
  <c r="N14" i="1"/>
  <c r="N18" i="1" s="1"/>
  <c r="O98" i="1"/>
  <c r="AM17" i="13"/>
  <c r="Z105" i="1"/>
  <c r="Z12" i="1" s="1"/>
  <c r="Y91" i="12"/>
  <c r="AG26" i="8"/>
  <c r="AG27" i="8" s="1"/>
  <c r="AI11" i="8"/>
  <c r="AI47" i="8"/>
  <c r="AK50" i="8"/>
  <c r="AJ48" i="8"/>
  <c r="AJ59" i="12" s="1"/>
  <c r="AG93" i="8"/>
  <c r="AH75" i="8"/>
  <c r="AH93" i="8" s="1"/>
  <c r="O8" i="12"/>
  <c r="O9" i="12" s="1"/>
  <c r="CN8" i="12"/>
  <c r="CN9" i="12" s="1"/>
  <c r="CN47" i="7"/>
  <c r="CN47" i="6"/>
  <c r="O14" i="1"/>
  <c r="O18" i="1" s="1"/>
  <c r="L120" i="1"/>
  <c r="O8" i="1"/>
  <c r="AA98" i="1"/>
  <c r="L8" i="1"/>
  <c r="AH4" i="13" l="1"/>
  <c r="AF4" i="13"/>
  <c r="CP48" i="6"/>
  <c r="AC8" i="12"/>
  <c r="AC9" i="12" s="1"/>
  <c r="CO4" i="12"/>
  <c r="CO5" i="12" s="1"/>
  <c r="D4" i="13"/>
  <c r="CO8" i="1"/>
  <c r="O56" i="12"/>
  <c r="O116" i="12" s="1"/>
  <c r="O118" i="12" s="1"/>
  <c r="G28" i="22"/>
  <c r="G26" i="22" s="1"/>
  <c r="F15" i="21"/>
  <c r="H13" i="22"/>
  <c r="C14" i="13"/>
  <c r="C16" i="13" s="1"/>
  <c r="Y82" i="12"/>
  <c r="Y116" i="12" s="1"/>
  <c r="Y118" i="12" s="1"/>
  <c r="Y8" i="12"/>
  <c r="Y9" i="12" s="1"/>
  <c r="AC56" i="12"/>
  <c r="Q56" i="21" s="1"/>
  <c r="AC11" i="12"/>
  <c r="Q27" i="1"/>
  <c r="Q29" i="1" s="1"/>
  <c r="Q30" i="1" s="1"/>
  <c r="L6" i="12"/>
  <c r="CO6" i="12" s="1"/>
  <c r="X100" i="12"/>
  <c r="CO53" i="12"/>
  <c r="V5" i="13"/>
  <c r="V6" i="13" s="1"/>
  <c r="BF24" i="11"/>
  <c r="BF26" i="11" s="1"/>
  <c r="BF27" i="11" s="1"/>
  <c r="CO57" i="12"/>
  <c r="L56" i="12"/>
  <c r="L116" i="12" s="1"/>
  <c r="L118" i="12" s="1"/>
  <c r="AK5" i="13"/>
  <c r="AK6" i="13" s="1"/>
  <c r="L12" i="12"/>
  <c r="CO60" i="12"/>
  <c r="CO63" i="12"/>
  <c r="U8" i="13"/>
  <c r="O120" i="1"/>
  <c r="AZ14" i="7"/>
  <c r="AZ18" i="7" s="1"/>
  <c r="AZ22" i="7" s="1"/>
  <c r="CP48" i="7"/>
  <c r="P11" i="12"/>
  <c r="X7" i="13" s="1"/>
  <c r="AB82" i="12"/>
  <c r="AB116" i="12" s="1"/>
  <c r="AB118" i="12" s="1"/>
  <c r="CN14" i="1"/>
  <c r="CN18" i="1" s="1"/>
  <c r="CN25" i="1" s="1"/>
  <c r="AO17" i="13"/>
  <c r="AR10" i="13"/>
  <c r="BD5" i="13"/>
  <c r="BD6" i="13" s="1"/>
  <c r="AW8" i="12"/>
  <c r="AW9" i="12" s="1"/>
  <c r="BE5" i="13"/>
  <c r="BE6" i="13" s="1"/>
  <c r="AH5" i="13"/>
  <c r="AH6" i="13" s="1"/>
  <c r="AJ8" i="12"/>
  <c r="AJ9" i="12" s="1"/>
  <c r="AR5" i="13"/>
  <c r="X5" i="13"/>
  <c r="X6" i="13" s="1"/>
  <c r="AW5" i="13"/>
  <c r="AW6" i="13" s="1"/>
  <c r="AG6" i="13"/>
  <c r="AJ5" i="13"/>
  <c r="AK8" i="12"/>
  <c r="AK9" i="12" s="1"/>
  <c r="AS5" i="13"/>
  <c r="AS6" i="13" s="1"/>
  <c r="Q8" i="12"/>
  <c r="Q9" i="12" s="1"/>
  <c r="Y5" i="13"/>
  <c r="Y6" i="13" s="1"/>
  <c r="Y7" i="13"/>
  <c r="AN8" i="12"/>
  <c r="AN9" i="12" s="1"/>
  <c r="AV5" i="13"/>
  <c r="AL8" i="12"/>
  <c r="AL9" i="12" s="1"/>
  <c r="AT5" i="13"/>
  <c r="AT6" i="13" s="1"/>
  <c r="AI5" i="13"/>
  <c r="AI6" i="13" s="1"/>
  <c r="P82" i="12"/>
  <c r="Q82" i="12"/>
  <c r="CP92" i="12"/>
  <c r="CQ92" i="12"/>
  <c r="Z109" i="1"/>
  <c r="Z11" i="1"/>
  <c r="N25" i="1"/>
  <c r="L25" i="1"/>
  <c r="L27" i="1" s="1"/>
  <c r="X25" i="1"/>
  <c r="O25" i="1"/>
  <c r="M25" i="1"/>
  <c r="AQ25" i="13"/>
  <c r="AB8" i="12"/>
  <c r="AB9" i="12" s="1"/>
  <c r="X12" i="12"/>
  <c r="W6" i="13"/>
  <c r="AA8" i="12"/>
  <c r="AA9" i="12" s="1"/>
  <c r="Z82" i="12"/>
  <c r="Z116" i="12" s="1"/>
  <c r="Z118" i="12" s="1"/>
  <c r="P8" i="12"/>
  <c r="P9" i="12" s="1"/>
  <c r="AO8" i="12"/>
  <c r="AO9" i="12" s="1"/>
  <c r="W8" i="13"/>
  <c r="Y90" i="12"/>
  <c r="Y13" i="12" s="1"/>
  <c r="AV8" i="12"/>
  <c r="AV9" i="12" s="1"/>
  <c r="Z8" i="12"/>
  <c r="Z9" i="12" s="1"/>
  <c r="CN8" i="1"/>
  <c r="AU5" i="13"/>
  <c r="AU6" i="13" s="1"/>
  <c r="BA11" i="6"/>
  <c r="CP11" i="6" s="1"/>
  <c r="CP14" i="6" s="1"/>
  <c r="CP18" i="6" s="1"/>
  <c r="CP22" i="6" s="1"/>
  <c r="AY26" i="6"/>
  <c r="AY27" i="6" s="1"/>
  <c r="AZ26" i="6"/>
  <c r="AZ27" i="6" s="1"/>
  <c r="AM120" i="1"/>
  <c r="M82" i="12"/>
  <c r="BG47" i="11"/>
  <c r="BG75" i="11" s="1"/>
  <c r="BG93" i="11" s="1"/>
  <c r="BG11" i="11"/>
  <c r="BG14" i="11" s="1"/>
  <c r="BG18" i="11" s="1"/>
  <c r="BG22" i="11" s="1"/>
  <c r="BI50" i="11"/>
  <c r="BH48" i="11"/>
  <c r="AY26" i="7"/>
  <c r="AY27" i="7" s="1"/>
  <c r="BC50" i="7"/>
  <c r="BB48" i="7"/>
  <c r="BA47" i="7"/>
  <c r="CP47" i="7" s="1"/>
  <c r="BA11" i="7"/>
  <c r="CP11" i="7" s="1"/>
  <c r="CP14" i="7" s="1"/>
  <c r="CP18" i="7" s="1"/>
  <c r="CP22" i="7" s="1"/>
  <c r="AY92" i="6"/>
  <c r="BA47" i="6"/>
  <c r="CP47" i="6" s="1"/>
  <c r="BC50" i="6"/>
  <c r="BB48" i="6"/>
  <c r="BK14" i="5"/>
  <c r="BK18" i="5" s="1"/>
  <c r="BK22" i="5" s="1"/>
  <c r="BK24" i="5" s="1"/>
  <c r="BK75" i="5"/>
  <c r="BK93" i="5" s="1"/>
  <c r="BL47" i="5"/>
  <c r="BL75" i="5" s="1"/>
  <c r="BL93" i="5" s="1"/>
  <c r="BL11" i="5"/>
  <c r="BL14" i="5" s="1"/>
  <c r="BL18" i="5" s="1"/>
  <c r="BL22" i="5" s="1"/>
  <c r="BN50" i="5"/>
  <c r="BM48" i="5"/>
  <c r="O11" i="12"/>
  <c r="AI12" i="5"/>
  <c r="AI14" i="5" s="1"/>
  <c r="AI18" i="5" s="1"/>
  <c r="AI22" i="5" s="1"/>
  <c r="CO84" i="5"/>
  <c r="AG26" i="5"/>
  <c r="AG27" i="5" s="1"/>
  <c r="CO11" i="5"/>
  <c r="AH14" i="5"/>
  <c r="AH18" i="5" s="1"/>
  <c r="AH22" i="5" s="1"/>
  <c r="CO98" i="1"/>
  <c r="O12" i="12"/>
  <c r="N11" i="12"/>
  <c r="U5" i="13"/>
  <c r="AK18" i="12"/>
  <c r="AS10" i="13" s="1"/>
  <c r="AF5" i="13"/>
  <c r="Y14" i="1"/>
  <c r="Y18" i="1" s="1"/>
  <c r="AF8" i="13"/>
  <c r="AA105" i="1"/>
  <c r="AA12" i="1" s="1"/>
  <c r="Z91" i="12"/>
  <c r="X82" i="12"/>
  <c r="X116" i="12" s="1"/>
  <c r="X118" i="12" s="1"/>
  <c r="AI14" i="8"/>
  <c r="AI18" i="8" s="1"/>
  <c r="AI22" i="8" s="1"/>
  <c r="AI24" i="8" s="1"/>
  <c r="AL50" i="8"/>
  <c r="AK48" i="8"/>
  <c r="AK59" i="12" s="1"/>
  <c r="AJ47" i="8"/>
  <c r="AJ11" i="8"/>
  <c r="AJ14" i="8" s="1"/>
  <c r="AJ18" i="8" s="1"/>
  <c r="AJ22" i="8" s="1"/>
  <c r="AI75" i="8"/>
  <c r="CN15" i="12"/>
  <c r="CN75" i="8"/>
  <c r="CN75" i="7"/>
  <c r="CN74" i="6"/>
  <c r="AA120" i="1"/>
  <c r="P29" i="1"/>
  <c r="P30" i="1" s="1"/>
  <c r="AF6" i="13" l="1"/>
  <c r="CO8" i="12"/>
  <c r="CW55" i="12" s="1"/>
  <c r="R54" i="21"/>
  <c r="W8" i="14" s="1"/>
  <c r="L12" i="21"/>
  <c r="M11" i="21"/>
  <c r="L14" i="22"/>
  <c r="I13" i="22"/>
  <c r="F21" i="21"/>
  <c r="F25" i="21" s="1"/>
  <c r="H28" i="22"/>
  <c r="H26" i="22" s="1"/>
  <c r="G15" i="21"/>
  <c r="G21" i="21" s="1"/>
  <c r="AC82" i="12"/>
  <c r="AC116" i="12" s="1"/>
  <c r="AC118" i="12" s="1"/>
  <c r="N27" i="1"/>
  <c r="N29" i="1" s="1"/>
  <c r="N30" i="1" s="1"/>
  <c r="O27" i="1"/>
  <c r="O29" i="1" s="1"/>
  <c r="O30" i="1" s="1"/>
  <c r="M27" i="1"/>
  <c r="M29" i="1" s="1"/>
  <c r="M30" i="1" s="1"/>
  <c r="T7" i="13"/>
  <c r="L8" i="12"/>
  <c r="L9" i="12" s="1"/>
  <c r="Y100" i="12"/>
  <c r="CN20" i="12"/>
  <c r="CN16" i="12"/>
  <c r="L82" i="12"/>
  <c r="AZ24" i="7"/>
  <c r="AZ26" i="7" s="1"/>
  <c r="AZ27" i="7" s="1"/>
  <c r="AJ24" i="8"/>
  <c r="AJ26" i="8" s="1"/>
  <c r="AJ27" i="8" s="1"/>
  <c r="X27" i="1"/>
  <c r="X29" i="1" s="1"/>
  <c r="X30" i="1" s="1"/>
  <c r="BL24" i="5"/>
  <c r="BL26" i="5" s="1"/>
  <c r="BL27" i="5" s="1"/>
  <c r="BG24" i="11"/>
  <c r="BG26" i="11" s="1"/>
  <c r="BG27" i="11" s="1"/>
  <c r="AH24" i="5"/>
  <c r="AH26" i="5" s="1"/>
  <c r="AH27" i="5" s="1"/>
  <c r="AI24" i="5"/>
  <c r="AI26" i="5" s="1"/>
  <c r="AI27" i="5" s="1"/>
  <c r="D18" i="13"/>
  <c r="C19" i="13"/>
  <c r="CO12" i="12"/>
  <c r="T5" i="13"/>
  <c r="T6" i="13" s="1"/>
  <c r="CO56" i="12"/>
  <c r="D8" i="13"/>
  <c r="L119" i="12"/>
  <c r="CO11" i="12"/>
  <c r="CO13" i="12"/>
  <c r="Q15" i="12"/>
  <c r="W7" i="13"/>
  <c r="W9" i="13" s="1"/>
  <c r="W11" i="13" s="1"/>
  <c r="W14" i="13" s="1"/>
  <c r="Y9" i="13"/>
  <c r="Y11" i="13" s="1"/>
  <c r="Y14" i="13" s="1"/>
  <c r="AF7" i="13"/>
  <c r="U6" i="13"/>
  <c r="U9" i="13" s="1"/>
  <c r="U11" i="13" s="1"/>
  <c r="U14" i="13" s="1"/>
  <c r="N15" i="12"/>
  <c r="V7" i="13"/>
  <c r="M8" i="12"/>
  <c r="M9" i="12" s="1"/>
  <c r="L29" i="1"/>
  <c r="L30" i="1" s="1"/>
  <c r="AJ6" i="13"/>
  <c r="AA109" i="1"/>
  <c r="AA11" i="1"/>
  <c r="Y25" i="1"/>
  <c r="AR25" i="13"/>
  <c r="AV6" i="13"/>
  <c r="E18" i="13"/>
  <c r="AA82" i="12"/>
  <c r="AA116" i="12" s="1"/>
  <c r="AA118" i="12" s="1"/>
  <c r="P15" i="12"/>
  <c r="Y12" i="12"/>
  <c r="AG7" i="13" s="1"/>
  <c r="Z90" i="12"/>
  <c r="Z13" i="12" s="1"/>
  <c r="X9" i="13"/>
  <c r="X11" i="13" s="1"/>
  <c r="X14" i="13" s="1"/>
  <c r="AM8" i="12"/>
  <c r="AM9" i="12" s="1"/>
  <c r="BA14" i="6"/>
  <c r="BA18" i="6" s="1"/>
  <c r="BA22" i="6" s="1"/>
  <c r="BA24" i="6" s="1"/>
  <c r="BB47" i="6"/>
  <c r="BB74" i="6" s="1"/>
  <c r="BB92" i="6" s="1"/>
  <c r="BB11" i="6"/>
  <c r="BB14" i="6" s="1"/>
  <c r="BB18" i="6" s="1"/>
  <c r="BB22" i="6" s="1"/>
  <c r="O82" i="12"/>
  <c r="CI6" i="14"/>
  <c r="BH47" i="11"/>
  <c r="BH75" i="11" s="1"/>
  <c r="BH93" i="11" s="1"/>
  <c r="BH11" i="11"/>
  <c r="BH14" i="11" s="1"/>
  <c r="BH18" i="11" s="1"/>
  <c r="BH22" i="11" s="1"/>
  <c r="BI48" i="11"/>
  <c r="BJ50" i="11"/>
  <c r="AJ57" i="12"/>
  <c r="AJ56" i="12" s="1"/>
  <c r="X56" i="21" s="1"/>
  <c r="BD50" i="7"/>
  <c r="BC48" i="7"/>
  <c r="BA14" i="7"/>
  <c r="BA18" i="7" s="1"/>
  <c r="BA22" i="7" s="1"/>
  <c r="BA24" i="7" s="1"/>
  <c r="BA75" i="7"/>
  <c r="BB47" i="7"/>
  <c r="BB75" i="7" s="1"/>
  <c r="BB92" i="7" s="1"/>
  <c r="BB11" i="7"/>
  <c r="BB14" i="7" s="1"/>
  <c r="BB18" i="7" s="1"/>
  <c r="BB22" i="7" s="1"/>
  <c r="BA74" i="6"/>
  <c r="CP74" i="6" s="1"/>
  <c r="BD50" i="6"/>
  <c r="BC48" i="6"/>
  <c r="BM47" i="5"/>
  <c r="BM11" i="5"/>
  <c r="BM14" i="5" s="1"/>
  <c r="BM18" i="5" s="1"/>
  <c r="BM22" i="5" s="1"/>
  <c r="BM24" i="5" s="1"/>
  <c r="BO50" i="5"/>
  <c r="BN48" i="5"/>
  <c r="BK26" i="5"/>
  <c r="BK27" i="5" s="1"/>
  <c r="CO12" i="5"/>
  <c r="CO14" i="5" s="1"/>
  <c r="CO18" i="5" s="1"/>
  <c r="CO22" i="5" s="1"/>
  <c r="O15" i="12"/>
  <c r="AP17" i="13"/>
  <c r="AL18" i="12"/>
  <c r="N82" i="12"/>
  <c r="AR6" i="13"/>
  <c r="AA91" i="12"/>
  <c r="AA90" i="12" s="1"/>
  <c r="AA13" i="12" s="1"/>
  <c r="AB105" i="1"/>
  <c r="AB12" i="1" s="1"/>
  <c r="X8" i="12"/>
  <c r="AG8" i="13"/>
  <c r="CO109" i="1"/>
  <c r="AK11" i="8"/>
  <c r="AK14" i="8" s="1"/>
  <c r="AK18" i="8" s="1"/>
  <c r="AK22" i="8" s="1"/>
  <c r="AK24" i="8" s="1"/>
  <c r="AK47" i="8"/>
  <c r="AJ75" i="8"/>
  <c r="AJ93" i="8" s="1"/>
  <c r="AM50" i="8"/>
  <c r="AL48" i="8"/>
  <c r="AL59" i="12" s="1"/>
  <c r="AI93" i="8"/>
  <c r="AI26" i="8"/>
  <c r="AI27" i="8" s="1"/>
  <c r="CN24" i="11"/>
  <c r="CN26" i="11" s="1"/>
  <c r="CN27" i="11" s="1"/>
  <c r="CN24" i="8"/>
  <c r="CN26" i="8" s="1"/>
  <c r="CN27" i="8" s="1"/>
  <c r="CN24" i="7"/>
  <c r="CN26" i="7" s="1"/>
  <c r="CN27" i="7" s="1"/>
  <c r="CN24" i="6"/>
  <c r="CN26" i="6" s="1"/>
  <c r="CN27" i="6" s="1"/>
  <c r="CN29" i="1"/>
  <c r="CN30" i="1" s="1"/>
  <c r="CW54" i="12" l="1"/>
  <c r="AC119" i="12"/>
  <c r="Q12" i="22" s="1"/>
  <c r="Y54" i="21"/>
  <c r="X52" i="21" s="1"/>
  <c r="M12" i="21"/>
  <c r="M13" i="21" s="1"/>
  <c r="M14" i="22"/>
  <c r="L13" i="21"/>
  <c r="G25" i="21"/>
  <c r="I28" i="22"/>
  <c r="H15" i="21"/>
  <c r="H21" i="21" s="1"/>
  <c r="J13" i="22"/>
  <c r="CN26" i="12"/>
  <c r="CN30" i="12" s="1"/>
  <c r="CN31" i="12" s="1"/>
  <c r="CO27" i="1"/>
  <c r="CO15" i="12"/>
  <c r="L15" i="12"/>
  <c r="L16" i="12" s="1"/>
  <c r="T9" i="13"/>
  <c r="T11" i="13" s="1"/>
  <c r="T14" i="13" s="1"/>
  <c r="Z100" i="12"/>
  <c r="CO24" i="5"/>
  <c r="CO26" i="5" s="1"/>
  <c r="CO27" i="5" s="1"/>
  <c r="P20" i="12"/>
  <c r="P26" i="12" s="1"/>
  <c r="P16" i="12"/>
  <c r="O20" i="12"/>
  <c r="O26" i="12" s="1"/>
  <c r="O16" i="12"/>
  <c r="Q20" i="12"/>
  <c r="Q26" i="12" s="1"/>
  <c r="Q16" i="12"/>
  <c r="N20" i="12"/>
  <c r="N26" i="12" s="1"/>
  <c r="N16" i="12"/>
  <c r="BB24" i="6"/>
  <c r="BB26" i="6" s="1"/>
  <c r="BB27" i="6" s="1"/>
  <c r="BB24" i="7"/>
  <c r="BB26" i="7" s="1"/>
  <c r="BB27" i="7" s="1"/>
  <c r="BH24" i="11"/>
  <c r="BH26" i="11" s="1"/>
  <c r="BH27" i="11" s="1"/>
  <c r="Y27" i="1"/>
  <c r="Y29" i="1" s="1"/>
  <c r="Y30" i="1" s="1"/>
  <c r="F18" i="13"/>
  <c r="D5" i="13"/>
  <c r="D7" i="13"/>
  <c r="M119" i="12"/>
  <c r="L120" i="12"/>
  <c r="BA92" i="7"/>
  <c r="CP75" i="7"/>
  <c r="M15" i="12"/>
  <c r="V9" i="13"/>
  <c r="V11" i="13" s="1"/>
  <c r="V14" i="13" s="1"/>
  <c r="AQ17" i="13"/>
  <c r="AT10" i="13"/>
  <c r="AB109" i="1"/>
  <c r="AB11" i="1"/>
  <c r="AS25" i="13"/>
  <c r="Z12" i="12"/>
  <c r="AH7" i="13" s="1"/>
  <c r="CI8" i="14"/>
  <c r="CO82" i="12"/>
  <c r="BC11" i="6"/>
  <c r="BC14" i="6" s="1"/>
  <c r="BC18" i="6" s="1"/>
  <c r="BC22" i="6" s="1"/>
  <c r="AA100" i="12"/>
  <c r="BK50" i="11"/>
  <c r="BJ48" i="11"/>
  <c r="BI47" i="11"/>
  <c r="BI75" i="11" s="1"/>
  <c r="BI93" i="11" s="1"/>
  <c r="BI11" i="11"/>
  <c r="BI14" i="11" s="1"/>
  <c r="BI18" i="11" s="1"/>
  <c r="BI22" i="11" s="1"/>
  <c r="AK57" i="12"/>
  <c r="AK56" i="12" s="1"/>
  <c r="Y56" i="21" s="1"/>
  <c r="Z54" i="21" s="1"/>
  <c r="Y52" i="21" s="1"/>
  <c r="BC11" i="7"/>
  <c r="BC14" i="7" s="1"/>
  <c r="BC18" i="7" s="1"/>
  <c r="BC22" i="7" s="1"/>
  <c r="BC47" i="7"/>
  <c r="BE50" i="7"/>
  <c r="BD48" i="7"/>
  <c r="BC47" i="6"/>
  <c r="BE50" i="6"/>
  <c r="BD48" i="6"/>
  <c r="BA92" i="6"/>
  <c r="BP50" i="5"/>
  <c r="BO48" i="5"/>
  <c r="BN47" i="5"/>
  <c r="BN11" i="5"/>
  <c r="BM75" i="5"/>
  <c r="BM93" i="5" s="1"/>
  <c r="AM18" i="12"/>
  <c r="AU10" i="13" s="1"/>
  <c r="Z14" i="1"/>
  <c r="Z18" i="1" s="1"/>
  <c r="X9" i="12"/>
  <c r="X15" i="12"/>
  <c r="AH8" i="13"/>
  <c r="AA14" i="1"/>
  <c r="AA18" i="1" s="1"/>
  <c r="AC105" i="1"/>
  <c r="AB91" i="12"/>
  <c r="Y15" i="12"/>
  <c r="AL47" i="8"/>
  <c r="AL11" i="8"/>
  <c r="AN50" i="8"/>
  <c r="AM48" i="8"/>
  <c r="AM59" i="12" s="1"/>
  <c r="AK75" i="8"/>
  <c r="AK26" i="8"/>
  <c r="AK27" i="8" s="1"/>
  <c r="BN75" i="5" l="1"/>
  <c r="AC12" i="1"/>
  <c r="AD105" i="1"/>
  <c r="Y51" i="21"/>
  <c r="AE8" i="14" s="1"/>
  <c r="O11" i="21"/>
  <c r="N14" i="22"/>
  <c r="N12" i="21"/>
  <c r="H25" i="21"/>
  <c r="J28" i="22"/>
  <c r="I15" i="21"/>
  <c r="I21" i="21" s="1"/>
  <c r="I25" i="21" s="1"/>
  <c r="E33" i="12"/>
  <c r="D6" i="13"/>
  <c r="L20" i="12"/>
  <c r="L26" i="12" s="1"/>
  <c r="M20" i="12"/>
  <c r="M26" i="12" s="1"/>
  <c r="M16" i="12"/>
  <c r="X20" i="12"/>
  <c r="X16" i="12"/>
  <c r="Y20" i="12"/>
  <c r="Y16" i="12"/>
  <c r="T15" i="13"/>
  <c r="BC24" i="6"/>
  <c r="BC26" i="6" s="1"/>
  <c r="BC27" i="6" s="1"/>
  <c r="BC24" i="7"/>
  <c r="BC26" i="7" s="1"/>
  <c r="BC27" i="7" s="1"/>
  <c r="BI24" i="11"/>
  <c r="BI26" i="11" s="1"/>
  <c r="BI27" i="11" s="1"/>
  <c r="G18" i="13"/>
  <c r="N119" i="12"/>
  <c r="M120" i="12"/>
  <c r="BA26" i="7"/>
  <c r="BA27" i="7" s="1"/>
  <c r="CP24" i="7"/>
  <c r="CP26" i="7" s="1"/>
  <c r="CP27" i="7" s="1"/>
  <c r="BA26" i="6"/>
  <c r="BA27" i="6" s="1"/>
  <c r="CP24" i="6"/>
  <c r="CP26" i="6" s="1"/>
  <c r="CP27" i="6" s="1"/>
  <c r="AC109" i="1"/>
  <c r="AC11" i="1"/>
  <c r="AA25" i="1"/>
  <c r="Z25" i="1"/>
  <c r="Z27" i="1" s="1"/>
  <c r="AT25" i="13"/>
  <c r="AB90" i="12"/>
  <c r="AB13" i="12" s="1"/>
  <c r="AJ82" i="12"/>
  <c r="AA12" i="12"/>
  <c r="AI7" i="13" s="1"/>
  <c r="BD47" i="6"/>
  <c r="BD74" i="6" s="1"/>
  <c r="BD92" i="6" s="1"/>
  <c r="BD11" i="6"/>
  <c r="CI7" i="14"/>
  <c r="BJ47" i="11"/>
  <c r="BJ75" i="11" s="1"/>
  <c r="BJ93" i="11" s="1"/>
  <c r="BJ11" i="11"/>
  <c r="BJ14" i="11" s="1"/>
  <c r="BJ18" i="11" s="1"/>
  <c r="BJ22" i="11" s="1"/>
  <c r="BL50" i="11"/>
  <c r="BK48" i="11"/>
  <c r="AL57" i="12"/>
  <c r="AL56" i="12" s="1"/>
  <c r="Z56" i="21" s="1"/>
  <c r="BE48" i="7"/>
  <c r="BF50" i="7"/>
  <c r="BD11" i="7"/>
  <c r="BD47" i="7"/>
  <c r="BD75" i="7" s="1"/>
  <c r="BD92" i="7" s="1"/>
  <c r="BC75" i="7"/>
  <c r="BC92" i="7" s="1"/>
  <c r="BE48" i="6"/>
  <c r="BF50" i="6"/>
  <c r="BC74" i="6"/>
  <c r="BN14" i="5"/>
  <c r="BN18" i="5" s="1"/>
  <c r="BN22" i="5" s="1"/>
  <c r="BO47" i="5"/>
  <c r="BO11" i="5"/>
  <c r="BO14" i="5" s="1"/>
  <c r="BO18" i="5" s="1"/>
  <c r="BO22" i="5" s="1"/>
  <c r="BQ50" i="5"/>
  <c r="BP48" i="5"/>
  <c r="BM26" i="5"/>
  <c r="BM27" i="5" s="1"/>
  <c r="AN18" i="12"/>
  <c r="Z15" i="12"/>
  <c r="AI8" i="13"/>
  <c r="AC91" i="12"/>
  <c r="AO50" i="8"/>
  <c r="CO50" i="8" s="1"/>
  <c r="AN48" i="8"/>
  <c r="AN59" i="12" s="1"/>
  <c r="AL14" i="8"/>
  <c r="AL18" i="8" s="1"/>
  <c r="AL22" i="8" s="1"/>
  <c r="AL75" i="8"/>
  <c r="AL93" i="8" s="1"/>
  <c r="AK93" i="8"/>
  <c r="AM47" i="8"/>
  <c r="AM11" i="8"/>
  <c r="BN93" i="5" l="1"/>
  <c r="AJ116" i="12"/>
  <c r="AJ118" i="12" s="1"/>
  <c r="AA54" i="21"/>
  <c r="Z52" i="21" s="1"/>
  <c r="Z51" i="21" s="1"/>
  <c r="AF8" i="14" s="1"/>
  <c r="N13" i="21"/>
  <c r="P11" i="21"/>
  <c r="O14" i="22"/>
  <c r="O12" i="21"/>
  <c r="O13" i="21" s="1"/>
  <c r="J15" i="21"/>
  <c r="AB100" i="12"/>
  <c r="Z20" i="12"/>
  <c r="Z16" i="12"/>
  <c r="BN24" i="5"/>
  <c r="AL24" i="8"/>
  <c r="AL26" i="8" s="1"/>
  <c r="AL27" i="8" s="1"/>
  <c r="BJ24" i="11"/>
  <c r="BJ26" i="11" s="1"/>
  <c r="BJ27" i="11" s="1"/>
  <c r="AA27" i="1"/>
  <c r="AA29" i="1" s="1"/>
  <c r="AA30" i="1" s="1"/>
  <c r="BO24" i="5"/>
  <c r="BO26" i="5" s="1"/>
  <c r="BO27" i="5" s="1"/>
  <c r="L30" i="12"/>
  <c r="L35" i="12" s="1"/>
  <c r="O119" i="12"/>
  <c r="N120" i="12"/>
  <c r="AS17" i="13"/>
  <c r="AV10" i="13"/>
  <c r="Z29" i="1"/>
  <c r="Z30" i="1" s="1"/>
  <c r="AU25" i="13"/>
  <c r="AB12" i="12"/>
  <c r="AJ7" i="13" s="1"/>
  <c r="AK82" i="12"/>
  <c r="AC90" i="12"/>
  <c r="AC13" i="12" s="1"/>
  <c r="BE11" i="6"/>
  <c r="BE14" i="6" s="1"/>
  <c r="BE18" i="6" s="1"/>
  <c r="BE22" i="6" s="1"/>
  <c r="BD14" i="6"/>
  <c r="BD18" i="6" s="1"/>
  <c r="BD22" i="6" s="1"/>
  <c r="BD24" i="6" s="1"/>
  <c r="CI9" i="14"/>
  <c r="AR17" i="13"/>
  <c r="BK47" i="11"/>
  <c r="BK11" i="11"/>
  <c r="BM50" i="11"/>
  <c r="BL48" i="11"/>
  <c r="AM57" i="12"/>
  <c r="AM56" i="12" s="1"/>
  <c r="AA56" i="21" s="1"/>
  <c r="BF48" i="7"/>
  <c r="BG50" i="7"/>
  <c r="BE11" i="7"/>
  <c r="BE14" i="7" s="1"/>
  <c r="BE18" i="7" s="1"/>
  <c r="BE22" i="7" s="1"/>
  <c r="BE24" i="7" s="1"/>
  <c r="BE47" i="7"/>
  <c r="BD14" i="7"/>
  <c r="BD18" i="7" s="1"/>
  <c r="BD22" i="7" s="1"/>
  <c r="BD24" i="7" s="1"/>
  <c r="BC92" i="6"/>
  <c r="BG50" i="6"/>
  <c r="BF48" i="6"/>
  <c r="BE47" i="6"/>
  <c r="BR50" i="5"/>
  <c r="BQ48" i="5"/>
  <c r="BP11" i="5"/>
  <c r="BP14" i="5" s="1"/>
  <c r="BP18" i="5" s="1"/>
  <c r="BP22" i="5" s="1"/>
  <c r="BP47" i="5"/>
  <c r="BP75" i="5" s="1"/>
  <c r="BP93" i="5" s="1"/>
  <c r="BO75" i="5"/>
  <c r="BO93" i="5" s="1"/>
  <c r="AB14" i="1"/>
  <c r="AB18" i="1" s="1"/>
  <c r="AO18" i="12"/>
  <c r="AW10" i="13" s="1"/>
  <c r="AA15" i="12"/>
  <c r="AE105" i="1"/>
  <c r="AD91" i="12"/>
  <c r="AJ8" i="13"/>
  <c r="AN47" i="8"/>
  <c r="AN11" i="8"/>
  <c r="AP50" i="8"/>
  <c r="AO48" i="8"/>
  <c r="AM14" i="8"/>
  <c r="AM18" i="8" s="1"/>
  <c r="AM22" i="8" s="1"/>
  <c r="AM24" i="8" s="1"/>
  <c r="AM75" i="8"/>
  <c r="BN26" i="5" l="1"/>
  <c r="BN27" i="5" s="1"/>
  <c r="AK116" i="12"/>
  <c r="AK118" i="12" s="1"/>
  <c r="CO48" i="8"/>
  <c r="AO59" i="12"/>
  <c r="AB54" i="21"/>
  <c r="AA52" i="21" s="1"/>
  <c r="AA51" i="21" s="1"/>
  <c r="AG8" i="14" s="1"/>
  <c r="P14" i="22"/>
  <c r="P12" i="21"/>
  <c r="P13" i="21" s="1"/>
  <c r="J21" i="21"/>
  <c r="AC100" i="12"/>
  <c r="AA20" i="12"/>
  <c r="AA16" i="12"/>
  <c r="L31" i="12"/>
  <c r="BE24" i="6"/>
  <c r="BE26" i="6" s="1"/>
  <c r="BE27" i="6" s="1"/>
  <c r="BP24" i="5"/>
  <c r="BP26" i="5" s="1"/>
  <c r="BP27" i="5" s="1"/>
  <c r="P119" i="12"/>
  <c r="O120" i="12"/>
  <c r="AN14" i="8"/>
  <c r="AN18" i="8" s="1"/>
  <c r="AN22" i="8" s="1"/>
  <c r="AN24" i="8" s="1"/>
  <c r="AB25" i="1"/>
  <c r="AC12" i="12"/>
  <c r="AK7" i="13" s="1"/>
  <c r="AV25" i="13"/>
  <c r="AD90" i="12"/>
  <c r="BF47" i="6"/>
  <c r="BF74" i="6" s="1"/>
  <c r="BF92" i="6" s="1"/>
  <c r="BF11" i="6"/>
  <c r="BF14" i="6" s="1"/>
  <c r="BF18" i="6" s="1"/>
  <c r="BF22" i="6" s="1"/>
  <c r="BF24" i="6" s="1"/>
  <c r="BD26" i="6"/>
  <c r="BD27" i="6" s="1"/>
  <c r="BK75" i="11"/>
  <c r="BK14" i="11"/>
  <c r="BK18" i="11" s="1"/>
  <c r="BK22" i="11" s="1"/>
  <c r="BK24" i="11" s="1"/>
  <c r="BL47" i="11"/>
  <c r="BL75" i="11" s="1"/>
  <c r="BL93" i="11" s="1"/>
  <c r="BL11" i="11"/>
  <c r="BL14" i="11" s="1"/>
  <c r="BL18" i="11" s="1"/>
  <c r="BL22" i="11" s="1"/>
  <c r="BN50" i="11"/>
  <c r="BM48" i="11"/>
  <c r="AL82" i="12"/>
  <c r="BE26" i="7"/>
  <c r="BE27" i="7" s="1"/>
  <c r="BH50" i="7"/>
  <c r="BG48" i="7"/>
  <c r="BD26" i="7"/>
  <c r="BD27" i="7" s="1"/>
  <c r="BF11" i="7"/>
  <c r="BF47" i="7"/>
  <c r="BF75" i="7" s="1"/>
  <c r="BF92" i="7" s="1"/>
  <c r="BE75" i="7"/>
  <c r="BE92" i="7" s="1"/>
  <c r="BH50" i="6"/>
  <c r="BG48" i="6"/>
  <c r="BE74" i="6"/>
  <c r="BQ47" i="5"/>
  <c r="BQ11" i="5"/>
  <c r="BS50" i="5"/>
  <c r="BR48" i="5"/>
  <c r="AP18" i="12"/>
  <c r="AF9" i="13"/>
  <c r="AF11" i="13" s="1"/>
  <c r="AG9" i="13"/>
  <c r="AG11" i="13" s="1"/>
  <c r="AK8" i="13"/>
  <c r="AC14" i="1"/>
  <c r="AC18" i="1" s="1"/>
  <c r="AF105" i="1"/>
  <c r="AE91" i="12"/>
  <c r="AB15" i="12"/>
  <c r="AM26" i="8"/>
  <c r="AM27" i="8" s="1"/>
  <c r="AM93" i="8"/>
  <c r="AN75" i="8"/>
  <c r="AN93" i="8" s="1"/>
  <c r="AO47" i="8"/>
  <c r="AO11" i="8"/>
  <c r="AO14" i="8" s="1"/>
  <c r="AO18" i="8" s="1"/>
  <c r="AO22" i="8" s="1"/>
  <c r="AQ50" i="8"/>
  <c r="AP48" i="8"/>
  <c r="AP59" i="12" s="1"/>
  <c r="AL116" i="12" l="1"/>
  <c r="AL118" i="12" s="1"/>
  <c r="K25" i="21"/>
  <c r="J25" i="21"/>
  <c r="CO93" i="12"/>
  <c r="AB20" i="12"/>
  <c r="AB16" i="12"/>
  <c r="AO24" i="8"/>
  <c r="AO26" i="8" s="1"/>
  <c r="AO27" i="8" s="1"/>
  <c r="AB27" i="1"/>
  <c r="AB29" i="1" s="1"/>
  <c r="AB30" i="1" s="1"/>
  <c r="BL24" i="11"/>
  <c r="BL26" i="11" s="1"/>
  <c r="BL27" i="11" s="1"/>
  <c r="Q119" i="12"/>
  <c r="P120" i="12"/>
  <c r="CO11" i="8"/>
  <c r="CO14" i="8" s="1"/>
  <c r="CO18" i="8" s="1"/>
  <c r="CO22" i="8" s="1"/>
  <c r="AN26" i="8"/>
  <c r="AN27" i="8" s="1"/>
  <c r="AU17" i="13"/>
  <c r="AX10" i="13"/>
  <c r="AC25" i="1"/>
  <c r="AW25" i="13"/>
  <c r="AE90" i="12"/>
  <c r="AN57" i="12"/>
  <c r="AN56" i="12" s="1"/>
  <c r="AB56" i="21" s="1"/>
  <c r="BG47" i="6"/>
  <c r="BG11" i="6"/>
  <c r="BG14" i="6" s="1"/>
  <c r="BG18" i="6" s="1"/>
  <c r="BG22" i="6" s="1"/>
  <c r="BG24" i="6" s="1"/>
  <c r="BF26" i="6"/>
  <c r="BF27" i="6" s="1"/>
  <c r="BK26" i="11"/>
  <c r="BK27" i="11" s="1"/>
  <c r="BK93" i="11"/>
  <c r="AT17" i="13"/>
  <c r="BM47" i="11"/>
  <c r="BM75" i="11" s="1"/>
  <c r="BM93" i="11" s="1"/>
  <c r="BM11" i="11"/>
  <c r="BO50" i="11"/>
  <c r="BN48" i="11"/>
  <c r="BF14" i="7"/>
  <c r="BF18" i="7" s="1"/>
  <c r="BF22" i="7" s="1"/>
  <c r="BF24" i="7" s="1"/>
  <c r="BG47" i="7"/>
  <c r="BG11" i="7"/>
  <c r="BG14" i="7" s="1"/>
  <c r="BG18" i="7" s="1"/>
  <c r="BG22" i="7" s="1"/>
  <c r="BI50" i="7"/>
  <c r="BH48" i="7"/>
  <c r="BE92" i="6"/>
  <c r="BI50" i="6"/>
  <c r="BH48" i="6"/>
  <c r="BQ14" i="5"/>
  <c r="BQ18" i="5" s="1"/>
  <c r="BQ22" i="5" s="1"/>
  <c r="BQ24" i="5" s="1"/>
  <c r="BR47" i="5"/>
  <c r="BR75" i="5" s="1"/>
  <c r="BR93" i="5" s="1"/>
  <c r="BR11" i="5"/>
  <c r="BR14" i="5" s="1"/>
  <c r="BR18" i="5" s="1"/>
  <c r="BR22" i="5" s="1"/>
  <c r="BQ75" i="5"/>
  <c r="BT50" i="5"/>
  <c r="BS48" i="5"/>
  <c r="AQ18" i="12"/>
  <c r="AY10" i="13" s="1"/>
  <c r="AH9" i="13"/>
  <c r="AH11" i="13" s="1"/>
  <c r="AC15" i="12"/>
  <c r="AG105" i="1"/>
  <c r="AF91" i="12"/>
  <c r="AO75" i="8"/>
  <c r="CO75" i="8" s="1"/>
  <c r="AP47" i="8"/>
  <c r="AP11" i="8"/>
  <c r="AR50" i="8"/>
  <c r="AQ48" i="8"/>
  <c r="AQ59" i="12" s="1"/>
  <c r="BQ93" i="5" l="1"/>
  <c r="AC54" i="21"/>
  <c r="AB52" i="21" s="1"/>
  <c r="AB51" i="21" s="1"/>
  <c r="AH8" i="14" s="1"/>
  <c r="CO24" i="8"/>
  <c r="CO26" i="8" s="1"/>
  <c r="CO27" i="8" s="1"/>
  <c r="AC20" i="12"/>
  <c r="AC16" i="12"/>
  <c r="BR24" i="5"/>
  <c r="BR26" i="5" s="1"/>
  <c r="BR27" i="5" s="1"/>
  <c r="AC27" i="1"/>
  <c r="AC29" i="1" s="1"/>
  <c r="AC30" i="1" s="1"/>
  <c r="BG24" i="7"/>
  <c r="BG26" i="7" s="1"/>
  <c r="BG27" i="7" s="1"/>
  <c r="H18" i="13"/>
  <c r="Q120" i="12"/>
  <c r="CI10" i="14" s="1"/>
  <c r="AX25" i="13"/>
  <c r="AF90" i="12"/>
  <c r="AN82" i="12"/>
  <c r="AO57" i="12"/>
  <c r="AO56" i="12" s="1"/>
  <c r="AC56" i="21" s="1"/>
  <c r="BG74" i="6"/>
  <c r="BH47" i="6"/>
  <c r="BH74" i="6" s="1"/>
  <c r="BH92" i="6" s="1"/>
  <c r="BH11" i="6"/>
  <c r="BH14" i="6" s="1"/>
  <c r="BH18" i="6" s="1"/>
  <c r="BH22" i="6" s="1"/>
  <c r="BH24" i="6" s="1"/>
  <c r="BG26" i="6"/>
  <c r="BG27" i="6" s="1"/>
  <c r="BM14" i="11"/>
  <c r="BM18" i="11" s="1"/>
  <c r="BM22" i="11" s="1"/>
  <c r="BM24" i="11" s="1"/>
  <c r="AM82" i="12"/>
  <c r="BN47" i="11"/>
  <c r="BN11" i="11"/>
  <c r="BO48" i="11"/>
  <c r="BP50" i="11"/>
  <c r="BG75" i="7"/>
  <c r="BG92" i="7" s="1"/>
  <c r="BH47" i="7"/>
  <c r="BH75" i="7" s="1"/>
  <c r="BH92" i="7" s="1"/>
  <c r="BH11" i="7"/>
  <c r="BH14" i="7" s="1"/>
  <c r="BH18" i="7" s="1"/>
  <c r="BH22" i="7" s="1"/>
  <c r="BI48" i="7"/>
  <c r="BJ50" i="7"/>
  <c r="BF26" i="7"/>
  <c r="BF27" i="7" s="1"/>
  <c r="BJ50" i="6"/>
  <c r="BI48" i="6"/>
  <c r="BS47" i="5"/>
  <c r="BS75" i="5" s="1"/>
  <c r="BS93" i="5" s="1"/>
  <c r="BS11" i="5"/>
  <c r="BS14" i="5" s="1"/>
  <c r="BS18" i="5" s="1"/>
  <c r="BS22" i="5" s="1"/>
  <c r="BU50" i="5"/>
  <c r="BV50" i="5" s="1"/>
  <c r="BT48" i="5"/>
  <c r="BQ26" i="5"/>
  <c r="BQ27" i="5" s="1"/>
  <c r="AR18" i="12"/>
  <c r="AI9" i="13"/>
  <c r="AI11" i="13" s="1"/>
  <c r="AH105" i="1"/>
  <c r="AG91" i="12"/>
  <c r="AQ47" i="8"/>
  <c r="AQ11" i="8"/>
  <c r="AQ14" i="8" s="1"/>
  <c r="AQ18" i="8" s="1"/>
  <c r="AQ22" i="8" s="1"/>
  <c r="AP14" i="8"/>
  <c r="AP18" i="8" s="1"/>
  <c r="AP22" i="8" s="1"/>
  <c r="AP24" i="8" s="1"/>
  <c r="AS50" i="8"/>
  <c r="AR48" i="8"/>
  <c r="AR59" i="12" s="1"/>
  <c r="AP75" i="8"/>
  <c r="AP93" i="8" s="1"/>
  <c r="AO93" i="8"/>
  <c r="BN14" i="11" l="1"/>
  <c r="BN18" i="11" s="1"/>
  <c r="BN22" i="11" s="1"/>
  <c r="BN75" i="11"/>
  <c r="AN116" i="12"/>
  <c r="AN118" i="12" s="1"/>
  <c r="AM116" i="12"/>
  <c r="AM118" i="12" s="1"/>
  <c r="AD54" i="21"/>
  <c r="AC52" i="21" s="1"/>
  <c r="AC51" i="21" s="1"/>
  <c r="AI8" i="14" s="1"/>
  <c r="BH24" i="7"/>
  <c r="BH26" i="7" s="1"/>
  <c r="BH27" i="7" s="1"/>
  <c r="BS24" i="5"/>
  <c r="BS26" i="5" s="1"/>
  <c r="BS27" i="5" s="1"/>
  <c r="BN24" i="11"/>
  <c r="AQ24" i="8"/>
  <c r="AQ26" i="8" s="1"/>
  <c r="AQ27" i="8" s="1"/>
  <c r="BV48" i="5"/>
  <c r="BW50" i="5"/>
  <c r="AW17" i="13"/>
  <c r="AZ10" i="13"/>
  <c r="AY25" i="13"/>
  <c r="AG90" i="12"/>
  <c r="BI47" i="6"/>
  <c r="BI74" i="6" s="1"/>
  <c r="BI92" i="6" s="1"/>
  <c r="BI11" i="6"/>
  <c r="BI14" i="6" s="1"/>
  <c r="BI18" i="6" s="1"/>
  <c r="BI22" i="6" s="1"/>
  <c r="BM26" i="11"/>
  <c r="BM27" i="11" s="1"/>
  <c r="BH26" i="6"/>
  <c r="BH27" i="6" s="1"/>
  <c r="BG92" i="6"/>
  <c r="AV17" i="13"/>
  <c r="BQ50" i="11"/>
  <c r="BP48" i="11"/>
  <c r="BO47" i="11"/>
  <c r="BO11" i="11"/>
  <c r="BO14" i="11" s="1"/>
  <c r="BO18" i="11" s="1"/>
  <c r="BO22" i="11" s="1"/>
  <c r="BO24" i="11" s="1"/>
  <c r="BK50" i="7"/>
  <c r="BJ48" i="7"/>
  <c r="BI11" i="7"/>
  <c r="BI14" i="7" s="1"/>
  <c r="BI18" i="7" s="1"/>
  <c r="BI22" i="7" s="1"/>
  <c r="BI47" i="7"/>
  <c r="BI75" i="7" s="1"/>
  <c r="BI92" i="7" s="1"/>
  <c r="BK50" i="6"/>
  <c r="BJ48" i="6"/>
  <c r="BT47" i="5"/>
  <c r="BT75" i="5" s="1"/>
  <c r="BT93" i="5" s="1"/>
  <c r="BT11" i="5"/>
  <c r="BT14" i="5" s="1"/>
  <c r="BT18" i="5" s="1"/>
  <c r="BT22" i="5" s="1"/>
  <c r="BU48" i="5"/>
  <c r="AS18" i="12"/>
  <c r="AI105" i="1"/>
  <c r="AH91" i="12"/>
  <c r="AR11" i="8"/>
  <c r="AR47" i="8"/>
  <c r="AT50" i="8"/>
  <c r="AS48" i="8"/>
  <c r="AS59" i="12" s="1"/>
  <c r="AQ75" i="8"/>
  <c r="AP26" i="8"/>
  <c r="AP27" i="8" s="1"/>
  <c r="BN93" i="11" l="1"/>
  <c r="BN26" i="11"/>
  <c r="BN27" i="11" s="1"/>
  <c r="BI24" i="7"/>
  <c r="BI26" i="7" s="1"/>
  <c r="BI27" i="7" s="1"/>
  <c r="BI24" i="6"/>
  <c r="BI26" i="6" s="1"/>
  <c r="BI27" i="6" s="1"/>
  <c r="BT24" i="5"/>
  <c r="BT26" i="5" s="1"/>
  <c r="BT27" i="5" s="1"/>
  <c r="BW48" i="5"/>
  <c r="BX50" i="5"/>
  <c r="BY50" i="5" s="1"/>
  <c r="BV47" i="5"/>
  <c r="BV75" i="5" s="1"/>
  <c r="BV93" i="5" s="1"/>
  <c r="BV11" i="5"/>
  <c r="BV14" i="5" s="1"/>
  <c r="BV18" i="5" s="1"/>
  <c r="BV22" i="5" s="1"/>
  <c r="AO82" i="12"/>
  <c r="AX17" i="13"/>
  <c r="BA10" i="13"/>
  <c r="AZ25" i="13"/>
  <c r="AH90" i="12"/>
  <c r="BJ47" i="6"/>
  <c r="BJ74" i="6" s="1"/>
  <c r="BJ92" i="6" s="1"/>
  <c r="BJ11" i="6"/>
  <c r="BJ14" i="6" s="1"/>
  <c r="BJ18" i="6" s="1"/>
  <c r="BJ22" i="6" s="1"/>
  <c r="BO75" i="11"/>
  <c r="BO26" i="11"/>
  <c r="BO27" i="11" s="1"/>
  <c r="BP47" i="11"/>
  <c r="BP11" i="11"/>
  <c r="BQ48" i="11"/>
  <c r="BR50" i="11"/>
  <c r="BJ11" i="7"/>
  <c r="BJ14" i="7" s="1"/>
  <c r="BJ18" i="7" s="1"/>
  <c r="BJ22" i="7" s="1"/>
  <c r="BJ47" i="7"/>
  <c r="BJ75" i="7" s="1"/>
  <c r="BJ92" i="7" s="1"/>
  <c r="BK48" i="7"/>
  <c r="BL50" i="7"/>
  <c r="BL50" i="6"/>
  <c r="BK48" i="6"/>
  <c r="BU11" i="5"/>
  <c r="BU14" i="5" s="1"/>
  <c r="BU18" i="5" s="1"/>
  <c r="BU22" i="5" s="1"/>
  <c r="BU47" i="5"/>
  <c r="BU75" i="5" s="1"/>
  <c r="BU93" i="5" s="1"/>
  <c r="AT18" i="12"/>
  <c r="AJ9" i="13"/>
  <c r="AJ11" i="13" s="1"/>
  <c r="AK9" i="13"/>
  <c r="AK11" i="13" s="1"/>
  <c r="AJ105" i="1"/>
  <c r="AJ12" i="1" s="1"/>
  <c r="AI91" i="12"/>
  <c r="AS11" i="8"/>
  <c r="AS14" i="8" s="1"/>
  <c r="AS18" i="8" s="1"/>
  <c r="AS22" i="8" s="1"/>
  <c r="AS47" i="8"/>
  <c r="AR75" i="8"/>
  <c r="AR93" i="8" s="1"/>
  <c r="AQ93" i="8"/>
  <c r="AU50" i="8"/>
  <c r="AT48" i="8"/>
  <c r="AT59" i="12" s="1"/>
  <c r="AR14" i="8"/>
  <c r="AR18" i="8" s="1"/>
  <c r="AR22" i="8" s="1"/>
  <c r="AR24" i="8" s="1"/>
  <c r="BP75" i="11" l="1"/>
  <c r="BP93" i="11" s="1"/>
  <c r="BZ50" i="5"/>
  <c r="BY48" i="5"/>
  <c r="AO116" i="12"/>
  <c r="AO118" i="12" s="1"/>
  <c r="BU24" i="5"/>
  <c r="BU26" i="5" s="1"/>
  <c r="BU27" i="5" s="1"/>
  <c r="BV24" i="5"/>
  <c r="BV26" i="5" s="1"/>
  <c r="BV27" i="5" s="1"/>
  <c r="BJ24" i="6"/>
  <c r="BJ26" i="6" s="1"/>
  <c r="BJ27" i="6" s="1"/>
  <c r="AS24" i="8"/>
  <c r="AS26" i="8" s="1"/>
  <c r="AS27" i="8" s="1"/>
  <c r="BJ24" i="7"/>
  <c r="BJ26" i="7" s="1"/>
  <c r="BJ27" i="7" s="1"/>
  <c r="BX48" i="5"/>
  <c r="BW11" i="5"/>
  <c r="BW14" i="5" s="1"/>
  <c r="BW18" i="5" s="1"/>
  <c r="BW22" i="5" s="1"/>
  <c r="BW24" i="5" s="1"/>
  <c r="BW47" i="5"/>
  <c r="BW75" i="5" s="1"/>
  <c r="BW93" i="5" s="1"/>
  <c r="AY17" i="13"/>
  <c r="BB10" i="13"/>
  <c r="AJ109" i="1"/>
  <c r="AJ11" i="1"/>
  <c r="BA25" i="13"/>
  <c r="AI90" i="12"/>
  <c r="BK47" i="6"/>
  <c r="BK11" i="6"/>
  <c r="BK14" i="6" s="1"/>
  <c r="BK18" i="6" s="1"/>
  <c r="BK22" i="6" s="1"/>
  <c r="BK24" i="6" s="1"/>
  <c r="BO93" i="11"/>
  <c r="BP14" i="11"/>
  <c r="BP18" i="11" s="1"/>
  <c r="BP22" i="11" s="1"/>
  <c r="BS50" i="11"/>
  <c r="BR48" i="11"/>
  <c r="BQ47" i="11"/>
  <c r="BQ75" i="11" s="1"/>
  <c r="BQ93" i="11" s="1"/>
  <c r="BQ11" i="11"/>
  <c r="BQ14" i="11" s="1"/>
  <c r="BQ18" i="11" s="1"/>
  <c r="BQ22" i="11" s="1"/>
  <c r="BM50" i="7"/>
  <c r="BL48" i="7"/>
  <c r="BK47" i="7"/>
  <c r="BK11" i="7"/>
  <c r="BM50" i="6"/>
  <c r="BL48" i="6"/>
  <c r="CQ48" i="5"/>
  <c r="AU18" i="12"/>
  <c r="AK105" i="1"/>
  <c r="AK12" i="1" s="1"/>
  <c r="AJ91" i="12"/>
  <c r="AS75" i="8"/>
  <c r="AR26" i="8"/>
  <c r="AR27" i="8" s="1"/>
  <c r="AT11" i="8"/>
  <c r="AT47" i="8"/>
  <c r="AV50" i="8"/>
  <c r="AU48" i="8"/>
  <c r="AU59" i="12" s="1"/>
  <c r="BY47" i="5" l="1"/>
  <c r="BY75" i="5" s="1"/>
  <c r="BY93" i="5" s="1"/>
  <c r="BY11" i="5"/>
  <c r="BY14" i="5" s="1"/>
  <c r="BY18" i="5" s="1"/>
  <c r="BY22" i="5" s="1"/>
  <c r="CA50" i="5"/>
  <c r="BZ48" i="5"/>
  <c r="BP24" i="11"/>
  <c r="BQ24" i="11"/>
  <c r="BQ26" i="11" s="1"/>
  <c r="BQ27" i="11" s="1"/>
  <c r="BW26" i="5"/>
  <c r="BW27" i="5" s="1"/>
  <c r="BX47" i="5"/>
  <c r="BX75" i="5" s="1"/>
  <c r="BX93" i="5" s="1"/>
  <c r="BX11" i="5"/>
  <c r="BX14" i="5" s="1"/>
  <c r="BX18" i="5" s="1"/>
  <c r="BX22" i="5" s="1"/>
  <c r="BX24" i="5" s="1"/>
  <c r="K18" i="13"/>
  <c r="BK74" i="6"/>
  <c r="AZ17" i="13"/>
  <c r="BC10" i="13"/>
  <c r="AK109" i="1"/>
  <c r="AK11" i="1"/>
  <c r="BB25" i="13"/>
  <c r="AJ90" i="12"/>
  <c r="AJ13" i="12" s="1"/>
  <c r="BL47" i="6"/>
  <c r="BL74" i="6" s="1"/>
  <c r="BL92" i="6" s="1"/>
  <c r="BL11" i="6"/>
  <c r="BL14" i="6" s="1"/>
  <c r="BL18" i="6" s="1"/>
  <c r="BL22" i="6" s="1"/>
  <c r="BL24" i="6" s="1"/>
  <c r="BK26" i="6"/>
  <c r="BK27" i="6" s="1"/>
  <c r="BR47" i="11"/>
  <c r="BR11" i="11"/>
  <c r="BR14" i="11" s="1"/>
  <c r="BR18" i="11" s="1"/>
  <c r="BR22" i="11" s="1"/>
  <c r="BT50" i="11"/>
  <c r="BS48" i="11"/>
  <c r="BK14" i="7"/>
  <c r="BK18" i="7" s="1"/>
  <c r="BK22" i="7" s="1"/>
  <c r="BK24" i="7" s="1"/>
  <c r="BK75" i="7"/>
  <c r="BK92" i="7" s="1"/>
  <c r="BL47" i="7"/>
  <c r="BL75" i="7" s="1"/>
  <c r="BL92" i="7" s="1"/>
  <c r="BL11" i="7"/>
  <c r="BL14" i="7" s="1"/>
  <c r="BL18" i="7" s="1"/>
  <c r="BL22" i="7" s="1"/>
  <c r="BN50" i="7"/>
  <c r="BM48" i="7"/>
  <c r="BM48" i="6"/>
  <c r="BN50" i="6"/>
  <c r="CP11" i="5"/>
  <c r="CP14" i="5" s="1"/>
  <c r="CP18" i="5" s="1"/>
  <c r="CP22" i="5" s="1"/>
  <c r="CQ11" i="5"/>
  <c r="CQ14" i="5" s="1"/>
  <c r="CQ18" i="5" s="1"/>
  <c r="CQ22" i="5" s="1"/>
  <c r="CQ47" i="5"/>
  <c r="AV18" i="12"/>
  <c r="AL105" i="1"/>
  <c r="AL12" i="1" s="1"/>
  <c r="AK91" i="12"/>
  <c r="AU47" i="8"/>
  <c r="AU11" i="8"/>
  <c r="AU14" i="8" s="1"/>
  <c r="AU18" i="8" s="1"/>
  <c r="AU22" i="8" s="1"/>
  <c r="AT14" i="8"/>
  <c r="AT18" i="8" s="1"/>
  <c r="AT22" i="8" s="1"/>
  <c r="AT24" i="8" s="1"/>
  <c r="AW50" i="8"/>
  <c r="AX50" i="8" s="1"/>
  <c r="AV48" i="8"/>
  <c r="AV59" i="12" s="1"/>
  <c r="AT75" i="8"/>
  <c r="AT93" i="8" s="1"/>
  <c r="AS93" i="8"/>
  <c r="BR75" i="11" l="1"/>
  <c r="BP26" i="11"/>
  <c r="BP27" i="11" s="1"/>
  <c r="CB50" i="5"/>
  <c r="CA48" i="5"/>
  <c r="BY24" i="5"/>
  <c r="BY26" i="5" s="1"/>
  <c r="BY27" i="5" s="1"/>
  <c r="BZ11" i="5"/>
  <c r="BZ47" i="5"/>
  <c r="AJ100" i="12"/>
  <c r="AD7" i="14" s="1"/>
  <c r="AD9" i="14" s="1"/>
  <c r="AU24" i="8"/>
  <c r="AU26" i="8" s="1"/>
  <c r="AU27" i="8" s="1"/>
  <c r="BR24" i="11"/>
  <c r="BR26" i="11" s="1"/>
  <c r="BR27" i="11" s="1"/>
  <c r="BL24" i="7"/>
  <c r="BL26" i="7" s="1"/>
  <c r="BL27" i="7" s="1"/>
  <c r="BX26" i="5"/>
  <c r="BX27" i="5" s="1"/>
  <c r="AJ12" i="12"/>
  <c r="AR7" i="13" s="1"/>
  <c r="BK92" i="6"/>
  <c r="BA17" i="13"/>
  <c r="BD10" i="13"/>
  <c r="AL109" i="1"/>
  <c r="AL11" i="1"/>
  <c r="BC25" i="13"/>
  <c r="AK90" i="12"/>
  <c r="AK13" i="12" s="1"/>
  <c r="BL26" i="6"/>
  <c r="BL27" i="6" s="1"/>
  <c r="AX48" i="8"/>
  <c r="AX59" i="12" s="1"/>
  <c r="AY50" i="8"/>
  <c r="BM11" i="6"/>
  <c r="BM14" i="6" s="1"/>
  <c r="BM18" i="6" s="1"/>
  <c r="BM22" i="6" s="1"/>
  <c r="BM24" i="6" s="1"/>
  <c r="AX18" i="12"/>
  <c r="BS47" i="11"/>
  <c r="BS75" i="11" s="1"/>
  <c r="BS93" i="11" s="1"/>
  <c r="BS11" i="11"/>
  <c r="BS14" i="11" s="1"/>
  <c r="BS18" i="11" s="1"/>
  <c r="BS22" i="11" s="1"/>
  <c r="BU50" i="11"/>
  <c r="BV50" i="11" s="1"/>
  <c r="BT48" i="11"/>
  <c r="BM11" i="7"/>
  <c r="BM14" i="7" s="1"/>
  <c r="BM18" i="7" s="1"/>
  <c r="BM22" i="7" s="1"/>
  <c r="BM47" i="7"/>
  <c r="BO50" i="7"/>
  <c r="BN48" i="7"/>
  <c r="BK26" i="7"/>
  <c r="BK27" i="7" s="1"/>
  <c r="BO50" i="6"/>
  <c r="BN48" i="6"/>
  <c r="BM47" i="6"/>
  <c r="CQ47" i="6" s="1"/>
  <c r="CQ75" i="5"/>
  <c r="AW18" i="12"/>
  <c r="BE10" i="13" s="1"/>
  <c r="AK14" i="1"/>
  <c r="AK18" i="1" s="1"/>
  <c r="AR8" i="13"/>
  <c r="AM105" i="1"/>
  <c r="AM12" i="1" s="1"/>
  <c r="AL91" i="12"/>
  <c r="AL90" i="12" s="1"/>
  <c r="AL13" i="12" s="1"/>
  <c r="AJ14" i="1"/>
  <c r="AJ18" i="1" s="1"/>
  <c r="AJ25" i="1" s="1"/>
  <c r="AJ27" i="1" s="1"/>
  <c r="AT26" i="8"/>
  <c r="AT27" i="8" s="1"/>
  <c r="AV11" i="8"/>
  <c r="AV14" i="8" s="1"/>
  <c r="AV18" i="8" s="1"/>
  <c r="AV22" i="8" s="1"/>
  <c r="AV47" i="8"/>
  <c r="AW48" i="8"/>
  <c r="AW59" i="12" s="1"/>
  <c r="AU75" i="8"/>
  <c r="AU93" i="8" s="1"/>
  <c r="BZ75" i="5" l="1"/>
  <c r="BZ14" i="5"/>
  <c r="BZ18" i="5" s="1"/>
  <c r="BZ22" i="5" s="1"/>
  <c r="BZ24" i="5" s="1"/>
  <c r="BR93" i="11"/>
  <c r="CA11" i="5"/>
  <c r="CA14" i="5" s="1"/>
  <c r="CA18" i="5" s="1"/>
  <c r="CA22" i="5" s="1"/>
  <c r="CA24" i="5" s="1"/>
  <c r="CA26" i="5" s="1"/>
  <c r="CA27" i="5" s="1"/>
  <c r="CA47" i="5"/>
  <c r="CA75" i="5" s="1"/>
  <c r="CA93" i="5" s="1"/>
  <c r="CB48" i="5"/>
  <c r="CC50" i="5"/>
  <c r="AK100" i="12"/>
  <c r="AE7" i="14" s="1"/>
  <c r="AE9" i="14" s="1"/>
  <c r="AS8" i="13"/>
  <c r="AV24" i="8"/>
  <c r="AV26" i="8" s="1"/>
  <c r="AV27" i="8" s="1"/>
  <c r="BS24" i="11"/>
  <c r="BM24" i="7"/>
  <c r="BM26" i="7" s="1"/>
  <c r="BM27" i="7" s="1"/>
  <c r="BV48" i="11"/>
  <c r="BW50" i="11"/>
  <c r="BC17" i="13"/>
  <c r="BF10" i="13"/>
  <c r="AK12" i="12"/>
  <c r="AS7" i="13" s="1"/>
  <c r="AM109" i="1"/>
  <c r="AM11" i="1"/>
  <c r="AK25" i="1"/>
  <c r="BD25" i="13"/>
  <c r="BN47" i="6"/>
  <c r="BN11" i="6"/>
  <c r="BM26" i="6"/>
  <c r="BM27" i="6" s="1"/>
  <c r="AY48" i="8"/>
  <c r="AY59" i="12" s="1"/>
  <c r="AZ50" i="8"/>
  <c r="AX11" i="8"/>
  <c r="AX14" i="8" s="1"/>
  <c r="AX18" i="8" s="1"/>
  <c r="AX22" i="8" s="1"/>
  <c r="AX47" i="8"/>
  <c r="AX75" i="8" s="1"/>
  <c r="AX93" i="8" s="1"/>
  <c r="AY18" i="12"/>
  <c r="BG10" i="13" s="1"/>
  <c r="CP90" i="12"/>
  <c r="AL100" i="12"/>
  <c r="AF7" i="14" s="1"/>
  <c r="AF9" i="14" s="1"/>
  <c r="BB17" i="13"/>
  <c r="F10" i="13"/>
  <c r="F17" i="13" s="1"/>
  <c r="BT47" i="11"/>
  <c r="BT75" i="11" s="1"/>
  <c r="BT93" i="11" s="1"/>
  <c r="BT11" i="11"/>
  <c r="BT14" i="11" s="1"/>
  <c r="BT18" i="11" s="1"/>
  <c r="BT22" i="11" s="1"/>
  <c r="BT24" i="11" s="1"/>
  <c r="BU48" i="11"/>
  <c r="BO48" i="7"/>
  <c r="BP50" i="7"/>
  <c r="BM75" i="7"/>
  <c r="BM92" i="7" s="1"/>
  <c r="BN11" i="7"/>
  <c r="BN47" i="7"/>
  <c r="BM74" i="6"/>
  <c r="CQ74" i="6" s="1"/>
  <c r="BP50" i="6"/>
  <c r="BO48" i="6"/>
  <c r="CP24" i="5"/>
  <c r="CP26" i="5" s="1"/>
  <c r="CP27" i="5" s="1"/>
  <c r="CQ24" i="5"/>
  <c r="CQ26" i="5" s="1"/>
  <c r="CQ27" i="5" s="1"/>
  <c r="CP16" i="1"/>
  <c r="AJ15" i="12"/>
  <c r="AM91" i="12"/>
  <c r="AM90" i="12" s="1"/>
  <c r="AM13" i="12" s="1"/>
  <c r="AN105" i="1"/>
  <c r="AN12" i="1" s="1"/>
  <c r="AJ29" i="1"/>
  <c r="AJ30" i="1" s="1"/>
  <c r="AL12" i="12"/>
  <c r="AT7" i="13" s="1"/>
  <c r="AW47" i="8"/>
  <c r="AW11" i="8"/>
  <c r="AW14" i="8" s="1"/>
  <c r="AW18" i="8" s="1"/>
  <c r="AW22" i="8" s="1"/>
  <c r="AV75" i="8"/>
  <c r="AV93" i="8" s="1"/>
  <c r="BN75" i="7" l="1"/>
  <c r="BN14" i="6"/>
  <c r="BN18" i="6" s="1"/>
  <c r="BN22" i="6" s="1"/>
  <c r="BN74" i="6"/>
  <c r="BZ26" i="5"/>
  <c r="BZ27" i="5" s="1"/>
  <c r="BZ93" i="5"/>
  <c r="BS26" i="11"/>
  <c r="BS27" i="11" s="1"/>
  <c r="CD50" i="5"/>
  <c r="CC48" i="5"/>
  <c r="CB47" i="5"/>
  <c r="CB75" i="5" s="1"/>
  <c r="CB93" i="5" s="1"/>
  <c r="CB11" i="5"/>
  <c r="AJ20" i="12"/>
  <c r="AJ16" i="12"/>
  <c r="AX24" i="8"/>
  <c r="AX26" i="8" s="1"/>
  <c r="AX27" i="8" s="1"/>
  <c r="AW24" i="8"/>
  <c r="AW26" i="8" s="1"/>
  <c r="AW27" i="8" s="1"/>
  <c r="BN24" i="6"/>
  <c r="AK27" i="1"/>
  <c r="AK29" i="1" s="1"/>
  <c r="AK30" i="1" s="1"/>
  <c r="BW48" i="11"/>
  <c r="BX50" i="11"/>
  <c r="BY50" i="11" s="1"/>
  <c r="BV47" i="11"/>
  <c r="BV75" i="11" s="1"/>
  <c r="BV93" i="11" s="1"/>
  <c r="BV11" i="11"/>
  <c r="BV14" i="11" s="1"/>
  <c r="BV18" i="11" s="1"/>
  <c r="BV22" i="11" s="1"/>
  <c r="BV24" i="11" s="1"/>
  <c r="AN109" i="1"/>
  <c r="AN11" i="1"/>
  <c r="BE25" i="13"/>
  <c r="AV57" i="12"/>
  <c r="AV56" i="12" s="1"/>
  <c r="AJ56" i="21" s="1"/>
  <c r="AY47" i="8"/>
  <c r="AY11" i="8"/>
  <c r="BO11" i="6"/>
  <c r="BO14" i="6" s="1"/>
  <c r="BO18" i="6" s="1"/>
  <c r="BO22" i="6" s="1"/>
  <c r="BA50" i="8"/>
  <c r="CP50" i="8" s="1"/>
  <c r="AZ48" i="8"/>
  <c r="AZ59" i="12" s="1"/>
  <c r="AM100" i="12"/>
  <c r="AG7" i="14" s="1"/>
  <c r="AZ18" i="12"/>
  <c r="CQ50" i="11"/>
  <c r="BU47" i="11"/>
  <c r="BU75" i="11" s="1"/>
  <c r="BU93" i="11" s="1"/>
  <c r="BU11" i="11"/>
  <c r="BU14" i="11" s="1"/>
  <c r="BU18" i="11" s="1"/>
  <c r="BU22" i="11" s="1"/>
  <c r="BT26" i="11"/>
  <c r="BT27" i="11" s="1"/>
  <c r="AW57" i="12"/>
  <c r="AW56" i="12" s="1"/>
  <c r="AK56" i="21" s="1"/>
  <c r="AL54" i="21" s="1"/>
  <c r="AK52" i="21" s="1"/>
  <c r="BQ50" i="7"/>
  <c r="BP48" i="7"/>
  <c r="BN14" i="7"/>
  <c r="BN18" i="7" s="1"/>
  <c r="BN22" i="7" s="1"/>
  <c r="BN24" i="7" s="1"/>
  <c r="BO47" i="7"/>
  <c r="BO11" i="7"/>
  <c r="BO14" i="7" s="1"/>
  <c r="BO18" i="7" s="1"/>
  <c r="BO22" i="7" s="1"/>
  <c r="BQ50" i="6"/>
  <c r="BP48" i="6"/>
  <c r="BO47" i="6"/>
  <c r="BM92" i="6"/>
  <c r="AL14" i="1"/>
  <c r="AL18" i="1" s="1"/>
  <c r="CP18" i="12"/>
  <c r="AK15" i="12"/>
  <c r="AT8" i="13"/>
  <c r="AO105" i="1"/>
  <c r="AN91" i="12"/>
  <c r="AW75" i="8"/>
  <c r="AW93" i="8" s="1"/>
  <c r="BN92" i="6" l="1"/>
  <c r="BN26" i="6"/>
  <c r="BN27" i="6" s="1"/>
  <c r="BN92" i="7"/>
  <c r="BY48" i="11"/>
  <c r="BZ50" i="11"/>
  <c r="CB14" i="5"/>
  <c r="CB18" i="5" s="1"/>
  <c r="CB22" i="5" s="1"/>
  <c r="CB24" i="5" s="1"/>
  <c r="CC11" i="5"/>
  <c r="CC14" i="5" s="1"/>
  <c r="CC18" i="5" s="1"/>
  <c r="CC22" i="5" s="1"/>
  <c r="CC24" i="5" s="1"/>
  <c r="CC26" i="5" s="1"/>
  <c r="CC27" i="5" s="1"/>
  <c r="CC47" i="5"/>
  <c r="CC75" i="5" s="1"/>
  <c r="CD48" i="5"/>
  <c r="CE50" i="5"/>
  <c r="AO12" i="1"/>
  <c r="AP105" i="1"/>
  <c r="AK54" i="21"/>
  <c r="AK51" i="21" s="1"/>
  <c r="AQ8" i="14" s="1"/>
  <c r="AK20" i="12"/>
  <c r="AK16" i="12"/>
  <c r="BO24" i="6"/>
  <c r="BO26" i="6" s="1"/>
  <c r="BO27" i="6" s="1"/>
  <c r="BO24" i="7"/>
  <c r="BO26" i="7" s="1"/>
  <c r="BO27" i="7" s="1"/>
  <c r="BU24" i="11"/>
  <c r="BX48" i="11"/>
  <c r="BV26" i="11"/>
  <c r="BV27" i="11" s="1"/>
  <c r="BW11" i="11"/>
  <c r="BW14" i="11" s="1"/>
  <c r="BW18" i="11" s="1"/>
  <c r="BW22" i="11" s="1"/>
  <c r="BW24" i="11" s="1"/>
  <c r="BW47" i="11"/>
  <c r="BW75" i="11" s="1"/>
  <c r="BW93" i="11" s="1"/>
  <c r="BE17" i="13"/>
  <c r="BH10" i="13"/>
  <c r="AO109" i="1"/>
  <c r="AO11" i="1"/>
  <c r="AL25" i="1"/>
  <c r="BF25" i="13"/>
  <c r="AN90" i="12"/>
  <c r="AN13" i="12" s="1"/>
  <c r="AV82" i="12"/>
  <c r="AX57" i="12"/>
  <c r="AX56" i="12" s="1"/>
  <c r="AL56" i="21" s="1"/>
  <c r="AM12" i="12"/>
  <c r="AU7" i="13" s="1"/>
  <c r="AZ47" i="8"/>
  <c r="AZ75" i="8" s="1"/>
  <c r="AZ93" i="8" s="1"/>
  <c r="AZ11" i="8"/>
  <c r="AZ14" i="8" s="1"/>
  <c r="AZ18" i="8" s="1"/>
  <c r="AZ22" i="8" s="1"/>
  <c r="BB50" i="8"/>
  <c r="BA48" i="8"/>
  <c r="BP47" i="6"/>
  <c r="BP74" i="6" s="1"/>
  <c r="BP92" i="6" s="1"/>
  <c r="BP11" i="6"/>
  <c r="BP14" i="6" s="1"/>
  <c r="BP18" i="6" s="1"/>
  <c r="BP22" i="6" s="1"/>
  <c r="BP24" i="6" s="1"/>
  <c r="AY57" i="12"/>
  <c r="AY56" i="12" s="1"/>
  <c r="AM56" i="21" s="1"/>
  <c r="AY14" i="8"/>
  <c r="AY18" i="8" s="1"/>
  <c r="AY22" i="8" s="1"/>
  <c r="AY24" i="8" s="1"/>
  <c r="AY75" i="8"/>
  <c r="BA18" i="12"/>
  <c r="BD17" i="13"/>
  <c r="CP48" i="11"/>
  <c r="CQ48" i="11"/>
  <c r="CN47" i="11"/>
  <c r="CP24" i="11"/>
  <c r="CQ24" i="11"/>
  <c r="AM14" i="1"/>
  <c r="AM18" i="1" s="1"/>
  <c r="AG9" i="14"/>
  <c r="AW82" i="12"/>
  <c r="BN26" i="7"/>
  <c r="BN27" i="7" s="1"/>
  <c r="BO75" i="7"/>
  <c r="BO92" i="7" s="1"/>
  <c r="BP47" i="7"/>
  <c r="BP75" i="7" s="1"/>
  <c r="BP92" i="7" s="1"/>
  <c r="BP11" i="7"/>
  <c r="BP14" i="7" s="1"/>
  <c r="BP18" i="7" s="1"/>
  <c r="BP22" i="7" s="1"/>
  <c r="BQ48" i="7"/>
  <c r="BR50" i="7"/>
  <c r="BO74" i="6"/>
  <c r="BQ48" i="6"/>
  <c r="BR50" i="6"/>
  <c r="E10" i="13"/>
  <c r="E17" i="13" s="1"/>
  <c r="AL15" i="12"/>
  <c r="AU8" i="13"/>
  <c r="AO91" i="12"/>
  <c r="CO47" i="8"/>
  <c r="CA50" i="11" l="1"/>
  <c r="BZ48" i="11"/>
  <c r="BY47" i="11"/>
  <c r="BY75" i="11" s="1"/>
  <c r="BY93" i="11" s="1"/>
  <c r="BY11" i="11"/>
  <c r="BY14" i="11" s="1"/>
  <c r="BY18" i="11" s="1"/>
  <c r="BY22" i="11" s="1"/>
  <c r="CB26" i="5"/>
  <c r="CB27" i="5" s="1"/>
  <c r="CC93" i="5"/>
  <c r="BU26" i="11"/>
  <c r="BU27" i="11" s="1"/>
  <c r="CF50" i="5"/>
  <c r="CE48" i="5"/>
  <c r="CD47" i="5"/>
  <c r="CD75" i="5" s="1"/>
  <c r="CD93" i="5" s="1"/>
  <c r="CD11" i="5"/>
  <c r="CD14" i="5" s="1"/>
  <c r="CD18" i="5" s="1"/>
  <c r="CD22" i="5" s="1"/>
  <c r="CD24" i="5" s="1"/>
  <c r="CD26" i="5" s="1"/>
  <c r="CD27" i="5" s="1"/>
  <c r="AV116" i="12"/>
  <c r="AV118" i="12" s="1"/>
  <c r="AW116" i="12"/>
  <c r="AW118" i="12" s="1"/>
  <c r="CP48" i="8"/>
  <c r="BA59" i="12"/>
  <c r="AJ52" i="21"/>
  <c r="AM54" i="21"/>
  <c r="AL52" i="21" s="1"/>
  <c r="AL51" i="21" s="1"/>
  <c r="AR8" i="14" s="1"/>
  <c r="AN54" i="21"/>
  <c r="AM52" i="21" s="1"/>
  <c r="AN100" i="12"/>
  <c r="AH7" i="14" s="1"/>
  <c r="AH9" i="14" s="1"/>
  <c r="AL20" i="12"/>
  <c r="AL16" i="12"/>
  <c r="AZ24" i="8"/>
  <c r="AZ26" i="8" s="1"/>
  <c r="AZ27" i="8" s="1"/>
  <c r="BP24" i="7"/>
  <c r="BP26" i="7" s="1"/>
  <c r="BP27" i="7" s="1"/>
  <c r="AL27" i="1"/>
  <c r="AL29" i="1" s="1"/>
  <c r="AL30" i="1" s="1"/>
  <c r="BW26" i="11"/>
  <c r="BW27" i="11" s="1"/>
  <c r="BX11" i="11"/>
  <c r="BX47" i="11"/>
  <c r="BF17" i="13"/>
  <c r="BI10" i="13"/>
  <c r="AM25" i="1"/>
  <c r="BG25" i="13"/>
  <c r="AN12" i="12"/>
  <c r="AV7" i="13" s="1"/>
  <c r="AO90" i="12"/>
  <c r="AO13" i="12" s="1"/>
  <c r="AX82" i="12"/>
  <c r="BQ11" i="6"/>
  <c r="BQ14" i="6" s="1"/>
  <c r="BQ18" i="6" s="1"/>
  <c r="BQ22" i="6" s="1"/>
  <c r="BQ24" i="6" s="1"/>
  <c r="BA47" i="8"/>
  <c r="CP47" i="8" s="1"/>
  <c r="BA11" i="8"/>
  <c r="CP11" i="8" s="1"/>
  <c r="CP14" i="8" s="1"/>
  <c r="CP18" i="8" s="1"/>
  <c r="CP22" i="8" s="1"/>
  <c r="AZ57" i="12"/>
  <c r="AZ56" i="12" s="1"/>
  <c r="AN56" i="21" s="1"/>
  <c r="AY26" i="8"/>
  <c r="AY27" i="8" s="1"/>
  <c r="BB48" i="8"/>
  <c r="BB59" i="12" s="1"/>
  <c r="BC50" i="8"/>
  <c r="BP26" i="6"/>
  <c r="BP27" i="6" s="1"/>
  <c r="AY93" i="8"/>
  <c r="BB18" i="12"/>
  <c r="BJ10" i="13" s="1"/>
  <c r="CP47" i="11"/>
  <c r="CQ47" i="11"/>
  <c r="CP11" i="11"/>
  <c r="CP14" i="11" s="1"/>
  <c r="CP18" i="11" s="1"/>
  <c r="CP22" i="11" s="1"/>
  <c r="CP26" i="11" s="1"/>
  <c r="CP27" i="11" s="1"/>
  <c r="CQ11" i="11"/>
  <c r="CQ14" i="11" s="1"/>
  <c r="CQ18" i="11" s="1"/>
  <c r="CQ22" i="11" s="1"/>
  <c r="CQ26" i="11" s="1"/>
  <c r="CQ27" i="11" s="1"/>
  <c r="BQ11" i="7"/>
  <c r="BQ47" i="7"/>
  <c r="BR48" i="7"/>
  <c r="BS50" i="7"/>
  <c r="BR48" i="6"/>
  <c r="BS50" i="6"/>
  <c r="BQ47" i="6"/>
  <c r="BO92" i="6"/>
  <c r="D17" i="13"/>
  <c r="AM15" i="12"/>
  <c r="AN14" i="1"/>
  <c r="AN18" i="1" s="1"/>
  <c r="AQ105" i="1"/>
  <c r="AP91" i="12"/>
  <c r="AV8" i="13"/>
  <c r="BY24" i="11" l="1"/>
  <c r="BY26" i="11"/>
  <c r="BY27" i="11" s="1"/>
  <c r="BZ11" i="11"/>
  <c r="BZ47" i="11"/>
  <c r="CA48" i="11"/>
  <c r="CB50" i="11"/>
  <c r="BX14" i="11"/>
  <c r="BX18" i="11" s="1"/>
  <c r="BX22" i="11" s="1"/>
  <c r="BX24" i="11" s="1"/>
  <c r="CR24" i="11" s="1"/>
  <c r="CR11" i="11"/>
  <c r="CR14" i="11" s="1"/>
  <c r="CR18" i="11" s="1"/>
  <c r="CR22" i="11" s="1"/>
  <c r="CR26" i="11" s="1"/>
  <c r="CR27" i="11" s="1"/>
  <c r="BX75" i="11"/>
  <c r="CR47" i="11"/>
  <c r="CE11" i="5"/>
  <c r="CE14" i="5" s="1"/>
  <c r="CE18" i="5" s="1"/>
  <c r="CE22" i="5" s="1"/>
  <c r="CE24" i="5" s="1"/>
  <c r="CE26" i="5" s="1"/>
  <c r="CE27" i="5" s="1"/>
  <c r="CE47" i="5"/>
  <c r="CG50" i="5"/>
  <c r="CF48" i="5"/>
  <c r="AX116" i="12"/>
  <c r="AX118" i="12" s="1"/>
  <c r="AM51" i="21"/>
  <c r="AS8" i="14" s="1"/>
  <c r="AO54" i="21"/>
  <c r="AN52" i="21" s="1"/>
  <c r="AN51" i="21" s="1"/>
  <c r="AT8" i="14" s="1"/>
  <c r="AO100" i="12"/>
  <c r="AI7" i="14" s="1"/>
  <c r="AI9" i="14" s="1"/>
  <c r="AW8" i="13"/>
  <c r="AM20" i="12"/>
  <c r="AM16" i="12"/>
  <c r="AM27" i="1"/>
  <c r="AM29" i="1" s="1"/>
  <c r="AM30" i="1" s="1"/>
  <c r="BX26" i="11"/>
  <c r="BX27" i="11" s="1"/>
  <c r="AN25" i="1"/>
  <c r="BH25" i="13"/>
  <c r="AO12" i="12"/>
  <c r="AW7" i="13" s="1"/>
  <c r="AP90" i="12"/>
  <c r="BR47" i="6"/>
  <c r="BR74" i="6" s="1"/>
  <c r="BR92" i="6" s="1"/>
  <c r="BR11" i="6"/>
  <c r="BR14" i="6" s="1"/>
  <c r="BR18" i="6" s="1"/>
  <c r="BR22" i="6" s="1"/>
  <c r="AZ82" i="12"/>
  <c r="BC48" i="8"/>
  <c r="BC59" i="12" s="1"/>
  <c r="BD50" i="8"/>
  <c r="BA75" i="8"/>
  <c r="CP75" i="8" s="1"/>
  <c r="BB11" i="8"/>
  <c r="BB14" i="8" s="1"/>
  <c r="BB18" i="8" s="1"/>
  <c r="BB22" i="8" s="1"/>
  <c r="BB47" i="8"/>
  <c r="BB75" i="8" s="1"/>
  <c r="BB93" i="8" s="1"/>
  <c r="AY82" i="12"/>
  <c r="BA57" i="12"/>
  <c r="BA56" i="12" s="1"/>
  <c r="AO56" i="21" s="1"/>
  <c r="BQ26" i="6"/>
  <c r="BQ27" i="6" s="1"/>
  <c r="BA14" i="8"/>
  <c r="BA18" i="8" s="1"/>
  <c r="BA22" i="8" s="1"/>
  <c r="BC18" i="12"/>
  <c r="BG17" i="13"/>
  <c r="CP75" i="11"/>
  <c r="CQ75" i="11"/>
  <c r="BT50" i="7"/>
  <c r="BS48" i="7"/>
  <c r="BQ75" i="7"/>
  <c r="BR47" i="7"/>
  <c r="BR75" i="7" s="1"/>
  <c r="BR92" i="7" s="1"/>
  <c r="BR11" i="7"/>
  <c r="BR14" i="7" s="1"/>
  <c r="BR18" i="7" s="1"/>
  <c r="BR22" i="7" s="1"/>
  <c r="BQ14" i="7"/>
  <c r="BQ18" i="7" s="1"/>
  <c r="BQ22" i="7" s="1"/>
  <c r="BQ24" i="7" s="1"/>
  <c r="BQ74" i="6"/>
  <c r="BT50" i="6"/>
  <c r="BS48" i="6"/>
  <c r="AS9" i="13"/>
  <c r="AS11" i="13" s="1"/>
  <c r="AR9" i="13"/>
  <c r="AR11" i="13" s="1"/>
  <c r="AO14" i="1"/>
  <c r="AO18" i="1" s="1"/>
  <c r="AO25" i="1" s="1"/>
  <c r="AO27" i="1" s="1"/>
  <c r="AR105" i="1"/>
  <c r="AQ91" i="12"/>
  <c r="AN15" i="12"/>
  <c r="BZ75" i="11" l="1"/>
  <c r="BZ14" i="11"/>
  <c r="BZ18" i="11" s="1"/>
  <c r="BZ22" i="11" s="1"/>
  <c r="BQ92" i="7"/>
  <c r="CC50" i="11"/>
  <c r="CB48" i="11"/>
  <c r="CA11" i="11"/>
  <c r="CA14" i="11" s="1"/>
  <c r="CA18" i="11" s="1"/>
  <c r="CA22" i="11" s="1"/>
  <c r="CA47" i="11"/>
  <c r="CA75" i="11" s="1"/>
  <c r="CA93" i="11" s="1"/>
  <c r="CE75" i="5"/>
  <c r="BX93" i="11"/>
  <c r="CR75" i="11"/>
  <c r="CH50" i="5"/>
  <c r="CG48" i="5"/>
  <c r="CF47" i="5"/>
  <c r="CF75" i="5" s="1"/>
  <c r="CF93" i="5" s="1"/>
  <c r="CF11" i="5"/>
  <c r="CF14" i="5" s="1"/>
  <c r="CF18" i="5" s="1"/>
  <c r="CF22" i="5" s="1"/>
  <c r="CF24" i="5" s="1"/>
  <c r="CF26" i="5" s="1"/>
  <c r="CF27" i="5" s="1"/>
  <c r="AZ116" i="12"/>
  <c r="AZ118" i="12" s="1"/>
  <c r="AY116" i="12"/>
  <c r="AY118" i="12" s="1"/>
  <c r="AP54" i="21"/>
  <c r="AO52" i="21" s="1"/>
  <c r="AO51" i="21" s="1"/>
  <c r="AU8" i="14" s="1"/>
  <c r="AN20" i="12"/>
  <c r="AN16" i="12"/>
  <c r="BA24" i="8"/>
  <c r="CP24" i="8" s="1"/>
  <c r="CP26" i="8" s="1"/>
  <c r="CP27" i="8" s="1"/>
  <c r="BR24" i="6"/>
  <c r="BR26" i="6" s="1"/>
  <c r="BR27" i="6" s="1"/>
  <c r="BR24" i="7"/>
  <c r="BR26" i="7" s="1"/>
  <c r="BR27" i="7" s="1"/>
  <c r="BB24" i="8"/>
  <c r="BB26" i="8" s="1"/>
  <c r="BB27" i="8" s="1"/>
  <c r="AN27" i="1"/>
  <c r="AN29" i="1" s="1"/>
  <c r="AN30" i="1" s="1"/>
  <c r="BH17" i="13"/>
  <c r="BK10" i="13"/>
  <c r="BI25" i="13"/>
  <c r="AQ90" i="12"/>
  <c r="BE50" i="8"/>
  <c r="BD48" i="8"/>
  <c r="BD59" i="12" s="1"/>
  <c r="BC47" i="8"/>
  <c r="BC11" i="8"/>
  <c r="BA93" i="8"/>
  <c r="BS11" i="6"/>
  <c r="BS14" i="6" s="1"/>
  <c r="BS18" i="6" s="1"/>
  <c r="BS22" i="6" s="1"/>
  <c r="BD18" i="12"/>
  <c r="BL10" i="13" s="1"/>
  <c r="BQ26" i="7"/>
  <c r="BQ27" i="7" s="1"/>
  <c r="BS47" i="7"/>
  <c r="BS11" i="7"/>
  <c r="BS14" i="7" s="1"/>
  <c r="BS18" i="7" s="1"/>
  <c r="BS22" i="7" s="1"/>
  <c r="BU50" i="7"/>
  <c r="BV50" i="7" s="1"/>
  <c r="BT48" i="7"/>
  <c r="BS47" i="6"/>
  <c r="BU50" i="6"/>
  <c r="BV50" i="6" s="1"/>
  <c r="BT48" i="6"/>
  <c r="BQ92" i="6"/>
  <c r="AO15" i="12"/>
  <c r="AS105" i="1"/>
  <c r="AR91" i="12"/>
  <c r="CA24" i="11" l="1"/>
  <c r="CA26" i="11" s="1"/>
  <c r="CA27" i="11" s="1"/>
  <c r="CB11" i="11"/>
  <c r="CB14" i="11" s="1"/>
  <c r="CB18" i="11" s="1"/>
  <c r="CB22" i="11" s="1"/>
  <c r="CB47" i="11"/>
  <c r="BZ24" i="11"/>
  <c r="BZ26" i="11" s="1"/>
  <c r="BZ27" i="11" s="1"/>
  <c r="CD50" i="11"/>
  <c r="CC48" i="11"/>
  <c r="BZ93" i="11"/>
  <c r="CE93" i="5"/>
  <c r="CG11" i="5"/>
  <c r="CG14" i="5" s="1"/>
  <c r="CG18" i="5" s="1"/>
  <c r="CG22" i="5" s="1"/>
  <c r="CG47" i="5"/>
  <c r="CG75" i="5" s="1"/>
  <c r="CG93" i="5" s="1"/>
  <c r="CI50" i="5"/>
  <c r="CH48" i="5"/>
  <c r="BA26" i="8"/>
  <c r="BA27" i="8" s="1"/>
  <c r="AO20" i="12"/>
  <c r="AO16" i="12"/>
  <c r="BS24" i="6"/>
  <c r="BS26" i="6" s="1"/>
  <c r="BS27" i="6" s="1"/>
  <c r="BS24" i="7"/>
  <c r="BS26" i="7" s="1"/>
  <c r="BS27" i="7" s="1"/>
  <c r="BV48" i="7"/>
  <c r="BW50" i="7"/>
  <c r="BV48" i="6"/>
  <c r="BW50" i="6"/>
  <c r="AC120" i="12"/>
  <c r="BJ25" i="13"/>
  <c r="AR90" i="12"/>
  <c r="BC14" i="8"/>
  <c r="BC18" i="8" s="1"/>
  <c r="BC22" i="8" s="1"/>
  <c r="BC24" i="8" s="1"/>
  <c r="BT47" i="6"/>
  <c r="BT74" i="6" s="1"/>
  <c r="BT92" i="6" s="1"/>
  <c r="BT11" i="6"/>
  <c r="BT14" i="6" s="1"/>
  <c r="BT18" i="6" s="1"/>
  <c r="BT22" i="6" s="1"/>
  <c r="BT24" i="6" s="1"/>
  <c r="BC75" i="8"/>
  <c r="BD47" i="8"/>
  <c r="BD75" i="8" s="1"/>
  <c r="BD93" i="8" s="1"/>
  <c r="BD11" i="8"/>
  <c r="BD14" i="8" s="1"/>
  <c r="BD18" i="8" s="1"/>
  <c r="BD22" i="8" s="1"/>
  <c r="BE48" i="8"/>
  <c r="BE59" i="12" s="1"/>
  <c r="BF50" i="8"/>
  <c r="BE18" i="12"/>
  <c r="AO29" i="1"/>
  <c r="AO30" i="1" s="1"/>
  <c r="BT47" i="7"/>
  <c r="BT75" i="7" s="1"/>
  <c r="BT92" i="7" s="1"/>
  <c r="BT11" i="7"/>
  <c r="BT14" i="7" s="1"/>
  <c r="BT18" i="7" s="1"/>
  <c r="BT22" i="7" s="1"/>
  <c r="BS75" i="7"/>
  <c r="BU48" i="7"/>
  <c r="BU48" i="6"/>
  <c r="BS74" i="6"/>
  <c r="AU9" i="13"/>
  <c r="AU11" i="13" s="1"/>
  <c r="AT9" i="13"/>
  <c r="AT11" i="13" s="1"/>
  <c r="AT105" i="1"/>
  <c r="AS91" i="12"/>
  <c r="CB75" i="11" l="1"/>
  <c r="CB24" i="11"/>
  <c r="CB26" i="11"/>
  <c r="CB27" i="11" s="1"/>
  <c r="BS92" i="7"/>
  <c r="CD48" i="11"/>
  <c r="CE50" i="11"/>
  <c r="CC47" i="11"/>
  <c r="CC75" i="11" s="1"/>
  <c r="CC93" i="11" s="1"/>
  <c r="CC11" i="11"/>
  <c r="CH47" i="5"/>
  <c r="CH75" i="5" s="1"/>
  <c r="CH11" i="5"/>
  <c r="CH14" i="5" s="1"/>
  <c r="CH18" i="5" s="1"/>
  <c r="CH22" i="5" s="1"/>
  <c r="CJ50" i="5"/>
  <c r="CI48" i="5"/>
  <c r="CG24" i="5"/>
  <c r="CG26" i="5"/>
  <c r="CG27" i="5" s="1"/>
  <c r="BT24" i="7"/>
  <c r="BT26" i="7" s="1"/>
  <c r="BT27" i="7" s="1"/>
  <c r="BD24" i="8"/>
  <c r="BD26" i="8" s="1"/>
  <c r="BD27" i="8" s="1"/>
  <c r="BW48" i="7"/>
  <c r="BX50" i="7"/>
  <c r="BY50" i="7" s="1"/>
  <c r="BV47" i="7"/>
  <c r="BV75" i="7" s="1"/>
  <c r="BV92" i="7" s="1"/>
  <c r="BV11" i="7"/>
  <c r="BV14" i="7" s="1"/>
  <c r="BV18" i="7" s="1"/>
  <c r="BV22" i="7" s="1"/>
  <c r="BV24" i="7" s="1"/>
  <c r="BV11" i="6"/>
  <c r="BV14" i="6" s="1"/>
  <c r="BV18" i="6" s="1"/>
  <c r="BV22" i="6" s="1"/>
  <c r="BV24" i="6" s="1"/>
  <c r="BV47" i="6"/>
  <c r="BV74" i="6" s="1"/>
  <c r="BV92" i="6" s="1"/>
  <c r="BW48" i="6"/>
  <c r="BX50" i="6"/>
  <c r="BY50" i="6" s="1"/>
  <c r="CQ48" i="6"/>
  <c r="CQ50" i="6"/>
  <c r="BJ17" i="13"/>
  <c r="BM10" i="13"/>
  <c r="BK25" i="13"/>
  <c r="AS90" i="12"/>
  <c r="BC93" i="8"/>
  <c r="BT26" i="6"/>
  <c r="BT27" i="6" s="1"/>
  <c r="BF48" i="8"/>
  <c r="BF59" i="12" s="1"/>
  <c r="BG50" i="8"/>
  <c r="BU47" i="6"/>
  <c r="BU74" i="6" s="1"/>
  <c r="BU92" i="6" s="1"/>
  <c r="BU11" i="6"/>
  <c r="BU14" i="6" s="1"/>
  <c r="BU18" i="6" s="1"/>
  <c r="BU22" i="6" s="1"/>
  <c r="BE47" i="8"/>
  <c r="BE75" i="8" s="1"/>
  <c r="BE93" i="8" s="1"/>
  <c r="BE11" i="8"/>
  <c r="BE14" i="8" s="1"/>
  <c r="BE18" i="8" s="1"/>
  <c r="BE22" i="8" s="1"/>
  <c r="BC26" i="8"/>
  <c r="BC27" i="8" s="1"/>
  <c r="BA82" i="12"/>
  <c r="BF18" i="12"/>
  <c r="BI17" i="13"/>
  <c r="CQ50" i="7"/>
  <c r="BU11" i="7"/>
  <c r="BU14" i="7" s="1"/>
  <c r="BU18" i="7" s="1"/>
  <c r="BU22" i="7" s="1"/>
  <c r="BU24" i="7" s="1"/>
  <c r="BU47" i="7"/>
  <c r="BU75" i="7" s="1"/>
  <c r="BU92" i="7" s="1"/>
  <c r="BS92" i="6"/>
  <c r="AU105" i="1"/>
  <c r="AT91" i="12"/>
  <c r="CD47" i="11" l="1"/>
  <c r="CD11" i="11"/>
  <c r="CD14" i="11" s="1"/>
  <c r="CD18" i="11" s="1"/>
  <c r="CD22" i="11" s="1"/>
  <c r="CD24" i="11" s="1"/>
  <c r="CD26" i="11" s="1"/>
  <c r="CD27" i="11" s="1"/>
  <c r="CC14" i="11"/>
  <c r="CC18" i="11" s="1"/>
  <c r="CC22" i="11" s="1"/>
  <c r="CC24" i="11" s="1"/>
  <c r="CC26" i="11" s="1"/>
  <c r="CC27" i="11" s="1"/>
  <c r="CE48" i="11"/>
  <c r="CF50" i="11"/>
  <c r="CB93" i="11"/>
  <c r="CH93" i="5"/>
  <c r="BY48" i="7"/>
  <c r="BZ50" i="7"/>
  <c r="BZ50" i="6"/>
  <c r="BY48" i="6"/>
  <c r="CK50" i="5"/>
  <c r="CJ48" i="5"/>
  <c r="CH24" i="5"/>
  <c r="CH26" i="5" s="1"/>
  <c r="CH27" i="5" s="1"/>
  <c r="CI47" i="5"/>
  <c r="CI75" i="5" s="1"/>
  <c r="CI93" i="5" s="1"/>
  <c r="CI11" i="5"/>
  <c r="CI14" i="5" s="1"/>
  <c r="CI18" i="5" s="1"/>
  <c r="CI22" i="5" s="1"/>
  <c r="CI24" i="5" s="1"/>
  <c r="CI26" i="5" s="1"/>
  <c r="CI27" i="5" s="1"/>
  <c r="BA116" i="12"/>
  <c r="BA118" i="12" s="1"/>
  <c r="BU24" i="6"/>
  <c r="BU26" i="6" s="1"/>
  <c r="BU27" i="6" s="1"/>
  <c r="BE24" i="8"/>
  <c r="BE26" i="8" s="1"/>
  <c r="BE27" i="8" s="1"/>
  <c r="BV26" i="7"/>
  <c r="BV27" i="7" s="1"/>
  <c r="BX48" i="7"/>
  <c r="BW11" i="7"/>
  <c r="BW14" i="7" s="1"/>
  <c r="BW18" i="7" s="1"/>
  <c r="BW22" i="7" s="1"/>
  <c r="BW47" i="7"/>
  <c r="BW75" i="7" s="1"/>
  <c r="BW92" i="7" s="1"/>
  <c r="BX48" i="6"/>
  <c r="BW11" i="6"/>
  <c r="BW14" i="6" s="1"/>
  <c r="BW18" i="6" s="1"/>
  <c r="BW22" i="6" s="1"/>
  <c r="BW47" i="6"/>
  <c r="BW74" i="6" s="1"/>
  <c r="BW92" i="6" s="1"/>
  <c r="BV26" i="6"/>
  <c r="BV27" i="6" s="1"/>
  <c r="BK17" i="13"/>
  <c r="BN10" i="13"/>
  <c r="BL25" i="13"/>
  <c r="AT90" i="12"/>
  <c r="CQ11" i="6"/>
  <c r="CQ14" i="6" s="1"/>
  <c r="CQ18" i="6" s="1"/>
  <c r="CQ22" i="6" s="1"/>
  <c r="BF11" i="8"/>
  <c r="BF47" i="8"/>
  <c r="BF75" i="8" s="1"/>
  <c r="BF93" i="8" s="1"/>
  <c r="BG48" i="8"/>
  <c r="BG59" i="12" s="1"/>
  <c r="BH50" i="8"/>
  <c r="BG18" i="12"/>
  <c r="BO10" i="13" s="1"/>
  <c r="BU26" i="7"/>
  <c r="BU27" i="7" s="1"/>
  <c r="CQ48" i="7"/>
  <c r="AW9" i="13"/>
  <c r="AW11" i="13" s="1"/>
  <c r="AV9" i="13"/>
  <c r="AV11" i="13" s="1"/>
  <c r="AV105" i="1"/>
  <c r="AV12" i="1" s="1"/>
  <c r="AU91" i="12"/>
  <c r="CK48" i="5" l="1"/>
  <c r="CR50" i="5"/>
  <c r="CS50" i="5"/>
  <c r="CG50" i="11"/>
  <c r="CF48" i="11"/>
  <c r="CE11" i="11"/>
  <c r="CE47" i="11"/>
  <c r="CE75" i="11" s="1"/>
  <c r="CE93" i="11" s="1"/>
  <c r="CD75" i="11"/>
  <c r="BZ48" i="7"/>
  <c r="CA50" i="7"/>
  <c r="BY11" i="7"/>
  <c r="BY14" i="7" s="1"/>
  <c r="BY18" i="7" s="1"/>
  <c r="BY22" i="7" s="1"/>
  <c r="BY24" i="7" s="1"/>
  <c r="BY26" i="7" s="1"/>
  <c r="BY27" i="7" s="1"/>
  <c r="BY47" i="7"/>
  <c r="BY75" i="7" s="1"/>
  <c r="BY92" i="7" s="1"/>
  <c r="BY11" i="6"/>
  <c r="BY14" i="6" s="1"/>
  <c r="BY18" i="6" s="1"/>
  <c r="BY22" i="6" s="1"/>
  <c r="BY47" i="6"/>
  <c r="BY74" i="6" s="1"/>
  <c r="BY92" i="6" s="1"/>
  <c r="BZ48" i="6"/>
  <c r="CA50" i="6"/>
  <c r="CJ11" i="5"/>
  <c r="CJ14" i="5" s="1"/>
  <c r="CJ18" i="5" s="1"/>
  <c r="CJ22" i="5" s="1"/>
  <c r="CJ24" i="5" s="1"/>
  <c r="CJ26" i="5" s="1"/>
  <c r="CJ27" i="5" s="1"/>
  <c r="CJ47" i="5"/>
  <c r="CJ75" i="5" s="1"/>
  <c r="CK11" i="5"/>
  <c r="CK47" i="5"/>
  <c r="BW24" i="7"/>
  <c r="BW26" i="7" s="1"/>
  <c r="BW27" i="7" s="1"/>
  <c r="BW24" i="6"/>
  <c r="BW26" i="6" s="1"/>
  <c r="BW27" i="6" s="1"/>
  <c r="BX47" i="7"/>
  <c r="BX75" i="7" s="1"/>
  <c r="BX92" i="7" s="1"/>
  <c r="BX11" i="7"/>
  <c r="BX14" i="7" s="1"/>
  <c r="BX18" i="7" s="1"/>
  <c r="BX22" i="7" s="1"/>
  <c r="BX24" i="7" s="1"/>
  <c r="BX11" i="6"/>
  <c r="BX14" i="6" s="1"/>
  <c r="BX18" i="6" s="1"/>
  <c r="BX22" i="6" s="1"/>
  <c r="BX47" i="6"/>
  <c r="AV109" i="1"/>
  <c r="AV11" i="1"/>
  <c r="BM25" i="13"/>
  <c r="AU90" i="12"/>
  <c r="BI50" i="8"/>
  <c r="BH48" i="8"/>
  <c r="BH59" i="12" s="1"/>
  <c r="BG47" i="8"/>
  <c r="BG75" i="8" s="1"/>
  <c r="BG93" i="8" s="1"/>
  <c r="BG11" i="8"/>
  <c r="BG14" i="8" s="1"/>
  <c r="BG18" i="8" s="1"/>
  <c r="BG22" i="8" s="1"/>
  <c r="BF14" i="8"/>
  <c r="BF18" i="8" s="1"/>
  <c r="BF22" i="8" s="1"/>
  <c r="BF24" i="8" s="1"/>
  <c r="CQ24" i="6"/>
  <c r="CQ26" i="6" s="1"/>
  <c r="CQ27" i="6" s="1"/>
  <c r="BL17" i="13"/>
  <c r="BH18" i="12"/>
  <c r="CQ11" i="7"/>
  <c r="CQ14" i="7" s="1"/>
  <c r="CQ18" i="7" s="1"/>
  <c r="CQ22" i="7" s="1"/>
  <c r="CQ47" i="7"/>
  <c r="AW105" i="1"/>
  <c r="AW12" i="1" s="1"/>
  <c r="AV91" i="12"/>
  <c r="CE14" i="11" l="1"/>
  <c r="CE18" i="11" s="1"/>
  <c r="CE22" i="11" s="1"/>
  <c r="CF11" i="11"/>
  <c r="CF14" i="11" s="1"/>
  <c r="CF18" i="11" s="1"/>
  <c r="CF22" i="11" s="1"/>
  <c r="CF47" i="11"/>
  <c r="CD93" i="11"/>
  <c r="CG48" i="11"/>
  <c r="CH50" i="11"/>
  <c r="CR48" i="5"/>
  <c r="CS48" i="5"/>
  <c r="CK75" i="5"/>
  <c r="CR47" i="5"/>
  <c r="CS47" i="5"/>
  <c r="CK14" i="5"/>
  <c r="CK18" i="5" s="1"/>
  <c r="CK22" i="5" s="1"/>
  <c r="CR11" i="5"/>
  <c r="CR14" i="5" s="1"/>
  <c r="CR18" i="5" s="1"/>
  <c r="CR22" i="5" s="1"/>
  <c r="CS11" i="5"/>
  <c r="CS14" i="5" s="1"/>
  <c r="CS18" i="5" s="1"/>
  <c r="CS22" i="5" s="1"/>
  <c r="CJ93" i="5"/>
  <c r="CS75" i="5"/>
  <c r="CA48" i="7"/>
  <c r="CB50" i="7"/>
  <c r="BZ11" i="7"/>
  <c r="BZ47" i="7"/>
  <c r="CA48" i="6"/>
  <c r="CB50" i="6"/>
  <c r="BZ47" i="6"/>
  <c r="BZ11" i="6"/>
  <c r="BY24" i="6"/>
  <c r="BY26" i="6" s="1"/>
  <c r="BY27" i="6" s="1"/>
  <c r="CK24" i="5"/>
  <c r="CK26" i="5"/>
  <c r="CK27" i="5" s="1"/>
  <c r="BG24" i="8"/>
  <c r="BG26" i="8" s="1"/>
  <c r="BG27" i="8" s="1"/>
  <c r="BX24" i="6"/>
  <c r="BX26" i="6" s="1"/>
  <c r="BX27" i="6" s="1"/>
  <c r="BX26" i="7"/>
  <c r="BX27" i="7" s="1"/>
  <c r="BX74" i="6"/>
  <c r="BM17" i="13"/>
  <c r="BP10" i="13"/>
  <c r="AW109" i="1"/>
  <c r="AW11" i="1"/>
  <c r="BN25" i="13"/>
  <c r="AV90" i="12"/>
  <c r="AV13" i="12" s="1"/>
  <c r="BJ50" i="8"/>
  <c r="BI48" i="8"/>
  <c r="BI59" i="12" s="1"/>
  <c r="BF26" i="8"/>
  <c r="BF27" i="8" s="1"/>
  <c r="BH47" i="8"/>
  <c r="BH75" i="8" s="1"/>
  <c r="BH93" i="8" s="1"/>
  <c r="BH11" i="8"/>
  <c r="BH14" i="8" s="1"/>
  <c r="BH18" i="8" s="1"/>
  <c r="BH22" i="8" s="1"/>
  <c r="AX105" i="1"/>
  <c r="AX12" i="1" s="1"/>
  <c r="BI18" i="12"/>
  <c r="BQ10" i="13" s="1"/>
  <c r="CQ75" i="7"/>
  <c r="AW91" i="12"/>
  <c r="AW90" i="12" s="1"/>
  <c r="AW13" i="12" s="1"/>
  <c r="BZ14" i="6" l="1"/>
  <c r="BZ18" i="6" s="1"/>
  <c r="BZ22" i="6" s="1"/>
  <c r="BZ24" i="6" s="1"/>
  <c r="BZ74" i="6"/>
  <c r="CF75" i="11"/>
  <c r="CH48" i="11"/>
  <c r="CI50" i="11"/>
  <c r="CF24" i="11"/>
  <c r="CF26" i="11"/>
  <c r="CF27" i="11" s="1"/>
  <c r="BZ75" i="7"/>
  <c r="CG11" i="11"/>
  <c r="CG14" i="11" s="1"/>
  <c r="CG18" i="11" s="1"/>
  <c r="CG22" i="11" s="1"/>
  <c r="CG24" i="11" s="1"/>
  <c r="CG26" i="11" s="1"/>
  <c r="CG27" i="11" s="1"/>
  <c r="CG47" i="11"/>
  <c r="CG75" i="11" s="1"/>
  <c r="CG93" i="11" s="1"/>
  <c r="BZ14" i="7"/>
  <c r="BZ18" i="7" s="1"/>
  <c r="BZ22" i="7" s="1"/>
  <c r="CE24" i="11"/>
  <c r="CE26" i="11"/>
  <c r="CE27" i="11" s="1"/>
  <c r="CK93" i="5"/>
  <c r="CR75" i="5"/>
  <c r="CR24" i="5"/>
  <c r="CR26" i="5" s="1"/>
  <c r="CR27" i="5" s="1"/>
  <c r="CS24" i="5"/>
  <c r="CS26" i="5" s="1"/>
  <c r="CS27" i="5" s="1"/>
  <c r="CB48" i="7"/>
  <c r="CC50" i="7"/>
  <c r="BZ24" i="7"/>
  <c r="BZ26" i="7"/>
  <c r="BZ27" i="7" s="1"/>
  <c r="CA11" i="7"/>
  <c r="CA14" i="7" s="1"/>
  <c r="CA18" i="7" s="1"/>
  <c r="CA22" i="7" s="1"/>
  <c r="CA24" i="7" s="1"/>
  <c r="CA26" i="7" s="1"/>
  <c r="CA27" i="7" s="1"/>
  <c r="CA47" i="7"/>
  <c r="CA75" i="7" s="1"/>
  <c r="CA92" i="7" s="1"/>
  <c r="CC50" i="6"/>
  <c r="CB48" i="6"/>
  <c r="CA47" i="6"/>
  <c r="CA74" i="6" s="1"/>
  <c r="CA92" i="6" s="1"/>
  <c r="CA11" i="6"/>
  <c r="CA14" i="6" s="1"/>
  <c r="CA18" i="6" s="1"/>
  <c r="CA22" i="6" s="1"/>
  <c r="AV100" i="12"/>
  <c r="AP7" i="14" s="1"/>
  <c r="AP9" i="14" s="1"/>
  <c r="BH24" i="8"/>
  <c r="BH26" i="8" s="1"/>
  <c r="BH27" i="8" s="1"/>
  <c r="BX92" i="6"/>
  <c r="AX109" i="1"/>
  <c r="AX11" i="1"/>
  <c r="AV12" i="12"/>
  <c r="BD7" i="13" s="1"/>
  <c r="BO25" i="13"/>
  <c r="BI11" i="8"/>
  <c r="BI14" i="8" s="1"/>
  <c r="BI18" i="8" s="1"/>
  <c r="BI22" i="8" s="1"/>
  <c r="BI47" i="8"/>
  <c r="BI75" i="8" s="1"/>
  <c r="BI93" i="8" s="1"/>
  <c r="BK50" i="8"/>
  <c r="BJ48" i="8"/>
  <c r="BJ59" i="12" s="1"/>
  <c r="BN17" i="13"/>
  <c r="BJ18" i="12"/>
  <c r="AY105" i="1"/>
  <c r="AY12" i="1" s="1"/>
  <c r="AX91" i="12"/>
  <c r="AX90" i="12" s="1"/>
  <c r="AX13" i="12" s="1"/>
  <c r="AW100" i="12"/>
  <c r="CQ24" i="7"/>
  <c r="CQ26" i="7" s="1"/>
  <c r="CQ27" i="7" s="1"/>
  <c r="AV14" i="1"/>
  <c r="AV18" i="1" s="1"/>
  <c r="BD8" i="13"/>
  <c r="AW12" i="12"/>
  <c r="BE7" i="13" s="1"/>
  <c r="CP105" i="1"/>
  <c r="CF93" i="11" l="1"/>
  <c r="BZ92" i="7"/>
  <c r="BZ92" i="6"/>
  <c r="CJ50" i="11"/>
  <c r="CI48" i="11"/>
  <c r="CH11" i="11"/>
  <c r="CH14" i="11" s="1"/>
  <c r="CH18" i="11" s="1"/>
  <c r="CH22" i="11" s="1"/>
  <c r="CH47" i="11"/>
  <c r="CH75" i="11" s="1"/>
  <c r="CH93" i="11" s="1"/>
  <c r="BZ26" i="6"/>
  <c r="BZ27" i="6" s="1"/>
  <c r="CC48" i="7"/>
  <c r="CD50" i="7"/>
  <c r="CB47" i="7"/>
  <c r="CB75" i="7" s="1"/>
  <c r="CB92" i="7" s="1"/>
  <c r="CB11" i="7"/>
  <c r="CB14" i="7" s="1"/>
  <c r="CB18" i="7" s="1"/>
  <c r="CB22" i="7" s="1"/>
  <c r="CA24" i="6"/>
  <c r="CA26" i="6" s="1"/>
  <c r="CA27" i="6" s="1"/>
  <c r="CB47" i="6"/>
  <c r="CB74" i="6" s="1"/>
  <c r="CB92" i="6" s="1"/>
  <c r="CB11" i="6"/>
  <c r="CB14" i="6" s="1"/>
  <c r="CB18" i="6" s="1"/>
  <c r="CB22" i="6" s="1"/>
  <c r="CD50" i="6"/>
  <c r="CC48" i="6"/>
  <c r="BI24" i="8"/>
  <c r="BI26" i="8" s="1"/>
  <c r="BI27" i="8" s="1"/>
  <c r="BO17" i="13"/>
  <c r="BR10" i="13"/>
  <c r="AY109" i="1"/>
  <c r="AY11" i="1"/>
  <c r="AV25" i="1"/>
  <c r="BP25" i="13"/>
  <c r="BJ11" i="8"/>
  <c r="BJ14" i="8" s="1"/>
  <c r="BJ18" i="8" s="1"/>
  <c r="BJ22" i="8" s="1"/>
  <c r="BJ47" i="8"/>
  <c r="BJ75" i="8" s="1"/>
  <c r="BJ93" i="8" s="1"/>
  <c r="BK48" i="8"/>
  <c r="BK59" i="12" s="1"/>
  <c r="BL50" i="8"/>
  <c r="G10" i="13"/>
  <c r="AX14" i="1"/>
  <c r="AX18" i="1" s="1"/>
  <c r="AX25" i="1" s="1"/>
  <c r="AX27" i="1" s="1"/>
  <c r="BK18" i="12"/>
  <c r="BS10" i="13" s="1"/>
  <c r="AX100" i="12"/>
  <c r="AX12" i="12"/>
  <c r="BF7" i="13" s="1"/>
  <c r="CQ90" i="12"/>
  <c r="AY91" i="12"/>
  <c r="AY90" i="12" s="1"/>
  <c r="AY13" i="12" s="1"/>
  <c r="AZ105" i="1"/>
  <c r="AZ12" i="1" s="1"/>
  <c r="AQ7" i="14"/>
  <c r="AW14" i="1"/>
  <c r="AW18" i="1" s="1"/>
  <c r="AV15" i="12"/>
  <c r="BE8" i="13"/>
  <c r="CH24" i="11" l="1"/>
  <c r="CH26" i="11"/>
  <c r="CH27" i="11" s="1"/>
  <c r="CI11" i="11"/>
  <c r="CI14" i="11" s="1"/>
  <c r="CI18" i="11" s="1"/>
  <c r="CI22" i="11" s="1"/>
  <c r="CI24" i="11" s="1"/>
  <c r="CI26" i="11" s="1"/>
  <c r="CI27" i="11" s="1"/>
  <c r="CI47" i="11"/>
  <c r="CI75" i="11" s="1"/>
  <c r="CI93" i="11" s="1"/>
  <c r="CJ48" i="11"/>
  <c r="CK50" i="11"/>
  <c r="CB24" i="7"/>
  <c r="CD48" i="7"/>
  <c r="CE50" i="7"/>
  <c r="CC47" i="7"/>
  <c r="CC75" i="7" s="1"/>
  <c r="CC92" i="7" s="1"/>
  <c r="CC11" i="7"/>
  <c r="CC14" i="7" s="1"/>
  <c r="CC18" i="7" s="1"/>
  <c r="CC22" i="7" s="1"/>
  <c r="CC47" i="6"/>
  <c r="CC74" i="6" s="1"/>
  <c r="CC92" i="6" s="1"/>
  <c r="CC11" i="6"/>
  <c r="CE50" i="6"/>
  <c r="CD48" i="6"/>
  <c r="CB24" i="6"/>
  <c r="AV20" i="12"/>
  <c r="AV16" i="12"/>
  <c r="BJ24" i="8"/>
  <c r="BJ26" i="8" s="1"/>
  <c r="BJ27" i="8" s="1"/>
  <c r="AV27" i="1"/>
  <c r="AV29" i="1" s="1"/>
  <c r="AV30" i="1" s="1"/>
  <c r="G17" i="13"/>
  <c r="AZ109" i="1"/>
  <c r="AZ11" i="1"/>
  <c r="AW25" i="1"/>
  <c r="BQ25" i="13"/>
  <c r="BM50" i="8"/>
  <c r="BL48" i="8"/>
  <c r="BL59" i="12" s="1"/>
  <c r="BK47" i="8"/>
  <c r="BK11" i="8"/>
  <c r="AZ91" i="12"/>
  <c r="AZ90" i="12" s="1"/>
  <c r="AZ13" i="12" s="1"/>
  <c r="BA105" i="1"/>
  <c r="AX29" i="1"/>
  <c r="AX30" i="1" s="1"/>
  <c r="AY14" i="1"/>
  <c r="AY18" i="1" s="1"/>
  <c r="AY25" i="1" s="1"/>
  <c r="AY27" i="1" s="1"/>
  <c r="BF8" i="13"/>
  <c r="AR7" i="14"/>
  <c r="BL18" i="12"/>
  <c r="AQ9" i="14"/>
  <c r="CJ7" i="14"/>
  <c r="AW15" i="12"/>
  <c r="CC14" i="6" l="1"/>
  <c r="CC18" i="6" s="1"/>
  <c r="CC22" i="6" s="1"/>
  <c r="CC24" i="6" s="1"/>
  <c r="CC26" i="6" s="1"/>
  <c r="CC27" i="6" s="1"/>
  <c r="CK48" i="11"/>
  <c r="CR50" i="11"/>
  <c r="CS50" i="11"/>
  <c r="CJ11" i="11"/>
  <c r="CJ14" i="11" s="1"/>
  <c r="CJ18" i="11" s="1"/>
  <c r="CJ22" i="11" s="1"/>
  <c r="CJ24" i="11" s="1"/>
  <c r="CJ26" i="11" s="1"/>
  <c r="CJ27" i="11" s="1"/>
  <c r="CJ47" i="11"/>
  <c r="CJ75" i="11" s="1"/>
  <c r="CJ93" i="11" s="1"/>
  <c r="CB26" i="6"/>
  <c r="CB27" i="6" s="1"/>
  <c r="CB26" i="7"/>
  <c r="CB27" i="7" s="1"/>
  <c r="CC24" i="7"/>
  <c r="CC26" i="7" s="1"/>
  <c r="CC27" i="7" s="1"/>
  <c r="CF50" i="7"/>
  <c r="CE48" i="7"/>
  <c r="CD47" i="7"/>
  <c r="CD11" i="7"/>
  <c r="CF50" i="6"/>
  <c r="CE48" i="6"/>
  <c r="CD47" i="6"/>
  <c r="CD74" i="6" s="1"/>
  <c r="CD92" i="6" s="1"/>
  <c r="CD11" i="6"/>
  <c r="CD14" i="6" s="1"/>
  <c r="CD18" i="6" s="1"/>
  <c r="CD22" i="6" s="1"/>
  <c r="BA12" i="1"/>
  <c r="BB105" i="1"/>
  <c r="AW20" i="12"/>
  <c r="AW16" i="12"/>
  <c r="AW27" i="1"/>
  <c r="AW29" i="1" s="1"/>
  <c r="AW30" i="1" s="1"/>
  <c r="BQ17" i="13"/>
  <c r="BT10" i="13"/>
  <c r="BA109" i="1"/>
  <c r="BA11" i="1"/>
  <c r="BR25" i="13"/>
  <c r="BK14" i="8"/>
  <c r="BK18" i="8" s="1"/>
  <c r="BK22" i="8" s="1"/>
  <c r="BK24" i="8" s="1"/>
  <c r="BN50" i="8"/>
  <c r="BM48" i="8"/>
  <c r="BM59" i="12" s="1"/>
  <c r="BK75" i="8"/>
  <c r="BL47" i="8"/>
  <c r="BL75" i="8" s="1"/>
  <c r="BL93" i="8" s="1"/>
  <c r="BL11" i="8"/>
  <c r="BL14" i="8" s="1"/>
  <c r="BL18" i="8" s="1"/>
  <c r="BL22" i="8" s="1"/>
  <c r="AZ14" i="1"/>
  <c r="AZ18" i="1" s="1"/>
  <c r="AY29" i="1"/>
  <c r="AY30" i="1" s="1"/>
  <c r="AR9" i="14"/>
  <c r="AY100" i="12"/>
  <c r="AY12" i="12"/>
  <c r="BG7" i="13" s="1"/>
  <c r="BP17" i="13"/>
  <c r="AX15" i="12"/>
  <c r="BA91" i="12"/>
  <c r="BA90" i="12" s="1"/>
  <c r="BA13" i="12" s="1"/>
  <c r="BM18" i="12"/>
  <c r="AZ100" i="12"/>
  <c r="AZ12" i="12"/>
  <c r="BH7" i="13" s="1"/>
  <c r="CD14" i="7" l="1"/>
  <c r="CD18" i="7" s="1"/>
  <c r="CD22" i="7" s="1"/>
  <c r="CD24" i="7" s="1"/>
  <c r="CD75" i="7"/>
  <c r="CK47" i="11"/>
  <c r="CK11" i="11"/>
  <c r="CR48" i="11"/>
  <c r="CS48" i="11"/>
  <c r="CG50" i="7"/>
  <c r="CF48" i="7"/>
  <c r="CE11" i="7"/>
  <c r="CE14" i="7" s="1"/>
  <c r="CE18" i="7" s="1"/>
  <c r="CE22" i="7" s="1"/>
  <c r="CE47" i="7"/>
  <c r="CE75" i="7" s="1"/>
  <c r="CE92" i="7" s="1"/>
  <c r="CD24" i="6"/>
  <c r="CE47" i="6"/>
  <c r="CE74" i="6" s="1"/>
  <c r="CE11" i="6"/>
  <c r="CF48" i="6"/>
  <c r="CG50" i="6"/>
  <c r="AX20" i="12"/>
  <c r="AX16" i="12"/>
  <c r="BL24" i="8"/>
  <c r="BL26" i="8" s="1"/>
  <c r="BL27" i="8" s="1"/>
  <c r="BR17" i="13"/>
  <c r="BU10" i="13"/>
  <c r="AZ25" i="1"/>
  <c r="BS25" i="13"/>
  <c r="BN48" i="8"/>
  <c r="BO50" i="8"/>
  <c r="BK93" i="8"/>
  <c r="BK26" i="8"/>
  <c r="BK27" i="8" s="1"/>
  <c r="BM47" i="8"/>
  <c r="BM75" i="8" s="1"/>
  <c r="BM93" i="8" s="1"/>
  <c r="BM11" i="8"/>
  <c r="BN18" i="12"/>
  <c r="BA14" i="1"/>
  <c r="BA18" i="1" s="1"/>
  <c r="BH8" i="13"/>
  <c r="AT7" i="14"/>
  <c r="BB91" i="12"/>
  <c r="BB90" i="12" s="1"/>
  <c r="BC105" i="1"/>
  <c r="AS7" i="14"/>
  <c r="CE14" i="6" l="1"/>
  <c r="CE18" i="6" s="1"/>
  <c r="CE22" i="6" s="1"/>
  <c r="CD26" i="6"/>
  <c r="CD27" i="6" s="1"/>
  <c r="CK14" i="11"/>
  <c r="CK18" i="11" s="1"/>
  <c r="CK22" i="11" s="1"/>
  <c r="CS11" i="11"/>
  <c r="CS14" i="11" s="1"/>
  <c r="CS18" i="11" s="1"/>
  <c r="CS22" i="11" s="1"/>
  <c r="CE92" i="6"/>
  <c r="CK75" i="11"/>
  <c r="CS47" i="11"/>
  <c r="CD92" i="7"/>
  <c r="BN59" i="12"/>
  <c r="CD26" i="7"/>
  <c r="CD27" i="7" s="1"/>
  <c r="CF47" i="7"/>
  <c r="CF75" i="7" s="1"/>
  <c r="CF92" i="7" s="1"/>
  <c r="CF11" i="7"/>
  <c r="CF14" i="7" s="1"/>
  <c r="CF18" i="7" s="1"/>
  <c r="CF22" i="7" s="1"/>
  <c r="CE24" i="7"/>
  <c r="CE26" i="7" s="1"/>
  <c r="CE27" i="7" s="1"/>
  <c r="CG48" i="7"/>
  <c r="CH50" i="7"/>
  <c r="CF47" i="6"/>
  <c r="CF74" i="6" s="1"/>
  <c r="CF92" i="6" s="1"/>
  <c r="CF11" i="6"/>
  <c r="CF14" i="6" s="1"/>
  <c r="CF18" i="6" s="1"/>
  <c r="CF22" i="6" s="1"/>
  <c r="CG48" i="6"/>
  <c r="CH50" i="6"/>
  <c r="CE24" i="6"/>
  <c r="AZ27" i="1"/>
  <c r="AZ29" i="1" s="1"/>
  <c r="AZ30" i="1" s="1"/>
  <c r="BV10" i="13"/>
  <c r="AY15" i="12"/>
  <c r="BG8" i="13"/>
  <c r="BA25" i="1"/>
  <c r="BT25" i="13"/>
  <c r="BM14" i="8"/>
  <c r="BM18" i="8" s="1"/>
  <c r="BM22" i="8" s="1"/>
  <c r="BM24" i="8" s="1"/>
  <c r="BP50" i="8"/>
  <c r="BO48" i="8"/>
  <c r="BO59" i="12" s="1"/>
  <c r="BN47" i="8"/>
  <c r="BN11" i="8"/>
  <c r="BE9" i="13"/>
  <c r="BE11" i="13" s="1"/>
  <c r="BC91" i="12"/>
  <c r="BC90" i="12" s="1"/>
  <c r="BD105" i="1"/>
  <c r="AZ15" i="12"/>
  <c r="AS9" i="14"/>
  <c r="AT9" i="14"/>
  <c r="BA100" i="12"/>
  <c r="BA12" i="12"/>
  <c r="BI7" i="13" s="1"/>
  <c r="BO18" i="12"/>
  <c r="BN14" i="8" l="1"/>
  <c r="BN18" i="8" s="1"/>
  <c r="BN22" i="8" s="1"/>
  <c r="CE26" i="6"/>
  <c r="CE27" i="6" s="1"/>
  <c r="CK24" i="11"/>
  <c r="CS24" i="11" s="1"/>
  <c r="CS26" i="11" s="1"/>
  <c r="CS27" i="11" s="1"/>
  <c r="CK26" i="11"/>
  <c r="CK27" i="11" s="1"/>
  <c r="CK93" i="11"/>
  <c r="CS75" i="11"/>
  <c r="CF24" i="7"/>
  <c r="CF26" i="7" s="1"/>
  <c r="CF27" i="7" s="1"/>
  <c r="CI50" i="7"/>
  <c r="CH48" i="7"/>
  <c r="CG11" i="7"/>
  <c r="CG14" i="7" s="1"/>
  <c r="CG18" i="7" s="1"/>
  <c r="CG22" i="7" s="1"/>
  <c r="CG24" i="7" s="1"/>
  <c r="CG26" i="7" s="1"/>
  <c r="CG27" i="7" s="1"/>
  <c r="CG47" i="7"/>
  <c r="CG75" i="7" s="1"/>
  <c r="CG92" i="7" s="1"/>
  <c r="CG47" i="6"/>
  <c r="CG74" i="6" s="1"/>
  <c r="CG92" i="6" s="1"/>
  <c r="CG11" i="6"/>
  <c r="CG14" i="6" s="1"/>
  <c r="CG18" i="6" s="1"/>
  <c r="CG22" i="6" s="1"/>
  <c r="CH48" i="6"/>
  <c r="CI50" i="6"/>
  <c r="CF24" i="6"/>
  <c r="CF26" i="6"/>
  <c r="CF27" i="6" s="1"/>
  <c r="AY20" i="12"/>
  <c r="AY16" i="12"/>
  <c r="AZ20" i="12"/>
  <c r="AZ16" i="12"/>
  <c r="BN24" i="8"/>
  <c r="BA27" i="1"/>
  <c r="BA29" i="1" s="1"/>
  <c r="BA30" i="1" s="1"/>
  <c r="BT17" i="13"/>
  <c r="BW10" i="13"/>
  <c r="BU25" i="13"/>
  <c r="BN75" i="8"/>
  <c r="BQ50" i="8"/>
  <c r="BP48" i="8"/>
  <c r="BM26" i="8"/>
  <c r="BM27" i="8" s="1"/>
  <c r="BO11" i="8"/>
  <c r="BO47" i="8"/>
  <c r="BO75" i="8" s="1"/>
  <c r="BO93" i="8" s="1"/>
  <c r="BD91" i="12"/>
  <c r="BD90" i="12" s="1"/>
  <c r="BE105" i="1"/>
  <c r="BI8" i="13"/>
  <c r="AU7" i="14"/>
  <c r="BP18" i="12"/>
  <c r="BD9" i="13"/>
  <c r="BD11" i="13" s="1"/>
  <c r="BS17" i="13"/>
  <c r="BN26" i="8" l="1"/>
  <c r="BN27" i="8" s="1"/>
  <c r="BP59" i="12"/>
  <c r="CI48" i="7"/>
  <c r="CJ50" i="7"/>
  <c r="CH11" i="7"/>
  <c r="CH14" i="7" s="1"/>
  <c r="CH18" i="7" s="1"/>
  <c r="CH22" i="7" s="1"/>
  <c r="CH24" i="7" s="1"/>
  <c r="CH26" i="7" s="1"/>
  <c r="CH27" i="7" s="1"/>
  <c r="CH47" i="7"/>
  <c r="CH75" i="7" s="1"/>
  <c r="CH92" i="7" s="1"/>
  <c r="CH47" i="6"/>
  <c r="CH74" i="6" s="1"/>
  <c r="CH92" i="6" s="1"/>
  <c r="CH11" i="6"/>
  <c r="CH14" i="6" s="1"/>
  <c r="CH18" i="6" s="1"/>
  <c r="CH22" i="6" s="1"/>
  <c r="CH24" i="6" s="1"/>
  <c r="CH26" i="6" s="1"/>
  <c r="CH27" i="6" s="1"/>
  <c r="CG24" i="6"/>
  <c r="CG26" i="6" s="1"/>
  <c r="CG27" i="6" s="1"/>
  <c r="CJ50" i="6"/>
  <c r="CI48" i="6"/>
  <c r="BU17" i="13"/>
  <c r="BX10" i="13"/>
  <c r="BV25" i="13"/>
  <c r="BO14" i="8"/>
  <c r="BO18" i="8" s="1"/>
  <c r="BO22" i="8" s="1"/>
  <c r="BO24" i="8" s="1"/>
  <c r="BP47" i="8"/>
  <c r="BP75" i="8" s="1"/>
  <c r="BP93" i="8" s="1"/>
  <c r="BP11" i="8"/>
  <c r="BP14" i="8" s="1"/>
  <c r="BP18" i="8" s="1"/>
  <c r="BP22" i="8" s="1"/>
  <c r="BR50" i="8"/>
  <c r="BQ48" i="8"/>
  <c r="BQ59" i="12" s="1"/>
  <c r="BN93" i="8"/>
  <c r="BG9" i="13"/>
  <c r="BG11" i="13" s="1"/>
  <c r="BF9" i="13"/>
  <c r="BF11" i="13" s="1"/>
  <c r="BE91" i="12"/>
  <c r="BE90" i="12" s="1"/>
  <c r="BF105" i="1"/>
  <c r="BA15" i="12"/>
  <c r="BQ18" i="12"/>
  <c r="BY10" i="13" s="1"/>
  <c r="AU9" i="14"/>
  <c r="CJ48" i="7" l="1"/>
  <c r="CK50" i="7"/>
  <c r="CI11" i="7"/>
  <c r="CI14" i="7" s="1"/>
  <c r="CI18" i="7" s="1"/>
  <c r="CI22" i="7" s="1"/>
  <c r="CI24" i="7" s="1"/>
  <c r="CI26" i="7" s="1"/>
  <c r="CI27" i="7" s="1"/>
  <c r="CI47" i="7"/>
  <c r="CI75" i="7" s="1"/>
  <c r="CI92" i="7" s="1"/>
  <c r="CI47" i="6"/>
  <c r="CI74" i="6" s="1"/>
  <c r="CI92" i="6" s="1"/>
  <c r="CI11" i="6"/>
  <c r="CI14" i="6" s="1"/>
  <c r="CI18" i="6" s="1"/>
  <c r="CI22" i="6" s="1"/>
  <c r="CJ48" i="6"/>
  <c r="CK50" i="6"/>
  <c r="BA20" i="12"/>
  <c r="BA16" i="12"/>
  <c r="BP24" i="8"/>
  <c r="BW25" i="13"/>
  <c r="BO26" i="8"/>
  <c r="BO27" i="8" s="1"/>
  <c r="BQ47" i="8"/>
  <c r="BQ11" i="8"/>
  <c r="BQ14" i="8" s="1"/>
  <c r="BQ18" i="8" s="1"/>
  <c r="BQ22" i="8" s="1"/>
  <c r="BS50" i="8"/>
  <c r="BR48" i="8"/>
  <c r="BR18" i="12"/>
  <c r="BF91" i="12"/>
  <c r="BF90" i="12" s="1"/>
  <c r="BG105" i="1"/>
  <c r="CK48" i="7" l="1"/>
  <c r="CR50" i="7"/>
  <c r="CS50" i="7"/>
  <c r="BP26" i="8"/>
  <c r="BP27" i="8" s="1"/>
  <c r="BR59" i="12"/>
  <c r="CK48" i="6"/>
  <c r="CR50" i="6"/>
  <c r="CS50" i="6"/>
  <c r="CK11" i="7"/>
  <c r="CK47" i="7"/>
  <c r="CJ11" i="7"/>
  <c r="CJ14" i="7" s="1"/>
  <c r="CJ18" i="7" s="1"/>
  <c r="CJ22" i="7" s="1"/>
  <c r="CJ24" i="7" s="1"/>
  <c r="CJ26" i="7" s="1"/>
  <c r="CJ27" i="7" s="1"/>
  <c r="CJ47" i="7"/>
  <c r="CJ75" i="7" s="1"/>
  <c r="CJ92" i="7" s="1"/>
  <c r="CI24" i="6"/>
  <c r="CI26" i="6"/>
  <c r="CI27" i="6" s="1"/>
  <c r="CK47" i="6"/>
  <c r="CK11" i="6"/>
  <c r="CJ47" i="6"/>
  <c r="CJ74" i="6" s="1"/>
  <c r="CJ92" i="6" s="1"/>
  <c r="CJ11" i="6"/>
  <c r="CJ14" i="6" s="1"/>
  <c r="CJ18" i="6" s="1"/>
  <c r="CJ22" i="6" s="1"/>
  <c r="CJ24" i="6" s="1"/>
  <c r="CJ26" i="6" s="1"/>
  <c r="CJ27" i="6" s="1"/>
  <c r="BQ24" i="8"/>
  <c r="BQ26" i="8" s="1"/>
  <c r="BQ27" i="8" s="1"/>
  <c r="BW17" i="13"/>
  <c r="BZ10" i="13"/>
  <c r="BX25" i="13"/>
  <c r="BQ75" i="8"/>
  <c r="BR47" i="8"/>
  <c r="BR75" i="8" s="1"/>
  <c r="BR93" i="8" s="1"/>
  <c r="BR11" i="8"/>
  <c r="BS48" i="8"/>
  <c r="BS59" i="12" s="1"/>
  <c r="BT50" i="8"/>
  <c r="BG91" i="12"/>
  <c r="BG90" i="12" s="1"/>
  <c r="BH105" i="1"/>
  <c r="BV17" i="13"/>
  <c r="BI9" i="13"/>
  <c r="BI11" i="13" s="1"/>
  <c r="BS18" i="12"/>
  <c r="CA10" i="13" s="1"/>
  <c r="CA17" i="13" s="1"/>
  <c r="CR48" i="6" l="1"/>
  <c r="CS48" i="6"/>
  <c r="CK75" i="7"/>
  <c r="CR47" i="7"/>
  <c r="CS47" i="7"/>
  <c r="CK14" i="7"/>
  <c r="CK18" i="7" s="1"/>
  <c r="CK22" i="7" s="1"/>
  <c r="CK24" i="7" s="1"/>
  <c r="CR11" i="7"/>
  <c r="CR14" i="7" s="1"/>
  <c r="CR18" i="7" s="1"/>
  <c r="CR22" i="7" s="1"/>
  <c r="CS11" i="7"/>
  <c r="CS14" i="7" s="1"/>
  <c r="CS18" i="7" s="1"/>
  <c r="CS22" i="7" s="1"/>
  <c r="CK14" i="6"/>
  <c r="CK18" i="6" s="1"/>
  <c r="CK22" i="6" s="1"/>
  <c r="CR11" i="6"/>
  <c r="CR14" i="6" s="1"/>
  <c r="CR18" i="6" s="1"/>
  <c r="CR22" i="6" s="1"/>
  <c r="CS11" i="6"/>
  <c r="CS14" i="6" s="1"/>
  <c r="CS18" i="6" s="1"/>
  <c r="CS22" i="6" s="1"/>
  <c r="CK74" i="6"/>
  <c r="CR47" i="6"/>
  <c r="CS47" i="6"/>
  <c r="CR48" i="7"/>
  <c r="CS48" i="7"/>
  <c r="CK24" i="6"/>
  <c r="CK26" i="6"/>
  <c r="CK27" i="6" s="1"/>
  <c r="BX17" i="13"/>
  <c r="BY25" i="13"/>
  <c r="BU50" i="8"/>
  <c r="BV50" i="8" s="1"/>
  <c r="BT48" i="8"/>
  <c r="BT59" i="12" s="1"/>
  <c r="BQ93" i="8"/>
  <c r="BS47" i="8"/>
  <c r="BS75" i="8" s="1"/>
  <c r="BS93" i="8" s="1"/>
  <c r="BS11" i="8"/>
  <c r="BS14" i="8" s="1"/>
  <c r="BS18" i="8" s="1"/>
  <c r="BS22" i="8" s="1"/>
  <c r="BR14" i="8"/>
  <c r="BR18" i="8" s="1"/>
  <c r="BR22" i="8" s="1"/>
  <c r="BR24" i="8" s="1"/>
  <c r="BH9" i="13"/>
  <c r="BH11" i="13" s="1"/>
  <c r="BV18" i="12"/>
  <c r="CD10" i="13" s="1"/>
  <c r="CD17" i="13" s="1"/>
  <c r="BT18" i="12"/>
  <c r="BH91" i="12"/>
  <c r="BH90" i="12" s="1"/>
  <c r="BI105" i="1"/>
  <c r="CR24" i="7" l="1"/>
  <c r="CS24" i="7"/>
  <c r="CR24" i="6"/>
  <c r="CR26" i="6" s="1"/>
  <c r="CR27" i="6" s="1"/>
  <c r="CS24" i="6"/>
  <c r="CS26" i="6" s="1"/>
  <c r="CS27" i="6" s="1"/>
  <c r="CK92" i="6"/>
  <c r="CR74" i="6"/>
  <c r="CS74" i="6"/>
  <c r="CK26" i="7"/>
  <c r="CK27" i="7" s="1"/>
  <c r="CK92" i="7"/>
  <c r="CR75" i="7"/>
  <c r="CS75" i="7"/>
  <c r="CS26" i="7"/>
  <c r="CS27" i="7" s="1"/>
  <c r="CR26" i="7"/>
  <c r="CR27" i="7" s="1"/>
  <c r="BS24" i="8"/>
  <c r="BS26" i="8" s="1"/>
  <c r="BS27" i="8" s="1"/>
  <c r="BV48" i="8"/>
  <c r="BV59" i="12" s="1"/>
  <c r="BW50" i="8"/>
  <c r="BY17" i="13"/>
  <c r="CB10" i="13"/>
  <c r="CB17" i="13" s="1"/>
  <c r="H10" i="13"/>
  <c r="H17" i="13" s="1"/>
  <c r="BW18" i="12"/>
  <c r="CE10" i="13" s="1"/>
  <c r="CE17" i="13" s="1"/>
  <c r="BZ25" i="13"/>
  <c r="CA25" i="13" s="1"/>
  <c r="CB25" i="13" s="1"/>
  <c r="CC25" i="13" s="1"/>
  <c r="CD25" i="13" s="1"/>
  <c r="CE25" i="13" s="1"/>
  <c r="CF25" i="13" s="1"/>
  <c r="CG25" i="13" s="1"/>
  <c r="CH25" i="13" s="1"/>
  <c r="CI25" i="13" s="1"/>
  <c r="CJ25" i="13" s="1"/>
  <c r="CK25" i="13" s="1"/>
  <c r="CL25" i="13" s="1"/>
  <c r="CM25" i="13" s="1"/>
  <c r="CN25" i="13" s="1"/>
  <c r="CO25" i="13" s="1"/>
  <c r="CP25" i="13" s="1"/>
  <c r="CQ25" i="13" s="1"/>
  <c r="CR25" i="13" s="1"/>
  <c r="CS25" i="13" s="1"/>
  <c r="BR26" i="8"/>
  <c r="BR27" i="8" s="1"/>
  <c r="BT11" i="8"/>
  <c r="BT14" i="8" s="1"/>
  <c r="BT18" i="8" s="1"/>
  <c r="BT22" i="8" s="1"/>
  <c r="BT47" i="8"/>
  <c r="BT75" i="8" s="1"/>
  <c r="BU48" i="8"/>
  <c r="BU59" i="12" s="1"/>
  <c r="BI91" i="12"/>
  <c r="BI90" i="12" s="1"/>
  <c r="BJ105" i="1"/>
  <c r="BU18" i="12"/>
  <c r="BT24" i="8" l="1"/>
  <c r="BT26" i="8" s="1"/>
  <c r="BT27" i="8" s="1"/>
  <c r="BX50" i="8"/>
  <c r="BY50" i="8" s="1"/>
  <c r="BW48" i="8"/>
  <c r="BW59" i="12" s="1"/>
  <c r="BV11" i="8"/>
  <c r="BV14" i="8" s="1"/>
  <c r="BV18" i="8" s="1"/>
  <c r="BV22" i="8" s="1"/>
  <c r="BV47" i="8"/>
  <c r="BV75" i="8" s="1"/>
  <c r="BV93" i="8" s="1"/>
  <c r="BZ17" i="13"/>
  <c r="CC10" i="13"/>
  <c r="BX18" i="12"/>
  <c r="BU47" i="8"/>
  <c r="BU75" i="8" s="1"/>
  <c r="BU93" i="8" s="1"/>
  <c r="BU11" i="8"/>
  <c r="BU14" i="8" s="1"/>
  <c r="BU18" i="8" s="1"/>
  <c r="BU22" i="8" s="1"/>
  <c r="BT93" i="8"/>
  <c r="CQ50" i="8"/>
  <c r="CQ16" i="1"/>
  <c r="CR16" i="1"/>
  <c r="CS16" i="1"/>
  <c r="BJ91" i="12"/>
  <c r="BJ90" i="12" s="1"/>
  <c r="BK105" i="1"/>
  <c r="CF10" i="13" l="1"/>
  <c r="CT18" i="12"/>
  <c r="BY48" i="8"/>
  <c r="BY59" i="12" s="1"/>
  <c r="BZ50" i="8"/>
  <c r="BU24" i="8"/>
  <c r="BU26" i="8" s="1"/>
  <c r="BU27" i="8" s="1"/>
  <c r="BV24" i="8"/>
  <c r="BV26" i="8" s="1"/>
  <c r="BV27" i="8" s="1"/>
  <c r="BW47" i="8"/>
  <c r="BW75" i="8" s="1"/>
  <c r="BW93" i="8" s="1"/>
  <c r="BW11" i="8"/>
  <c r="BW14" i="8" s="1"/>
  <c r="BW18" i="8" s="1"/>
  <c r="BW22" i="8" s="1"/>
  <c r="BW24" i="8" s="1"/>
  <c r="BX48" i="8"/>
  <c r="BX59" i="12" s="1"/>
  <c r="CT59" i="12" s="1"/>
  <c r="CC17" i="13"/>
  <c r="CN47" i="8"/>
  <c r="CQ48" i="8"/>
  <c r="BK91" i="12"/>
  <c r="BK90" i="12" s="1"/>
  <c r="BL105" i="1"/>
  <c r="CQ18" i="12"/>
  <c r="CR18" i="12"/>
  <c r="CS18" i="12"/>
  <c r="CF17" i="13" l="1"/>
  <c r="I10" i="13"/>
  <c r="BZ48" i="8"/>
  <c r="CA50" i="8"/>
  <c r="BY47" i="8"/>
  <c r="BY75" i="8" s="1"/>
  <c r="BY93" i="8" s="1"/>
  <c r="BY11" i="8"/>
  <c r="BY14" i="8" s="1"/>
  <c r="BY18" i="8" s="1"/>
  <c r="BY22" i="8" s="1"/>
  <c r="BX47" i="8"/>
  <c r="BX75" i="8" s="1"/>
  <c r="BX93" i="8" s="1"/>
  <c r="BX11" i="8"/>
  <c r="BX14" i="8" s="1"/>
  <c r="BX18" i="8" s="1"/>
  <c r="BX22" i="8" s="1"/>
  <c r="BW26" i="8"/>
  <c r="BW27" i="8" s="1"/>
  <c r="CQ11" i="8"/>
  <c r="CQ14" i="8" s="1"/>
  <c r="CQ18" i="8" s="1"/>
  <c r="CQ22" i="8" s="1"/>
  <c r="CQ47" i="8"/>
  <c r="BL91" i="12"/>
  <c r="BL90" i="12" s="1"/>
  <c r="BM105" i="1"/>
  <c r="BZ59" i="12" l="1"/>
  <c r="I17" i="13"/>
  <c r="BY24" i="8"/>
  <c r="BY26" i="8"/>
  <c r="BY27" i="8" s="1"/>
  <c r="CB50" i="8"/>
  <c r="CA48" i="8"/>
  <c r="CA59" i="12" s="1"/>
  <c r="BZ47" i="8"/>
  <c r="BZ11" i="8"/>
  <c r="CP59" i="12"/>
  <c r="CQ59" i="12"/>
  <c r="CR59" i="12"/>
  <c r="CS59" i="12"/>
  <c r="BN105" i="1"/>
  <c r="BX24" i="8"/>
  <c r="BX26" i="8" s="1"/>
  <c r="BX27" i="8" s="1"/>
  <c r="CQ75" i="8"/>
  <c r="BM91" i="12"/>
  <c r="BM90" i="12" s="1"/>
  <c r="BZ75" i="8" l="1"/>
  <c r="BZ14" i="8"/>
  <c r="BZ18" i="8" s="1"/>
  <c r="BZ22" i="8" s="1"/>
  <c r="BZ24" i="8" s="1"/>
  <c r="CC50" i="8"/>
  <c r="CB48" i="8"/>
  <c r="CA11" i="8"/>
  <c r="CA14" i="8" s="1"/>
  <c r="CA18" i="8" s="1"/>
  <c r="CA22" i="8" s="1"/>
  <c r="CA47" i="8"/>
  <c r="CA75" i="8" s="1"/>
  <c r="CA93" i="8" s="1"/>
  <c r="CQ24" i="8"/>
  <c r="CQ26" i="8" s="1"/>
  <c r="CQ27" i="8" s="1"/>
  <c r="BN91" i="12"/>
  <c r="BO105" i="1"/>
  <c r="BZ26" i="8" l="1"/>
  <c r="BZ27" i="8" s="1"/>
  <c r="CB59" i="12"/>
  <c r="BZ93" i="8"/>
  <c r="CA24" i="8"/>
  <c r="CA26" i="8"/>
  <c r="CA27" i="8" s="1"/>
  <c r="CB11" i="8"/>
  <c r="CB47" i="8"/>
  <c r="CC48" i="8"/>
  <c r="CC59" i="12" s="1"/>
  <c r="CD50" i="8"/>
  <c r="K17" i="13"/>
  <c r="K10" i="13"/>
  <c r="BN90" i="12"/>
  <c r="BO91" i="12"/>
  <c r="BO90" i="12" s="1"/>
  <c r="BP105" i="1"/>
  <c r="CB75" i="8" l="1"/>
  <c r="CB14" i="8"/>
  <c r="CB18" i="8" s="1"/>
  <c r="CB22" i="8" s="1"/>
  <c r="CB24" i="8" s="1"/>
  <c r="CD48" i="8"/>
  <c r="CE50" i="8"/>
  <c r="CC47" i="8"/>
  <c r="CC75" i="8" s="1"/>
  <c r="CC93" i="8" s="1"/>
  <c r="CC11" i="8"/>
  <c r="CC14" i="8" s="1"/>
  <c r="CC18" i="8" s="1"/>
  <c r="CC22" i="8" s="1"/>
  <c r="BP91" i="12"/>
  <c r="BP90" i="12" s="1"/>
  <c r="BQ105" i="1"/>
  <c r="CD59" i="12" l="1"/>
  <c r="CB26" i="8"/>
  <c r="CB27" i="8" s="1"/>
  <c r="CB93" i="8"/>
  <c r="CC24" i="8"/>
  <c r="CC26" i="8" s="1"/>
  <c r="CC27" i="8" s="1"/>
  <c r="CF50" i="8"/>
  <c r="CE48" i="8"/>
  <c r="CE59" i="12" s="1"/>
  <c r="CD11" i="8"/>
  <c r="CD47" i="8"/>
  <c r="BQ91" i="12"/>
  <c r="BR105" i="1"/>
  <c r="CD75" i="8" l="1"/>
  <c r="CD14" i="8"/>
  <c r="CD18" i="8" s="1"/>
  <c r="CD22" i="8" s="1"/>
  <c r="CD24" i="8" s="1"/>
  <c r="BQ90" i="12"/>
  <c r="CE47" i="8"/>
  <c r="CE75" i="8" s="1"/>
  <c r="CE93" i="8" s="1"/>
  <c r="CE11" i="8"/>
  <c r="CE14" i="8" s="1"/>
  <c r="CE18" i="8" s="1"/>
  <c r="CE22" i="8" s="1"/>
  <c r="CF48" i="8"/>
  <c r="CG50" i="8"/>
  <c r="BR91" i="12"/>
  <c r="BR90" i="12" s="1"/>
  <c r="BS105" i="1"/>
  <c r="CF59" i="12" l="1"/>
  <c r="CD26" i="8"/>
  <c r="CD27" i="8" s="1"/>
  <c r="CD93" i="8"/>
  <c r="CH50" i="8"/>
  <c r="CG48" i="8"/>
  <c r="CG59" i="12" s="1"/>
  <c r="CF11" i="8"/>
  <c r="CF47" i="8"/>
  <c r="CE24" i="8"/>
  <c r="CE26" i="8" s="1"/>
  <c r="CE27" i="8" s="1"/>
  <c r="BS91" i="12"/>
  <c r="BS90" i="12" s="1"/>
  <c r="BT105" i="1"/>
  <c r="CF14" i="8" l="1"/>
  <c r="CF18" i="8" s="1"/>
  <c r="CF22" i="8" s="1"/>
  <c r="CF75" i="8"/>
  <c r="CG11" i="8"/>
  <c r="CG14" i="8" s="1"/>
  <c r="CG18" i="8" s="1"/>
  <c r="CG22" i="8" s="1"/>
  <c r="CG47" i="8"/>
  <c r="CG75" i="8" s="1"/>
  <c r="CG93" i="8" s="1"/>
  <c r="CF24" i="8"/>
  <c r="CF26" i="8"/>
  <c r="CF27" i="8" s="1"/>
  <c r="CH48" i="8"/>
  <c r="CH59" i="12" s="1"/>
  <c r="CI50" i="8"/>
  <c r="BT91" i="12"/>
  <c r="BT90" i="12" s="1"/>
  <c r="BU105" i="1"/>
  <c r="CF93" i="8" l="1"/>
  <c r="CI48" i="8"/>
  <c r="CI59" i="12" s="1"/>
  <c r="CJ50" i="8"/>
  <c r="CH11" i="8"/>
  <c r="CH14" i="8" s="1"/>
  <c r="CH18" i="8" s="1"/>
  <c r="CH22" i="8" s="1"/>
  <c r="CH24" i="8" s="1"/>
  <c r="CH26" i="8" s="1"/>
  <c r="CH27" i="8" s="1"/>
  <c r="CH47" i="8"/>
  <c r="CH75" i="8" s="1"/>
  <c r="CH93" i="8" s="1"/>
  <c r="CG24" i="8"/>
  <c r="CG26" i="8" s="1"/>
  <c r="CG27" i="8" s="1"/>
  <c r="BV105" i="1"/>
  <c r="BU91" i="12"/>
  <c r="BU90" i="12" s="1"/>
  <c r="CJ48" i="8" l="1"/>
  <c r="CJ59" i="12" s="1"/>
  <c r="CK50" i="8"/>
  <c r="CI11" i="8"/>
  <c r="CI14" i="8" s="1"/>
  <c r="CI18" i="8" s="1"/>
  <c r="CI22" i="8" s="1"/>
  <c r="CI24" i="8" s="1"/>
  <c r="CI26" i="8" s="1"/>
  <c r="CI27" i="8" s="1"/>
  <c r="CI47" i="8"/>
  <c r="CI75" i="8" s="1"/>
  <c r="CI93" i="8" s="1"/>
  <c r="BW105" i="1"/>
  <c r="BV91" i="12"/>
  <c r="BV90" i="12" s="1"/>
  <c r="D9" i="13"/>
  <c r="D11" i="13" s="1"/>
  <c r="CO11" i="1"/>
  <c r="CO14" i="1" s="1"/>
  <c r="CO18" i="1" s="1"/>
  <c r="CO25" i="1" s="1"/>
  <c r="CO29" i="1" s="1"/>
  <c r="CO30" i="1" s="1"/>
  <c r="CQ105" i="1"/>
  <c r="CR105" i="1"/>
  <c r="CS105" i="1"/>
  <c r="CK48" i="8" l="1"/>
  <c r="CR50" i="8"/>
  <c r="CS50" i="8"/>
  <c r="CK11" i="8"/>
  <c r="CK47" i="8"/>
  <c r="CJ47" i="8"/>
  <c r="CJ75" i="8" s="1"/>
  <c r="CJ93" i="8" s="1"/>
  <c r="CJ11" i="8"/>
  <c r="CJ14" i="8" s="1"/>
  <c r="CJ18" i="8" s="1"/>
  <c r="CJ22" i="8" s="1"/>
  <c r="CJ24" i="8" s="1"/>
  <c r="CJ26" i="8" s="1"/>
  <c r="CJ27" i="8" s="1"/>
  <c r="BX105" i="1"/>
  <c r="BY105" i="1" s="1"/>
  <c r="BY91" i="12" s="1"/>
  <c r="BY90" i="12" s="1"/>
  <c r="BW91" i="12"/>
  <c r="BW90" i="12" s="1"/>
  <c r="CP91" i="12"/>
  <c r="CQ91" i="12"/>
  <c r="CR91" i="12"/>
  <c r="CS91" i="12"/>
  <c r="CK75" i="8" l="1"/>
  <c r="CR47" i="8"/>
  <c r="CS47" i="8"/>
  <c r="CK14" i="8"/>
  <c r="CK18" i="8" s="1"/>
  <c r="CK22" i="8" s="1"/>
  <c r="CR11" i="8"/>
  <c r="CR14" i="8" s="1"/>
  <c r="CR18" i="8" s="1"/>
  <c r="CR22" i="8" s="1"/>
  <c r="CS11" i="8"/>
  <c r="CS14" i="8" s="1"/>
  <c r="CS18" i="8" s="1"/>
  <c r="CS22" i="8" s="1"/>
  <c r="BX91" i="12"/>
  <c r="CK59" i="12"/>
  <c r="CU59" i="12" s="1"/>
  <c r="CR48" i="8"/>
  <c r="CS48" i="8"/>
  <c r="BX90" i="12"/>
  <c r="CT90" i="12" s="1"/>
  <c r="CT91" i="12"/>
  <c r="CK24" i="8"/>
  <c r="CK26" i="8"/>
  <c r="CK27" i="8" s="1"/>
  <c r="BZ105" i="1"/>
  <c r="CR90" i="12"/>
  <c r="CS90" i="12"/>
  <c r="CR24" i="8" l="1"/>
  <c r="CR26" i="8" s="1"/>
  <c r="CR27" i="8" s="1"/>
  <c r="CS24" i="8"/>
  <c r="CS26" i="8" s="1"/>
  <c r="CS27" i="8" s="1"/>
  <c r="CK93" i="8"/>
  <c r="CR75" i="8"/>
  <c r="CS75" i="8"/>
  <c r="CA105" i="1"/>
  <c r="CA91" i="12" s="1"/>
  <c r="CA90" i="12" s="1"/>
  <c r="BZ91" i="12"/>
  <c r="CB105" i="1" l="1"/>
  <c r="CC105" i="1"/>
  <c r="CB91" i="12"/>
  <c r="CB90" i="12" s="1"/>
  <c r="BZ90" i="12"/>
  <c r="CD105" i="1" l="1"/>
  <c r="CC91" i="12"/>
  <c r="CO20" i="12"/>
  <c r="CO16" i="12"/>
  <c r="G31" i="14"/>
  <c r="U15" i="13"/>
  <c r="M30" i="12"/>
  <c r="M35" i="12" s="1"/>
  <c r="CO9" i="12"/>
  <c r="F31" i="14"/>
  <c r="CD91" i="12" l="1"/>
  <c r="CD90" i="12" s="1"/>
  <c r="CE105" i="1"/>
  <c r="CC90" i="12"/>
  <c r="M31" i="12"/>
  <c r="H31" i="14"/>
  <c r="V15" i="13"/>
  <c r="F34" i="14"/>
  <c r="G33" i="14" s="1"/>
  <c r="G34" i="14" s="1"/>
  <c r="H33" i="14" s="1"/>
  <c r="CE91" i="12" l="1"/>
  <c r="CF105" i="1"/>
  <c r="H34" i="14"/>
  <c r="I33" i="14" s="1"/>
  <c r="N30" i="12"/>
  <c r="N35" i="12" s="1"/>
  <c r="W15" i="13"/>
  <c r="T16" i="13"/>
  <c r="T19" i="13" s="1"/>
  <c r="T22" i="13" s="1"/>
  <c r="O30" i="12"/>
  <c r="CF91" i="12" l="1"/>
  <c r="CF90" i="12" s="1"/>
  <c r="CG105" i="1"/>
  <c r="CE90" i="12"/>
  <c r="O31" i="12"/>
  <c r="O35" i="12"/>
  <c r="CI21" i="14"/>
  <c r="CO22" i="12"/>
  <c r="CO26" i="12" s="1"/>
  <c r="N31" i="12"/>
  <c r="Z12" i="13"/>
  <c r="J31" i="14"/>
  <c r="U16" i="13"/>
  <c r="U19" i="13" s="1"/>
  <c r="U22" i="13" s="1"/>
  <c r="X15" i="13"/>
  <c r="T23" i="13"/>
  <c r="T24" i="13" s="1"/>
  <c r="P30" i="12"/>
  <c r="I31" i="14"/>
  <c r="CI4" i="14"/>
  <c r="CG91" i="12" l="1"/>
  <c r="CH105" i="1"/>
  <c r="P31" i="12"/>
  <c r="P35" i="12"/>
  <c r="S22" i="12"/>
  <c r="V16" i="13"/>
  <c r="V19" i="13" s="1"/>
  <c r="V22" i="13" s="1"/>
  <c r="Y15" i="13"/>
  <c r="U23" i="13"/>
  <c r="U24" i="13" s="1"/>
  <c r="Q30" i="12"/>
  <c r="I34" i="14"/>
  <c r="J33" i="14" s="1"/>
  <c r="J34" i="14" s="1"/>
  <c r="K33" i="14" s="1"/>
  <c r="CH91" i="12" l="1"/>
  <c r="CH90" i="12" s="1"/>
  <c r="CI105" i="1"/>
  <c r="CG90" i="12"/>
  <c r="AA12" i="13"/>
  <c r="Q31" i="12"/>
  <c r="Q35" i="12"/>
  <c r="T22" i="12"/>
  <c r="Z15" i="13"/>
  <c r="V23" i="13"/>
  <c r="V24" i="13" s="1"/>
  <c r="K31" i="14"/>
  <c r="K34" i="14" s="1"/>
  <c r="L33" i="14" s="1"/>
  <c r="CI27" i="14"/>
  <c r="CI91" i="12" l="1"/>
  <c r="CJ105" i="1"/>
  <c r="U22" i="12"/>
  <c r="AC12" i="13" s="1"/>
  <c r="AB12" i="13"/>
  <c r="CI18" i="14"/>
  <c r="W16" i="13"/>
  <c r="W19" i="13" s="1"/>
  <c r="W22" i="13" s="1"/>
  <c r="L31" i="14"/>
  <c r="X16" i="13"/>
  <c r="X19" i="13" s="1"/>
  <c r="X22" i="13" s="1"/>
  <c r="CI31" i="14"/>
  <c r="CJ91" i="12" l="1"/>
  <c r="CJ90" i="12" s="1"/>
  <c r="CK105" i="1"/>
  <c r="CI90" i="12"/>
  <c r="V22" i="12"/>
  <c r="AD12" i="13" s="1"/>
  <c r="AB15" i="13"/>
  <c r="AC15" i="13"/>
  <c r="L34" i="14"/>
  <c r="W23" i="13"/>
  <c r="W24" i="13" s="1"/>
  <c r="O31" i="14"/>
  <c r="CK91" i="12" l="1"/>
  <c r="CT105" i="1"/>
  <c r="CU105" i="1"/>
  <c r="W22" i="12"/>
  <c r="AE12" i="13" s="1"/>
  <c r="M33" i="14"/>
  <c r="F11" i="22"/>
  <c r="X23" i="13"/>
  <c r="X24" i="13" s="1"/>
  <c r="N31" i="14"/>
  <c r="Y16" i="13"/>
  <c r="Y19" i="13" s="1"/>
  <c r="Y22" i="13" s="1"/>
  <c r="CK90" i="12" l="1"/>
  <c r="CU90" i="12" s="1"/>
  <c r="CU91" i="12"/>
  <c r="Q31" i="14"/>
  <c r="AD15" i="13"/>
  <c r="Y23" i="13"/>
  <c r="AE15" i="13" l="1"/>
  <c r="Y24" i="13"/>
  <c r="P31" i="14"/>
  <c r="AF15" i="13" l="1"/>
  <c r="D12" i="13" l="1"/>
  <c r="D14" i="13" s="1"/>
  <c r="D15" i="13" l="1"/>
  <c r="CO30" i="12" l="1"/>
  <c r="AM29" i="14" l="1"/>
  <c r="AY29" i="14"/>
  <c r="CK27" i="14"/>
  <c r="CL27" i="14"/>
  <c r="CM27" i="14"/>
  <c r="CO31" i="12"/>
  <c r="D16" i="13" l="1"/>
  <c r="CN27" i="14" l="1"/>
  <c r="D19" i="13"/>
  <c r="CJ29" i="14"/>
  <c r="CJ27" i="14" l="1"/>
  <c r="F56" i="13" s="1"/>
  <c r="C3" i="15" s="1"/>
  <c r="M31" i="14" l="1"/>
  <c r="M34" i="14" l="1"/>
  <c r="N33" i="14" l="1"/>
  <c r="N34" i="14" s="1"/>
  <c r="G11" i="22"/>
  <c r="O33" i="14" l="1"/>
  <c r="O34" i="14" s="1"/>
  <c r="H11" i="22"/>
  <c r="P33" i="14" l="1"/>
  <c r="P34" i="14" s="1"/>
  <c r="I11" i="22"/>
  <c r="I26" i="22" l="1"/>
  <c r="Q33" i="14"/>
  <c r="Q34" i="14" s="1"/>
  <c r="J11" i="22"/>
  <c r="J26" i="22" l="1"/>
  <c r="R33" i="14"/>
  <c r="K11" i="22"/>
  <c r="K10" i="22" s="1"/>
  <c r="K17" i="22" s="1"/>
  <c r="X151" i="12" l="1"/>
  <c r="X144" i="12"/>
  <c r="Y144" i="12" l="1"/>
  <c r="Y151" i="12"/>
  <c r="X146" i="12"/>
  <c r="X22" i="12" s="1"/>
  <c r="X141" i="12"/>
  <c r="L24" i="22"/>
  <c r="L23" i="22" s="1"/>
  <c r="AF12" i="13" l="1"/>
  <c r="AF14" i="13" s="1"/>
  <c r="AF16" i="13" s="1"/>
  <c r="AF19" i="13" s="1"/>
  <c r="AF22" i="13" s="1"/>
  <c r="X26" i="12"/>
  <c r="X30" i="12" s="1"/>
  <c r="X31" i="12" s="1"/>
  <c r="Z151" i="12"/>
  <c r="Z144" i="12"/>
  <c r="Z149" i="12" s="1"/>
  <c r="M24" i="22"/>
  <c r="M23" i="22" s="1"/>
  <c r="Y141" i="12"/>
  <c r="Z141" i="12" l="1"/>
  <c r="AA151" i="12"/>
  <c r="CP154" i="12"/>
  <c r="AB151" i="12"/>
  <c r="N24" i="22"/>
  <c r="AA144" i="12"/>
  <c r="Y146" i="12"/>
  <c r="Y22" i="12" s="1"/>
  <c r="Y26" i="12" l="1"/>
  <c r="Y30" i="12" s="1"/>
  <c r="AG12" i="13"/>
  <c r="AG14" i="13" s="1"/>
  <c r="N23" i="22"/>
  <c r="AD154" i="12"/>
  <c r="AC151" i="12"/>
  <c r="AA141" i="12"/>
  <c r="O24" i="22"/>
  <c r="O23" i="22" s="1"/>
  <c r="AB144" i="12"/>
  <c r="AC144" i="12" s="1"/>
  <c r="AA149" i="12"/>
  <c r="AG15" i="13"/>
  <c r="Z146" i="12"/>
  <c r="Z22" i="12" s="1"/>
  <c r="AH12" i="13" s="1"/>
  <c r="Z26" i="12" l="1"/>
  <c r="W20" i="14"/>
  <c r="CP151" i="12"/>
  <c r="AE154" i="12"/>
  <c r="AD151" i="12"/>
  <c r="AB141" i="12"/>
  <c r="P24" i="22"/>
  <c r="P23" i="22" s="1"/>
  <c r="AB149" i="12"/>
  <c r="CP144" i="12"/>
  <c r="CP141" i="12" s="1"/>
  <c r="AH14" i="13"/>
  <c r="AA146" i="12"/>
  <c r="AA22" i="12" s="1"/>
  <c r="AA26" i="12" s="1"/>
  <c r="AA28" i="12" s="1"/>
  <c r="AG16" i="13"/>
  <c r="AG19" i="13" s="1"/>
  <c r="AG22" i="13" s="1"/>
  <c r="Y31" i="12"/>
  <c r="CJ20" i="14" l="1"/>
  <c r="W18" i="14"/>
  <c r="AI12" i="13"/>
  <c r="AI14" i="13" s="1"/>
  <c r="X20" i="14"/>
  <c r="AF154" i="12"/>
  <c r="AE151" i="12"/>
  <c r="Y20" i="14" s="1"/>
  <c r="AI15" i="13"/>
  <c r="AH15" i="13"/>
  <c r="AC141" i="12"/>
  <c r="Q24" i="22"/>
  <c r="AC149" i="12"/>
  <c r="AC146" i="12" s="1"/>
  <c r="AC22" i="12" s="1"/>
  <c r="AD144" i="12"/>
  <c r="AB146" i="12"/>
  <c r="Z30" i="12"/>
  <c r="Q23" i="22" l="1"/>
  <c r="AI16" i="13"/>
  <c r="AI19" i="13" s="1"/>
  <c r="AI22" i="13" s="1"/>
  <c r="AB22" i="12"/>
  <c r="CP22" i="12" s="1"/>
  <c r="AF151" i="12"/>
  <c r="Z31" i="12"/>
  <c r="AH16" i="13"/>
  <c r="AH19" i="13" s="1"/>
  <c r="AH22" i="13" s="1"/>
  <c r="AA30" i="12"/>
  <c r="AC26" i="12"/>
  <c r="AC28" i="12" s="1"/>
  <c r="AK12" i="13"/>
  <c r="AK14" i="13" s="1"/>
  <c r="AD141" i="12"/>
  <c r="R24" i="22"/>
  <c r="R23" i="22" s="1"/>
  <c r="AE144" i="12"/>
  <c r="AD149" i="12"/>
  <c r="AB26" i="12" l="1"/>
  <c r="AJ12" i="13"/>
  <c r="AJ14" i="13" s="1"/>
  <c r="Z20" i="14"/>
  <c r="CP146" i="12"/>
  <c r="AH154" i="12"/>
  <c r="AG151" i="12"/>
  <c r="AA20" i="14" s="1"/>
  <c r="E12" i="13"/>
  <c r="AK15" i="13"/>
  <c r="AK16" i="13" s="1"/>
  <c r="AK19" i="13" s="1"/>
  <c r="AK22" i="13" s="1"/>
  <c r="AA31" i="12"/>
  <c r="AD146" i="12"/>
  <c r="AD22" i="12" s="1"/>
  <c r="X21" i="14" s="1"/>
  <c r="X18" i="14" s="1"/>
  <c r="AE141" i="12"/>
  <c r="AF144" i="12"/>
  <c r="AE149" i="12"/>
  <c r="S24" i="22"/>
  <c r="S23" i="22" s="1"/>
  <c r="AB28" i="12" l="1"/>
  <c r="AJ15" i="13" s="1"/>
  <c r="AJ16" i="13" s="1"/>
  <c r="AJ19" i="13" s="1"/>
  <c r="AJ22" i="13" s="1"/>
  <c r="AL12" i="13"/>
  <c r="AH151" i="12"/>
  <c r="AB20" i="14" s="1"/>
  <c r="AI154" i="12"/>
  <c r="CP28" i="12"/>
  <c r="AC30" i="12"/>
  <c r="AF141" i="12"/>
  <c r="T24" i="22"/>
  <c r="AF149" i="12"/>
  <c r="AG144" i="12"/>
  <c r="AE146" i="12"/>
  <c r="AE22" i="12" s="1"/>
  <c r="Y21" i="14" s="1"/>
  <c r="Y18" i="14" s="1"/>
  <c r="AB30" i="12" l="1"/>
  <c r="AB31" i="12" s="1"/>
  <c r="T23" i="22"/>
  <c r="F52" i="13"/>
  <c r="AM12" i="13"/>
  <c r="AI151" i="12"/>
  <c r="AC20" i="14" s="1"/>
  <c r="AJ154" i="12"/>
  <c r="AF146" i="12"/>
  <c r="AF22" i="12" s="1"/>
  <c r="Z21" i="14" s="1"/>
  <c r="Z18" i="14" s="1"/>
  <c r="AC31" i="12"/>
  <c r="AG141" i="12"/>
  <c r="U24" i="22"/>
  <c r="U23" i="22" s="1"/>
  <c r="AG149" i="12"/>
  <c r="AH144" i="12"/>
  <c r="AN12" i="13" l="1"/>
  <c r="AK154" i="12"/>
  <c r="AJ151" i="12"/>
  <c r="AD20" i="14" s="1"/>
  <c r="AH141" i="12"/>
  <c r="V24" i="22"/>
  <c r="V23" i="22" s="1"/>
  <c r="AH149" i="12"/>
  <c r="AI144" i="12"/>
  <c r="AG146" i="12"/>
  <c r="AG22" i="12" s="1"/>
  <c r="AO12" i="13" s="1"/>
  <c r="AA21" i="14" l="1"/>
  <c r="AK151" i="12"/>
  <c r="AE20" i="14" s="1"/>
  <c r="AL154" i="12"/>
  <c r="AI149" i="12"/>
  <c r="AJ144" i="12"/>
  <c r="W24" i="22"/>
  <c r="W23" i="22" s="1"/>
  <c r="AI141" i="12"/>
  <c r="AH146" i="12"/>
  <c r="AH22" i="12" s="1"/>
  <c r="AB21" i="14" s="1"/>
  <c r="AB18" i="14" s="1"/>
  <c r="AP12" i="13" l="1"/>
  <c r="AM154" i="12"/>
  <c r="AL151" i="12"/>
  <c r="AF20" i="14" s="1"/>
  <c r="X24" i="22"/>
  <c r="X23" i="22" s="1"/>
  <c r="AJ141" i="12"/>
  <c r="AK144" i="12"/>
  <c r="AJ149" i="12"/>
  <c r="AI146" i="12"/>
  <c r="AI22" i="12" s="1"/>
  <c r="AQ12" i="13" s="1"/>
  <c r="AC21" i="14" l="1"/>
  <c r="AC18" i="14" s="1"/>
  <c r="AN154" i="12"/>
  <c r="AO154" i="12" s="1"/>
  <c r="AP154" i="12" s="1"/>
  <c r="AQ154" i="12" s="1"/>
  <c r="AR154" i="12" s="1"/>
  <c r="AS154" i="12" s="1"/>
  <c r="AT154" i="12" s="1"/>
  <c r="AU154" i="12" s="1"/>
  <c r="AV154" i="12" s="1"/>
  <c r="AW154" i="12" s="1"/>
  <c r="AX154" i="12" s="1"/>
  <c r="AY154" i="12" s="1"/>
  <c r="AZ154" i="12" s="1"/>
  <c r="BA154" i="12" s="1"/>
  <c r="AM151" i="12"/>
  <c r="AG20" i="14" s="1"/>
  <c r="Y24" i="22"/>
  <c r="Y23" i="22" s="1"/>
  <c r="AK149" i="12"/>
  <c r="AK141" i="12"/>
  <c r="AL144" i="12"/>
  <c r="AJ146" i="12"/>
  <c r="AJ22" i="12" s="1"/>
  <c r="AD21" i="14" s="1"/>
  <c r="AD18" i="14" s="1"/>
  <c r="AR12" i="13" l="1"/>
  <c r="AR14" i="13" s="1"/>
  <c r="AJ26" i="12"/>
  <c r="AJ28" i="12" s="1"/>
  <c r="AR15" i="13" s="1"/>
  <c r="AN151" i="12"/>
  <c r="AH20" i="14" s="1"/>
  <c r="AK146" i="12"/>
  <c r="AK22" i="12" s="1"/>
  <c r="AE21" i="14" s="1"/>
  <c r="AE18" i="14" s="1"/>
  <c r="Z24" i="22"/>
  <c r="Z23" i="22" s="1"/>
  <c r="AL141" i="12"/>
  <c r="AL149" i="12"/>
  <c r="AM144" i="12"/>
  <c r="AS12" i="13" l="1"/>
  <c r="AS14" i="13" s="1"/>
  <c r="AK26" i="12"/>
  <c r="AK28" i="12" s="1"/>
  <c r="AO151" i="12"/>
  <c r="AI20" i="14" s="1"/>
  <c r="AJ30" i="12"/>
  <c r="AJ31" i="12" s="1"/>
  <c r="AR16" i="13"/>
  <c r="AR19" i="13" s="1"/>
  <c r="AR22" i="13" s="1"/>
  <c r="AM141" i="12"/>
  <c r="AA24" i="22"/>
  <c r="AA23" i="22" s="1"/>
  <c r="AM149" i="12"/>
  <c r="AN144" i="12"/>
  <c r="AL146" i="12"/>
  <c r="AL22" i="12" s="1"/>
  <c r="AT12" i="13" s="1"/>
  <c r="AF21" i="14" l="1"/>
  <c r="AF18" i="14" s="1"/>
  <c r="AL26" i="12"/>
  <c r="AL28" i="12" s="1"/>
  <c r="AT15" i="13" s="1"/>
  <c r="AP151" i="12"/>
  <c r="AN141" i="12"/>
  <c r="AB24" i="22"/>
  <c r="AB23" i="22" s="1"/>
  <c r="AN149" i="12"/>
  <c r="AO144" i="12"/>
  <c r="CQ144" i="12" s="1"/>
  <c r="CQ141" i="12" s="1"/>
  <c r="AM146" i="12"/>
  <c r="AM22" i="12" s="1"/>
  <c r="AM26" i="12" s="1"/>
  <c r="AS15" i="13"/>
  <c r="AS16" i="13" s="1"/>
  <c r="AS19" i="13" s="1"/>
  <c r="AS22" i="13" s="1"/>
  <c r="AK30" i="12"/>
  <c r="AT14" i="13"/>
  <c r="AG21" i="14" l="1"/>
  <c r="AG18" i="14" s="1"/>
  <c r="AU12" i="13"/>
  <c r="AU14" i="13" s="1"/>
  <c r="AJ20" i="14"/>
  <c r="AQ151" i="12"/>
  <c r="AK20" i="14" s="1"/>
  <c r="AT16" i="13"/>
  <c r="AT19" i="13" s="1"/>
  <c r="AT22" i="13" s="1"/>
  <c r="AL30" i="12"/>
  <c r="AL31" i="12" s="1"/>
  <c r="AN146" i="12"/>
  <c r="AN22" i="12" s="1"/>
  <c r="AH21" i="14" s="1"/>
  <c r="AH18" i="14" s="1"/>
  <c r="AM28" i="12"/>
  <c r="AU15" i="13" s="1"/>
  <c r="AO141" i="12"/>
  <c r="AC24" i="22"/>
  <c r="AC23" i="22" s="1"/>
  <c r="AO149" i="12"/>
  <c r="AP144" i="12"/>
  <c r="AK31" i="12"/>
  <c r="AU16" i="13" l="1"/>
  <c r="AU19" i="13" s="1"/>
  <c r="AU22" i="13" s="1"/>
  <c r="AN26" i="12"/>
  <c r="AN28" i="12" s="1"/>
  <c r="AV15" i="13" s="1"/>
  <c r="AV12" i="13"/>
  <c r="AV14" i="13" s="1"/>
  <c r="AM30" i="12"/>
  <c r="AM31" i="12" s="1"/>
  <c r="AP141" i="12"/>
  <c r="AD24" i="22"/>
  <c r="AD23" i="22" s="1"/>
  <c r="AP149" i="12"/>
  <c r="AQ144" i="12"/>
  <c r="AO146" i="12"/>
  <c r="AO22" i="12" s="1"/>
  <c r="AI21" i="14" s="1"/>
  <c r="AI18" i="14" s="1"/>
  <c r="AW12" i="13" l="1"/>
  <c r="AW14" i="13" s="1"/>
  <c r="AO26" i="12"/>
  <c r="AO28" i="12" s="1"/>
  <c r="AW15" i="13" s="1"/>
  <c r="AV16" i="13"/>
  <c r="AV19" i="13" s="1"/>
  <c r="AV22" i="13" s="1"/>
  <c r="AN30" i="12"/>
  <c r="AN31" i="12" s="1"/>
  <c r="AP146" i="12"/>
  <c r="AP22" i="12" s="1"/>
  <c r="AX12" i="13" s="1"/>
  <c r="AQ149" i="12"/>
  <c r="AE24" i="22"/>
  <c r="AE23" i="22" s="1"/>
  <c r="AQ141" i="12"/>
  <c r="AW16" i="13" l="1"/>
  <c r="AW19" i="13" s="1"/>
  <c r="AW22" i="13" s="1"/>
  <c r="AJ21" i="14"/>
  <c r="AJ18" i="14" s="1"/>
  <c r="AQ146" i="12"/>
  <c r="AQ22" i="12" s="1"/>
  <c r="AY12" i="13" s="1"/>
  <c r="AO30" i="12"/>
  <c r="AK21" i="14" l="1"/>
  <c r="AK18" i="14" s="1"/>
  <c r="AO31" i="12"/>
  <c r="CK20" i="14" l="1"/>
  <c r="CQ154" i="12" l="1"/>
  <c r="CQ151" i="12" l="1"/>
  <c r="CP149" i="12" l="1"/>
  <c r="CQ149" i="12"/>
  <c r="CQ22" i="12"/>
  <c r="CQ146" i="12" l="1"/>
  <c r="F12" i="13"/>
  <c r="CJ21" i="14"/>
  <c r="CJ18" i="14" s="1"/>
  <c r="CK21" i="14"/>
  <c r="AA15" i="13" l="1"/>
  <c r="E15" i="13" s="1"/>
  <c r="F28" i="22"/>
  <c r="F26" i="22" s="1"/>
  <c r="U40" i="1"/>
  <c r="T40" i="1"/>
  <c r="T42" i="12" s="1"/>
  <c r="T41" i="12" s="1"/>
  <c r="T48" i="12" s="1"/>
  <c r="S40" i="1"/>
  <c r="V40" i="1"/>
  <c r="R40" i="1"/>
  <c r="R42" i="12" s="1"/>
  <c r="R41" i="12" s="1"/>
  <c r="R48" i="12" s="1"/>
  <c r="W40" i="1"/>
  <c r="W47" i="1" s="1"/>
  <c r="X36" i="1" l="1"/>
  <c r="R47" i="1"/>
  <c r="W42" i="12"/>
  <c r="W41" i="12" s="1"/>
  <c r="W48" i="12" s="1"/>
  <c r="K12" i="21" s="1"/>
  <c r="K13" i="21" s="1"/>
  <c r="U42" i="12"/>
  <c r="U41" i="12" s="1"/>
  <c r="U48" i="12" s="1"/>
  <c r="I12" i="21" s="1"/>
  <c r="I13" i="21" s="1"/>
  <c r="W86" i="1"/>
  <c r="W106" i="1"/>
  <c r="W71" i="1"/>
  <c r="W69" i="1" s="1"/>
  <c r="W90" i="1"/>
  <c r="W82" i="1"/>
  <c r="W81" i="1" s="1"/>
  <c r="R82" i="1"/>
  <c r="R115" i="12"/>
  <c r="R4" i="12" s="1"/>
  <c r="W4" i="1"/>
  <c r="F43" i="21"/>
  <c r="F8" i="21" s="1"/>
  <c r="F12" i="21"/>
  <c r="H43" i="21"/>
  <c r="H8" i="21" s="1"/>
  <c r="H9" i="21" s="1"/>
  <c r="H12" i="21"/>
  <c r="H13" i="21" s="1"/>
  <c r="T115" i="12"/>
  <c r="T4" i="12" s="1"/>
  <c r="T47" i="1"/>
  <c r="AI47" i="1"/>
  <c r="AI42" i="12"/>
  <c r="R79" i="1"/>
  <c r="V47" i="1"/>
  <c r="V36" i="1" s="1"/>
  <c r="V42" i="12"/>
  <c r="S47" i="1"/>
  <c r="S42" i="12"/>
  <c r="U47" i="1"/>
  <c r="U82" i="1" s="1"/>
  <c r="CP40" i="1"/>
  <c r="CP41" i="1" s="1"/>
  <c r="AI82" i="1" l="1"/>
  <c r="AI88" i="1"/>
  <c r="J11" i="24"/>
  <c r="W115" i="12"/>
  <c r="W4" i="12" s="1"/>
  <c r="AE4" i="13" s="1"/>
  <c r="T36" i="1"/>
  <c r="U36" i="1"/>
  <c r="R86" i="1"/>
  <c r="R36" i="1"/>
  <c r="S36" i="1"/>
  <c r="U115" i="12"/>
  <c r="U4" i="12" s="1"/>
  <c r="W36" i="1"/>
  <c r="AI104" i="1"/>
  <c r="AI81" i="1"/>
  <c r="AI61" i="12" s="1"/>
  <c r="AI60" i="12" s="1"/>
  <c r="I43" i="21"/>
  <c r="I8" i="21" s="1"/>
  <c r="I9" i="21" s="1"/>
  <c r="K43" i="21"/>
  <c r="K8" i="21" s="1"/>
  <c r="K9" i="21" s="1"/>
  <c r="R106" i="1"/>
  <c r="R94" i="12" s="1"/>
  <c r="R71" i="1"/>
  <c r="R69" i="1" s="1"/>
  <c r="R4" i="1"/>
  <c r="R90" i="1"/>
  <c r="CP42" i="12"/>
  <c r="CP47" i="1"/>
  <c r="CP48" i="1" s="1"/>
  <c r="Z4" i="13"/>
  <c r="V82" i="1"/>
  <c r="V81" i="1" s="1"/>
  <c r="V61" i="12" s="1"/>
  <c r="V60" i="12" s="1"/>
  <c r="V79" i="1"/>
  <c r="V74" i="1" s="1"/>
  <c r="V86" i="1"/>
  <c r="V90" i="1"/>
  <c r="V106" i="1"/>
  <c r="V4" i="1"/>
  <c r="V71" i="1"/>
  <c r="V69" i="1" s="1"/>
  <c r="W61" i="12"/>
  <c r="W60" i="12" s="1"/>
  <c r="W11" i="1"/>
  <c r="F13" i="21"/>
  <c r="AU47" i="1"/>
  <c r="AU70" i="1"/>
  <c r="AU42" i="12"/>
  <c r="AI41" i="12"/>
  <c r="AI48" i="12" s="1"/>
  <c r="V41" i="12"/>
  <c r="V48" i="12" s="1"/>
  <c r="V115" i="12" s="1"/>
  <c r="V4" i="12" s="1"/>
  <c r="T82" i="1"/>
  <c r="T81" i="1" s="1"/>
  <c r="T61" i="12" s="1"/>
  <c r="T60" i="12" s="1"/>
  <c r="T106" i="1"/>
  <c r="T79" i="1"/>
  <c r="T74" i="1" s="1"/>
  <c r="T71" i="1"/>
  <c r="T69" i="1" s="1"/>
  <c r="T86" i="1"/>
  <c r="T4" i="1"/>
  <c r="T90" i="1"/>
  <c r="F9" i="21"/>
  <c r="W54" i="12"/>
  <c r="W5" i="1"/>
  <c r="W7" i="1" s="1"/>
  <c r="S41" i="12"/>
  <c r="AI106" i="1"/>
  <c r="AI79" i="1"/>
  <c r="AI74" i="1" s="1"/>
  <c r="AI108" i="1"/>
  <c r="AI97" i="12" s="1"/>
  <c r="AI96" i="12" s="1"/>
  <c r="AI4" i="1"/>
  <c r="AI71" i="1"/>
  <c r="AI69" i="1" s="1"/>
  <c r="AI87" i="1"/>
  <c r="AI86" i="1"/>
  <c r="AI90" i="1"/>
  <c r="AI91" i="1"/>
  <c r="U106" i="1"/>
  <c r="U86" i="1"/>
  <c r="U90" i="1"/>
  <c r="U4" i="1"/>
  <c r="U81" i="1"/>
  <c r="U71" i="1"/>
  <c r="U69" i="1" s="1"/>
  <c r="R81" i="1"/>
  <c r="W108" i="1"/>
  <c r="W97" i="12" s="1"/>
  <c r="W96" i="12" s="1"/>
  <c r="W94" i="12"/>
  <c r="W93" i="12" s="1"/>
  <c r="S4" i="1"/>
  <c r="S86" i="1"/>
  <c r="S82" i="1"/>
  <c r="S81" i="1" s="1"/>
  <c r="S61" i="12" s="1"/>
  <c r="S60" i="12" s="1"/>
  <c r="S106" i="1"/>
  <c r="S90" i="1"/>
  <c r="S71" i="1"/>
  <c r="S69" i="1" s="1"/>
  <c r="S79" i="1"/>
  <c r="S74" i="1" s="1"/>
  <c r="R74" i="1"/>
  <c r="W85" i="1"/>
  <c r="W73" i="1" s="1"/>
  <c r="W98" i="1" s="1"/>
  <c r="W120" i="1" s="1"/>
  <c r="R85" i="1" l="1"/>
  <c r="R108" i="1"/>
  <c r="R12" i="1" s="1"/>
  <c r="AU104" i="1"/>
  <c r="AU82" i="1"/>
  <c r="AU81" i="1" s="1"/>
  <c r="AU61" i="12" s="1"/>
  <c r="AU60" i="12" s="1"/>
  <c r="W12" i="1"/>
  <c r="V85" i="1"/>
  <c r="V64" i="12" s="1"/>
  <c r="V63" i="12" s="1"/>
  <c r="CP82" i="1"/>
  <c r="CP90" i="1"/>
  <c r="CP106" i="1"/>
  <c r="AI85" i="1"/>
  <c r="AI64" i="12" s="1"/>
  <c r="AI63" i="12" s="1"/>
  <c r="AI11" i="12" s="1"/>
  <c r="AI5" i="1"/>
  <c r="AI7" i="1" s="1"/>
  <c r="AI54" i="12"/>
  <c r="W8" i="1"/>
  <c r="AI11" i="1"/>
  <c r="AI58" i="12"/>
  <c r="AI57" i="12" s="1"/>
  <c r="T85" i="1"/>
  <c r="T73" i="1" s="1"/>
  <c r="T98" i="1" s="1"/>
  <c r="T120" i="1" s="1"/>
  <c r="AU41" i="12"/>
  <c r="AU48" i="12" s="1"/>
  <c r="S108" i="1"/>
  <c r="S97" i="12" s="1"/>
  <c r="S96" i="12" s="1"/>
  <c r="S94" i="12"/>
  <c r="S93" i="12" s="1"/>
  <c r="V58" i="12"/>
  <c r="V57" i="12" s="1"/>
  <c r="V11" i="1"/>
  <c r="AI89" i="12"/>
  <c r="AI109" i="1"/>
  <c r="T5" i="1"/>
  <c r="T7" i="1" s="1"/>
  <c r="T54" i="12"/>
  <c r="CP4" i="1"/>
  <c r="W43" i="21"/>
  <c r="W12" i="12"/>
  <c r="W64" i="12"/>
  <c r="W63" i="12" s="1"/>
  <c r="W11" i="12" s="1"/>
  <c r="W10" i="1"/>
  <c r="W14" i="1" s="1"/>
  <c r="W18" i="1" s="1"/>
  <c r="W25" i="1" s="1"/>
  <c r="W109" i="1"/>
  <c r="AI94" i="12"/>
  <c r="AI93" i="12" s="1"/>
  <c r="AI13" i="12" s="1"/>
  <c r="AQ8" i="13" s="1"/>
  <c r="AI12" i="1"/>
  <c r="S48" i="12"/>
  <c r="CP41" i="12"/>
  <c r="AU79" i="1"/>
  <c r="AU74" i="1" s="1"/>
  <c r="AU108" i="1"/>
  <c r="AU97" i="12" s="1"/>
  <c r="AU96" i="12" s="1"/>
  <c r="AU106" i="1"/>
  <c r="AU86" i="1"/>
  <c r="AU91" i="1"/>
  <c r="AU71" i="1"/>
  <c r="AU69" i="1" s="1"/>
  <c r="AU4" i="1"/>
  <c r="AU87" i="1"/>
  <c r="AU88" i="1"/>
  <c r="AU90" i="1"/>
  <c r="V5" i="1"/>
  <c r="V7" i="1" s="1"/>
  <c r="V54" i="12"/>
  <c r="U85" i="1"/>
  <c r="T11" i="1"/>
  <c r="T58" i="12"/>
  <c r="T57" i="12" s="1"/>
  <c r="CP69" i="1"/>
  <c r="R5" i="1"/>
  <c r="R54" i="12"/>
  <c r="R93" i="12"/>
  <c r="U108" i="1"/>
  <c r="U97" i="12" s="1"/>
  <c r="U96" i="12" s="1"/>
  <c r="U94" i="12"/>
  <c r="U93" i="12" s="1"/>
  <c r="S11" i="1"/>
  <c r="S58" i="12"/>
  <c r="S57" i="12" s="1"/>
  <c r="W100" i="12"/>
  <c r="W13" i="12"/>
  <c r="AE8" i="13" s="1"/>
  <c r="U5" i="1"/>
  <c r="U7" i="1" s="1"/>
  <c r="U54" i="12"/>
  <c r="R10" i="1"/>
  <c r="R64" i="12"/>
  <c r="T108" i="1"/>
  <c r="T97" i="12" s="1"/>
  <c r="T96" i="12" s="1"/>
  <c r="T94" i="12"/>
  <c r="T93" i="12" s="1"/>
  <c r="CP71" i="1"/>
  <c r="V108" i="1"/>
  <c r="V97" i="12" s="1"/>
  <c r="V96" i="12" s="1"/>
  <c r="V94" i="12"/>
  <c r="V93" i="12" s="1"/>
  <c r="R109" i="1"/>
  <c r="S85" i="1"/>
  <c r="CP86" i="1"/>
  <c r="AC4" i="13"/>
  <c r="AI115" i="12"/>
  <c r="AI4" i="12" s="1"/>
  <c r="BG42" i="12"/>
  <c r="BG70" i="1"/>
  <c r="R11" i="1"/>
  <c r="R73" i="1"/>
  <c r="R98" i="1" s="1"/>
  <c r="CP74" i="1"/>
  <c r="R58" i="12"/>
  <c r="U11" i="1"/>
  <c r="U61" i="12"/>
  <c r="U60" i="12" s="1"/>
  <c r="CP79" i="1"/>
  <c r="S5" i="1"/>
  <c r="S7" i="1" s="1"/>
  <c r="S54" i="12"/>
  <c r="CP81" i="1"/>
  <c r="R61" i="12"/>
  <c r="W6" i="12"/>
  <c r="W53" i="12"/>
  <c r="J43" i="21"/>
  <c r="J8" i="21" s="1"/>
  <c r="J9" i="21" s="1"/>
  <c r="J12" i="21"/>
  <c r="J13" i="21" s="1"/>
  <c r="AB4" i="13"/>
  <c r="R97" i="12" l="1"/>
  <c r="V73" i="1"/>
  <c r="V98" i="1" s="1"/>
  <c r="V120" i="1" s="1"/>
  <c r="V12" i="1"/>
  <c r="V10" i="1"/>
  <c r="V109" i="1"/>
  <c r="W56" i="12"/>
  <c r="K56" i="21" s="1"/>
  <c r="CJ8" i="14" s="1"/>
  <c r="AI73" i="1"/>
  <c r="AI98" i="1" s="1"/>
  <c r="AI120" i="1" s="1"/>
  <c r="T109" i="1"/>
  <c r="AE7" i="13"/>
  <c r="U12" i="1"/>
  <c r="S109" i="1"/>
  <c r="AI10" i="1"/>
  <c r="AI14" i="1" s="1"/>
  <c r="AI18" i="1" s="1"/>
  <c r="AI25" i="1" s="1"/>
  <c r="U109" i="1"/>
  <c r="V11" i="12"/>
  <c r="AQ4" i="13"/>
  <c r="S8" i="1"/>
  <c r="U64" i="12"/>
  <c r="U63" i="12" s="1"/>
  <c r="U11" i="12" s="1"/>
  <c r="U10" i="1"/>
  <c r="T6" i="12"/>
  <c r="T53" i="12"/>
  <c r="V6" i="12"/>
  <c r="AD5" i="13" s="1"/>
  <c r="V53" i="12"/>
  <c r="AE5" i="13"/>
  <c r="AE6" i="13" s="1"/>
  <c r="W8" i="12"/>
  <c r="V100" i="12"/>
  <c r="V13" i="12"/>
  <c r="AD8" i="13" s="1"/>
  <c r="T12" i="12"/>
  <c r="AU109" i="1"/>
  <c r="AU89" i="12"/>
  <c r="V8" i="1"/>
  <c r="CP97" i="12"/>
  <c r="R96" i="12"/>
  <c r="CP96" i="12" s="1"/>
  <c r="U13" i="12"/>
  <c r="AC8" i="13" s="1"/>
  <c r="U100" i="12"/>
  <c r="W27" i="1"/>
  <c r="W29" i="1" s="1"/>
  <c r="W30" i="1" s="1"/>
  <c r="CP58" i="12"/>
  <c r="R57" i="12"/>
  <c r="U6" i="12"/>
  <c r="U53" i="12"/>
  <c r="AU58" i="12"/>
  <c r="AU57" i="12" s="1"/>
  <c r="AU11" i="1"/>
  <c r="R6" i="12"/>
  <c r="CP54" i="12"/>
  <c r="R53" i="12"/>
  <c r="T8" i="1"/>
  <c r="R120" i="1"/>
  <c r="AU94" i="12"/>
  <c r="AU93" i="12" s="1"/>
  <c r="AU13" i="12" s="1"/>
  <c r="BC8" i="13" s="1"/>
  <c r="AU12" i="1"/>
  <c r="CP85" i="1"/>
  <c r="CP5" i="1"/>
  <c r="CP7" i="1" s="1"/>
  <c r="R7" i="1"/>
  <c r="CP11" i="1"/>
  <c r="X41" i="21"/>
  <c r="X38" i="21" s="1"/>
  <c r="AD5" i="14" s="1"/>
  <c r="AI43" i="21"/>
  <c r="AU85" i="1"/>
  <c r="AU73" i="1" s="1"/>
  <c r="AU98" i="1" s="1"/>
  <c r="AU120" i="1" s="1"/>
  <c r="AI56" i="12"/>
  <c r="W56" i="21" s="1"/>
  <c r="AI12" i="12"/>
  <c r="AQ7" i="13" s="1"/>
  <c r="U12" i="12"/>
  <c r="R63" i="12"/>
  <c r="R60" i="12"/>
  <c r="CP60" i="12" s="1"/>
  <c r="CP61" i="12"/>
  <c r="T13" i="12"/>
  <c r="AB8" i="13" s="1"/>
  <c r="T100" i="12"/>
  <c r="CP48" i="12"/>
  <c r="AU115" i="12"/>
  <c r="AU4" i="12" s="1"/>
  <c r="CJ5" i="14"/>
  <c r="AD4" i="13"/>
  <c r="S6" i="12"/>
  <c r="AA5" i="13" s="1"/>
  <c r="S53" i="12"/>
  <c r="AI8" i="1"/>
  <c r="G12" i="21"/>
  <c r="G43" i="21"/>
  <c r="G8" i="21" s="1"/>
  <c r="S115" i="12"/>
  <c r="S4" i="12" s="1"/>
  <c r="CP4" i="12" s="1"/>
  <c r="AI100" i="12"/>
  <c r="AC7" i="14" s="1"/>
  <c r="AC9" i="14" s="1"/>
  <c r="V56" i="12"/>
  <c r="J56" i="21" s="1"/>
  <c r="V12" i="12"/>
  <c r="T10" i="1"/>
  <c r="T64" i="12"/>
  <c r="T63" i="12" s="1"/>
  <c r="T11" i="12" s="1"/>
  <c r="AI53" i="12"/>
  <c r="AI6" i="12"/>
  <c r="AQ5" i="13" s="1"/>
  <c r="U73" i="1"/>
  <c r="U98" i="1" s="1"/>
  <c r="U120" i="1" s="1"/>
  <c r="AU5" i="1"/>
  <c r="AU7" i="1" s="1"/>
  <c r="AU54" i="12"/>
  <c r="BG41" i="12"/>
  <c r="T12" i="1"/>
  <c r="S12" i="12"/>
  <c r="CP93" i="12"/>
  <c r="S13" i="12"/>
  <c r="AA8" i="13" s="1"/>
  <c r="S100" i="12"/>
  <c r="L7" i="21"/>
  <c r="L5" i="21" s="1"/>
  <c r="CP108" i="1"/>
  <c r="U8" i="1"/>
  <c r="BS70" i="1"/>
  <c r="BS42" i="12"/>
  <c r="S64" i="12"/>
  <c r="S63" i="12" s="1"/>
  <c r="S11" i="12" s="1"/>
  <c r="S10" i="1"/>
  <c r="S73" i="1"/>
  <c r="S98" i="1" s="1"/>
  <c r="S120" i="1" s="1"/>
  <c r="CP94" i="12"/>
  <c r="S12" i="1"/>
  <c r="V14" i="1" l="1"/>
  <c r="V18" i="1" s="1"/>
  <c r="V25" i="1" s="1"/>
  <c r="R13" i="12"/>
  <c r="V8" i="12"/>
  <c r="V15" i="12" s="1"/>
  <c r="W82" i="12"/>
  <c r="W116" i="12" s="1"/>
  <c r="W118" i="12" s="1"/>
  <c r="AA7" i="13"/>
  <c r="U14" i="1"/>
  <c r="U18" i="1" s="1"/>
  <c r="U25" i="1" s="1"/>
  <c r="U27" i="1" s="1"/>
  <c r="U29" i="1" s="1"/>
  <c r="U30" i="1" s="1"/>
  <c r="R100" i="12"/>
  <c r="CP100" i="12" s="1"/>
  <c r="L17" i="21"/>
  <c r="CP109" i="1"/>
  <c r="CP10" i="1"/>
  <c r="U56" i="12"/>
  <c r="I56" i="21" s="1"/>
  <c r="CP12" i="1"/>
  <c r="AE9" i="13"/>
  <c r="AE11" i="13" s="1"/>
  <c r="AE14" i="13" s="1"/>
  <c r="AE16" i="13" s="1"/>
  <c r="AE19" i="13" s="1"/>
  <c r="AE22" i="13" s="1"/>
  <c r="AB7" i="13"/>
  <c r="T14" i="1"/>
  <c r="T18" i="1" s="1"/>
  <c r="T25" i="1" s="1"/>
  <c r="T27" i="1" s="1"/>
  <c r="T29" i="1" s="1"/>
  <c r="T30" i="1" s="1"/>
  <c r="AU100" i="12"/>
  <c r="AO7" i="14" s="1"/>
  <c r="AO9" i="14" s="1"/>
  <c r="AQ6" i="13"/>
  <c r="AQ9" i="13" s="1"/>
  <c r="AQ11" i="13" s="1"/>
  <c r="AQ14" i="13" s="1"/>
  <c r="AD7" i="13"/>
  <c r="AD6" i="13"/>
  <c r="AU8" i="1"/>
  <c r="M7" i="21"/>
  <c r="M5" i="21" s="1"/>
  <c r="AC5" i="13"/>
  <c r="AC6" i="13" s="1"/>
  <c r="U8" i="12"/>
  <c r="AI8" i="12"/>
  <c r="L13" i="22"/>
  <c r="L8" i="21"/>
  <c r="L9" i="21" s="1"/>
  <c r="AI82" i="12"/>
  <c r="AB6" i="14"/>
  <c r="CP63" i="12"/>
  <c r="R11" i="12"/>
  <c r="AJ41" i="21"/>
  <c r="AJ38" i="21" s="1"/>
  <c r="AP5" i="14" s="1"/>
  <c r="CP53" i="12"/>
  <c r="Z8" i="13"/>
  <c r="E8" i="13" s="1"/>
  <c r="CP13" i="12"/>
  <c r="CX43" i="12"/>
  <c r="CX45" i="12"/>
  <c r="CX48" i="12"/>
  <c r="CX46" i="12"/>
  <c r="CX47" i="12"/>
  <c r="CX44" i="12"/>
  <c r="CX42" i="12"/>
  <c r="CX41" i="12"/>
  <c r="BC4" i="13"/>
  <c r="W9" i="12"/>
  <c r="W15" i="12"/>
  <c r="AB5" i="13"/>
  <c r="AB6" i="13" s="1"/>
  <c r="T8" i="12"/>
  <c r="AU6" i="12"/>
  <c r="BC5" i="13" s="1"/>
  <c r="AU53" i="12"/>
  <c r="CP64" i="12"/>
  <c r="CP73" i="1"/>
  <c r="T56" i="12"/>
  <c r="H56" i="21" s="1"/>
  <c r="V82" i="12"/>
  <c r="V116" i="12" s="1"/>
  <c r="V118" i="12" s="1"/>
  <c r="CP8" i="1"/>
  <c r="Z5" i="13"/>
  <c r="CP6" i="12"/>
  <c r="R8" i="12"/>
  <c r="S56" i="12"/>
  <c r="G56" i="21" s="1"/>
  <c r="AA4" i="13"/>
  <c r="S8" i="12"/>
  <c r="G9" i="21"/>
  <c r="W39" i="21"/>
  <c r="R12" i="12"/>
  <c r="CP12" i="12" s="1"/>
  <c r="CP57" i="12"/>
  <c r="R56" i="12"/>
  <c r="R82" i="12" s="1"/>
  <c r="BS41" i="12"/>
  <c r="V27" i="1"/>
  <c r="V29" i="1" s="1"/>
  <c r="V30" i="1" s="1"/>
  <c r="S14" i="1"/>
  <c r="S18" i="1" s="1"/>
  <c r="S25" i="1" s="1"/>
  <c r="G13" i="21"/>
  <c r="X54" i="21"/>
  <c r="X51" i="21" s="1"/>
  <c r="AD8" i="14" s="1"/>
  <c r="AC7" i="13"/>
  <c r="R8" i="1"/>
  <c r="R14" i="1"/>
  <c r="R18" i="1" s="1"/>
  <c r="R25" i="1" s="1"/>
  <c r="AI27" i="1"/>
  <c r="AI29" i="1" s="1"/>
  <c r="AI30" i="1" s="1"/>
  <c r="AU64" i="12"/>
  <c r="AU63" i="12" s="1"/>
  <c r="AU11" i="12" s="1"/>
  <c r="AU10" i="1"/>
  <c r="AU14" i="1" s="1"/>
  <c r="AU18" i="1" s="1"/>
  <c r="AU25" i="1" s="1"/>
  <c r="CP98" i="1"/>
  <c r="AU12" i="12"/>
  <c r="V9" i="12" l="1"/>
  <c r="AI116" i="12"/>
  <c r="AI118" i="12" s="1"/>
  <c r="CP14" i="1"/>
  <c r="CP18" i="1" s="1"/>
  <c r="CP25" i="1" s="1"/>
  <c r="W52" i="21"/>
  <c r="AU56" i="12"/>
  <c r="AI56" i="21" s="1"/>
  <c r="AJ54" i="21" s="1"/>
  <c r="AJ51" i="21" s="1"/>
  <c r="AP8" i="14" s="1"/>
  <c r="AD9" i="13"/>
  <c r="AD11" i="13" s="1"/>
  <c r="AD14" i="13" s="1"/>
  <c r="AD16" i="13" s="1"/>
  <c r="AD19" i="13" s="1"/>
  <c r="AD22" i="13" s="1"/>
  <c r="U82" i="12"/>
  <c r="U116" i="12" s="1"/>
  <c r="U118" i="12" s="1"/>
  <c r="AB9" i="13"/>
  <c r="AB11" i="13" s="1"/>
  <c r="AB14" i="13" s="1"/>
  <c r="AB16" i="13" s="1"/>
  <c r="AB19" i="13" s="1"/>
  <c r="AB22" i="13" s="1"/>
  <c r="AU27" i="1"/>
  <c r="AU29" i="1" s="1"/>
  <c r="AU30" i="1" s="1"/>
  <c r="N7" i="21"/>
  <c r="N5" i="21" s="1"/>
  <c r="O36" i="21"/>
  <c r="F56" i="21"/>
  <c r="CP56" i="12"/>
  <c r="AN6" i="14"/>
  <c r="CP5" i="12"/>
  <c r="CP8" i="12"/>
  <c r="S9" i="12"/>
  <c r="S15" i="12"/>
  <c r="T9" i="12"/>
  <c r="T15" i="12"/>
  <c r="T82" i="12"/>
  <c r="T116" i="12" s="1"/>
  <c r="T118" i="12" s="1"/>
  <c r="AI39" i="21"/>
  <c r="R15" i="12"/>
  <c r="R9" i="12"/>
  <c r="M8" i="21"/>
  <c r="M13" i="22"/>
  <c r="AA6" i="13"/>
  <c r="AA9" i="13" s="1"/>
  <c r="AA11" i="13" s="1"/>
  <c r="AA14" i="13" s="1"/>
  <c r="AA16" i="13" s="1"/>
  <c r="AA19" i="13" s="1"/>
  <c r="AA22" i="13" s="1"/>
  <c r="E4" i="13"/>
  <c r="BC7" i="13"/>
  <c r="S27" i="1"/>
  <c r="S29" i="1" s="1"/>
  <c r="S30" i="1" s="1"/>
  <c r="S82" i="12"/>
  <c r="S116" i="12" s="1"/>
  <c r="S118" i="12" s="1"/>
  <c r="V16" i="12"/>
  <c r="V20" i="12"/>
  <c r="V26" i="12" s="1"/>
  <c r="V30" i="12" s="1"/>
  <c r="W16" i="12"/>
  <c r="W20" i="12"/>
  <c r="W26" i="12" s="1"/>
  <c r="W30" i="12" s="1"/>
  <c r="R116" i="12"/>
  <c r="R118" i="12" s="1"/>
  <c r="R119" i="12" s="1"/>
  <c r="E5" i="13"/>
  <c r="Z6" i="13"/>
  <c r="Z7" i="13"/>
  <c r="E7" i="13" s="1"/>
  <c r="CP11" i="12"/>
  <c r="AI9" i="12"/>
  <c r="AI15" i="12"/>
  <c r="M17" i="21"/>
  <c r="AU8" i="12"/>
  <c r="U9" i="12"/>
  <c r="U15" i="12"/>
  <c r="L15" i="21"/>
  <c r="L21" i="21" s="1"/>
  <c r="L25" i="21" s="1"/>
  <c r="L28" i="22"/>
  <c r="R27" i="1"/>
  <c r="BC6" i="13"/>
  <c r="AC9" i="13"/>
  <c r="AC11" i="13" s="1"/>
  <c r="AC14" i="13" s="1"/>
  <c r="AC16" i="13" s="1"/>
  <c r="AC19" i="13" s="1"/>
  <c r="AC22" i="13" s="1"/>
  <c r="AU82" i="12" l="1"/>
  <c r="CP27" i="1"/>
  <c r="CP29" i="1" s="1"/>
  <c r="CP30" i="1" s="1"/>
  <c r="BC9" i="13"/>
  <c r="BC11" i="13" s="1"/>
  <c r="CP82" i="12"/>
  <c r="AI52" i="21"/>
  <c r="M9" i="21"/>
  <c r="AU9" i="12"/>
  <c r="AU15" i="12"/>
  <c r="V31" i="12"/>
  <c r="N17" i="21"/>
  <c r="O49" i="21"/>
  <c r="R16" i="12"/>
  <c r="R20" i="12"/>
  <c r="R26" i="12" s="1"/>
  <c r="R30" i="12" s="1"/>
  <c r="CX55" i="12"/>
  <c r="CP15" i="12"/>
  <c r="CP9" i="12"/>
  <c r="CX54" i="12"/>
  <c r="P36" i="21"/>
  <c r="O7" i="21"/>
  <c r="O5" i="21" s="1"/>
  <c r="R29" i="1"/>
  <c r="R30" i="1" s="1"/>
  <c r="M28" i="22"/>
  <c r="M15" i="21"/>
  <c r="M21" i="21" s="1"/>
  <c r="M25" i="21" s="1"/>
  <c r="R120" i="12"/>
  <c r="S119" i="12"/>
  <c r="N8" i="21"/>
  <c r="N9" i="21" s="1"/>
  <c r="N13" i="22"/>
  <c r="U20" i="12"/>
  <c r="U26" i="12" s="1"/>
  <c r="U30" i="12" s="1"/>
  <c r="U16" i="12"/>
  <c r="AI16" i="12"/>
  <c r="AI20" i="12"/>
  <c r="AI26" i="12" s="1"/>
  <c r="E6" i="13"/>
  <c r="S16" i="12"/>
  <c r="S20" i="12"/>
  <c r="S26" i="12" s="1"/>
  <c r="S30" i="12" s="1"/>
  <c r="T20" i="12"/>
  <c r="T26" i="12" s="1"/>
  <c r="T30" i="12" s="1"/>
  <c r="T16" i="12"/>
  <c r="Z9" i="13"/>
  <c r="Z11" i="13" s="1"/>
  <c r="Z14" i="13" s="1"/>
  <c r="Z16" i="13" s="1"/>
  <c r="Z19" i="13" s="1"/>
  <c r="Z22" i="13" s="1"/>
  <c r="W31" i="12"/>
  <c r="AU116" i="12" l="1"/>
  <c r="AU118" i="12" s="1"/>
  <c r="Z23" i="13"/>
  <c r="E9" i="13"/>
  <c r="S120" i="12"/>
  <c r="T119" i="12"/>
  <c r="P7" i="21"/>
  <c r="P5" i="21" s="1"/>
  <c r="Q36" i="21"/>
  <c r="T31" i="12"/>
  <c r="R35" i="12"/>
  <c r="F22" i="22" s="1"/>
  <c r="F18" i="22" s="1"/>
  <c r="F30" i="22" s="1"/>
  <c r="F16" i="22" s="1"/>
  <c r="F10" i="22" s="1"/>
  <c r="F17" i="22" s="1"/>
  <c r="F32" i="22" s="1"/>
  <c r="R31" i="12"/>
  <c r="O17" i="21"/>
  <c r="P49" i="21"/>
  <c r="O8" i="21"/>
  <c r="O9" i="21" s="1"/>
  <c r="O13" i="22"/>
  <c r="N28" i="22"/>
  <c r="N15" i="21"/>
  <c r="AI28" i="12"/>
  <c r="AQ15" i="13" s="1"/>
  <c r="AQ16" i="13" s="1"/>
  <c r="AQ19" i="13" s="1"/>
  <c r="AQ22" i="13" s="1"/>
  <c r="S31" i="12"/>
  <c r="U31" i="12"/>
  <c r="AU20" i="12"/>
  <c r="AU16" i="12"/>
  <c r="CP16" i="12"/>
  <c r="CP20" i="12"/>
  <c r="CP26" i="12" s="1"/>
  <c r="CP30" i="12" s="1"/>
  <c r="O28" i="22" l="1"/>
  <c r="O15" i="21"/>
  <c r="O21" i="21" s="1"/>
  <c r="P13" i="22"/>
  <c r="P8" i="21"/>
  <c r="T120" i="12"/>
  <c r="U119" i="12"/>
  <c r="AI30" i="12"/>
  <c r="Z24" i="13"/>
  <c r="AA23" i="13"/>
  <c r="Q7" i="21"/>
  <c r="N21" i="21"/>
  <c r="N25" i="21" s="1"/>
  <c r="S35" i="12"/>
  <c r="CP31" i="12"/>
  <c r="CP32" i="12"/>
  <c r="P17" i="21"/>
  <c r="Q49" i="21"/>
  <c r="E11" i="13"/>
  <c r="O25" i="21" l="1"/>
  <c r="AI31" i="12"/>
  <c r="AA24" i="13"/>
  <c r="AB23" i="13"/>
  <c r="Q8" i="21"/>
  <c r="Q9" i="21" s="1"/>
  <c r="Q13" i="22"/>
  <c r="CA7" i="21"/>
  <c r="AG32" i="12"/>
  <c r="AA29" i="14" s="1"/>
  <c r="G22" i="22"/>
  <c r="G18" i="22" s="1"/>
  <c r="G30" i="22" s="1"/>
  <c r="G16" i="22" s="1"/>
  <c r="G10" i="22" s="1"/>
  <c r="G17" i="22" s="1"/>
  <c r="G32" i="22" s="1"/>
  <c r="T35" i="12"/>
  <c r="E14" i="13"/>
  <c r="Q17" i="21"/>
  <c r="CA17" i="21" s="1"/>
  <c r="P9" i="21"/>
  <c r="P28" i="22"/>
  <c r="P15" i="21"/>
  <c r="P21" i="21" s="1"/>
  <c r="P25" i="21" s="1"/>
  <c r="U120" i="12"/>
  <c r="V119" i="12"/>
  <c r="V120" i="12" l="1"/>
  <c r="W119" i="12"/>
  <c r="AB24" i="13"/>
  <c r="AC23" i="13"/>
  <c r="H22" i="22"/>
  <c r="H18" i="22" s="1"/>
  <c r="H30" i="22" s="1"/>
  <c r="H16" i="22" s="1"/>
  <c r="H10" i="22" s="1"/>
  <c r="H17" i="22" s="1"/>
  <c r="H32" i="22" s="1"/>
  <c r="U35" i="12"/>
  <c r="Q28" i="22"/>
  <c r="Q15" i="21"/>
  <c r="E16" i="13"/>
  <c r="CK29" i="14"/>
  <c r="CK18" i="14" s="1"/>
  <c r="AA18" i="14"/>
  <c r="CA15" i="21" l="1"/>
  <c r="E19" i="13"/>
  <c r="I22" i="22"/>
  <c r="I18" i="22" s="1"/>
  <c r="I30" i="22" s="1"/>
  <c r="I16" i="22" s="1"/>
  <c r="I10" i="22" s="1"/>
  <c r="I17" i="22" s="1"/>
  <c r="I32" i="22" s="1"/>
  <c r="V35" i="12"/>
  <c r="W120" i="12"/>
  <c r="X119" i="12"/>
  <c r="AC24" i="13"/>
  <c r="AD23" i="13"/>
  <c r="X120" i="12" l="1"/>
  <c r="Y119" i="12"/>
  <c r="E22" i="13"/>
  <c r="AD24" i="13"/>
  <c r="AE23" i="13"/>
  <c r="J22" i="22"/>
  <c r="J18" i="22" s="1"/>
  <c r="W35" i="12"/>
  <c r="R31" i="14" l="1"/>
  <c r="Y120" i="12"/>
  <c r="Z119" i="12"/>
  <c r="X35" i="12"/>
  <c r="K22" i="22"/>
  <c r="K18" i="22" s="1"/>
  <c r="K30" i="22" s="1"/>
  <c r="AF23" i="13"/>
  <c r="AE24" i="13"/>
  <c r="E23" i="13"/>
  <c r="J30" i="22"/>
  <c r="J16" i="22" s="1"/>
  <c r="J10" i="22" s="1"/>
  <c r="J17" i="22" s="1"/>
  <c r="Z120" i="12" l="1"/>
  <c r="AA119" i="12"/>
  <c r="R34" i="14"/>
  <c r="AF24" i="13"/>
  <c r="AG23" i="13"/>
  <c r="K32" i="22"/>
  <c r="Y35" i="12"/>
  <c r="L22" i="22"/>
  <c r="L18" i="22" s="1"/>
  <c r="P32" i="22"/>
  <c r="J32" i="22"/>
  <c r="S31" i="14" l="1"/>
  <c r="M22" i="22"/>
  <c r="M18" i="22" s="1"/>
  <c r="Z35" i="12"/>
  <c r="T31" i="14"/>
  <c r="AH23" i="13"/>
  <c r="AG24" i="13"/>
  <c r="AA120" i="12"/>
  <c r="AB119" i="12"/>
  <c r="AB120" i="12" s="1"/>
  <c r="S33" i="14"/>
  <c r="L11" i="22"/>
  <c r="S34" i="14" l="1"/>
  <c r="M11" i="22" s="1"/>
  <c r="V31" i="14"/>
  <c r="CJ10" i="14"/>
  <c r="L29" i="22"/>
  <c r="L26" i="22" s="1"/>
  <c r="L30" i="22" s="1"/>
  <c r="L16" i="22" s="1"/>
  <c r="L10" i="22" s="1"/>
  <c r="L17" i="22" s="1"/>
  <c r="L32" i="22" s="1"/>
  <c r="AH24" i="13"/>
  <c r="AI23" i="13"/>
  <c r="AA35" i="12"/>
  <c r="N22" i="22"/>
  <c r="N18" i="22" s="1"/>
  <c r="T33" i="14" l="1"/>
  <c r="T34" i="14" s="1"/>
  <c r="U33" i="14" s="1"/>
  <c r="CJ9" i="14"/>
  <c r="U31" i="14"/>
  <c r="M29" i="22"/>
  <c r="M26" i="22" s="1"/>
  <c r="M30" i="22" s="1"/>
  <c r="M16" i="22" s="1"/>
  <c r="M10" i="22" s="1"/>
  <c r="M17" i="22" s="1"/>
  <c r="M32" i="22" s="1"/>
  <c r="O22" i="22"/>
  <c r="O18" i="22" s="1"/>
  <c r="AB35" i="12"/>
  <c r="AJ23" i="13"/>
  <c r="AI24" i="13"/>
  <c r="N11" i="22" l="1"/>
  <c r="N29" i="22" s="1"/>
  <c r="N26" i="22" s="1"/>
  <c r="N30" i="22" s="1"/>
  <c r="U34" i="14"/>
  <c r="AK23" i="13"/>
  <c r="AJ24" i="13"/>
  <c r="P22" i="22"/>
  <c r="P18" i="22" s="1"/>
  <c r="AC35" i="12"/>
  <c r="O11" i="22" l="1"/>
  <c r="O29" i="22" s="1"/>
  <c r="O26" i="22" s="1"/>
  <c r="N16" i="22"/>
  <c r="N10" i="22" s="1"/>
  <c r="N17" i="22" s="1"/>
  <c r="N32" i="22" s="1"/>
  <c r="V33" i="14"/>
  <c r="V34" i="14" s="1"/>
  <c r="Q22" i="22"/>
  <c r="Q18" i="22" s="1"/>
  <c r="AK24" i="13"/>
  <c r="W33" i="14" l="1"/>
  <c r="P11" i="22"/>
  <c r="P29" i="22" s="1"/>
  <c r="P26" i="22" s="1"/>
  <c r="P30" i="22" s="1"/>
  <c r="P16" i="22" s="1"/>
  <c r="P10" i="22" s="1"/>
  <c r="P17" i="22" s="1"/>
  <c r="O30" i="22"/>
  <c r="O16" i="22" s="1"/>
  <c r="O10" i="22" s="1"/>
  <c r="O17" i="22" s="1"/>
  <c r="O32" i="22" s="1"/>
  <c r="CA8" i="21" l="1"/>
  <c r="CA9" i="21" s="1"/>
  <c r="E24" i="13" l="1"/>
  <c r="AP49" i="1" l="1"/>
  <c r="AP42" i="1" l="1"/>
  <c r="BN42" i="1"/>
  <c r="BB42" i="1"/>
  <c r="BB45" i="12" s="1"/>
  <c r="BN45" i="12" l="1"/>
  <c r="BN44" i="12"/>
  <c r="AR56" i="1"/>
  <c r="AQ56" i="1"/>
  <c r="AP45" i="12"/>
  <c r="BB44" i="12"/>
  <c r="BC56" i="1" l="1"/>
  <c r="AQ42" i="1"/>
  <c r="BD56" i="1"/>
  <c r="AR42" i="1"/>
  <c r="AP44" i="12"/>
  <c r="BP56" i="1" l="1"/>
  <c r="CB56" i="1" s="1"/>
  <c r="CB42" i="1" s="1"/>
  <c r="CB45" i="12" s="1"/>
  <c r="CB44" i="12" s="1"/>
  <c r="BD42" i="1"/>
  <c r="AR45" i="12"/>
  <c r="AR44" i="12" s="1"/>
  <c r="AQ45" i="12"/>
  <c r="BO56" i="1"/>
  <c r="BC42" i="1"/>
  <c r="CA56" i="1" l="1"/>
  <c r="BD45" i="12"/>
  <c r="BC45" i="12"/>
  <c r="AQ44" i="12"/>
  <c r="BP42" i="1"/>
  <c r="BO42" i="1"/>
  <c r="CA42" i="1" l="1"/>
  <c r="BP45" i="12"/>
  <c r="BC44" i="12"/>
  <c r="BD44" i="12"/>
  <c r="BO45" i="12"/>
  <c r="CA45" i="12" l="1"/>
  <c r="BO44" i="12"/>
  <c r="BP44" i="12"/>
  <c r="CA44" i="12" l="1"/>
  <c r="AE40" i="1"/>
  <c r="AD40" i="1"/>
  <c r="AD47" i="1" s="1"/>
  <c r="AE70" i="1" l="1"/>
  <c r="AE36" i="1"/>
  <c r="AE47" i="1"/>
  <c r="AE82" i="1" s="1"/>
  <c r="AE42" i="12"/>
  <c r="AF64" i="1"/>
  <c r="AF40" i="1"/>
  <c r="AD42" i="12"/>
  <c r="AD36" i="1"/>
  <c r="AD70" i="1"/>
  <c r="AF70" i="1" l="1"/>
  <c r="AG36" i="1"/>
  <c r="AF36" i="1"/>
  <c r="AH51" i="1"/>
  <c r="AG51" i="1"/>
  <c r="AD104" i="1"/>
  <c r="AD88" i="1"/>
  <c r="AE104" i="1"/>
  <c r="AE88" i="1"/>
  <c r="AE41" i="12"/>
  <c r="AE48" i="12" s="1"/>
  <c r="AE115" i="12" s="1"/>
  <c r="AF47" i="1"/>
  <c r="AF42" i="12"/>
  <c r="AF41" i="12" s="1"/>
  <c r="AF48" i="12" s="1"/>
  <c r="AF115" i="12" s="1"/>
  <c r="AF65" i="1"/>
  <c r="AE79" i="1"/>
  <c r="AE74" i="1" s="1"/>
  <c r="AE71" i="1"/>
  <c r="AE69" i="1" s="1"/>
  <c r="AE87" i="1"/>
  <c r="AE106" i="1"/>
  <c r="AE86" i="1"/>
  <c r="AE4" i="1"/>
  <c r="AE90" i="1"/>
  <c r="AE108" i="1"/>
  <c r="AE97" i="12" s="1"/>
  <c r="AE96" i="12" s="1"/>
  <c r="AE81" i="1"/>
  <c r="AE61" i="12" s="1"/>
  <c r="AE60" i="12" s="1"/>
  <c r="AE91" i="1"/>
  <c r="AD82" i="1"/>
  <c r="AD90" i="1"/>
  <c r="AD91" i="1"/>
  <c r="AD71" i="1"/>
  <c r="AD79" i="1"/>
  <c r="AD108" i="1"/>
  <c r="AD106" i="1"/>
  <c r="AD4" i="1"/>
  <c r="AD86" i="1"/>
  <c r="AD87" i="1"/>
  <c r="AD41" i="12"/>
  <c r="AF88" i="1" l="1"/>
  <c r="AF82" i="1"/>
  <c r="AG40" i="1"/>
  <c r="CQ51" i="1"/>
  <c r="CQ52" i="1" s="1"/>
  <c r="AT51" i="1"/>
  <c r="AH64" i="1"/>
  <c r="AH65" i="1" s="1"/>
  <c r="AH40" i="1"/>
  <c r="C12" i="24"/>
  <c r="AF104" i="1"/>
  <c r="AF81" i="1"/>
  <c r="AF61" i="12" s="1"/>
  <c r="AF60" i="12" s="1"/>
  <c r="AE5" i="1"/>
  <c r="AE7" i="1" s="1"/>
  <c r="AE8" i="1" s="1"/>
  <c r="AE54" i="12"/>
  <c r="AE58" i="12"/>
  <c r="AE57" i="12" s="1"/>
  <c r="AE11" i="1"/>
  <c r="AF4" i="12"/>
  <c r="T43" i="21"/>
  <c r="AF91" i="1"/>
  <c r="AF4" i="1"/>
  <c r="AF86" i="1"/>
  <c r="AF90" i="1"/>
  <c r="AF106" i="1"/>
  <c r="AF71" i="1"/>
  <c r="AF69" i="1" s="1"/>
  <c r="AF79" i="1"/>
  <c r="AF74" i="1" s="1"/>
  <c r="AF87" i="1"/>
  <c r="AF108" i="1"/>
  <c r="AF97" i="12" s="1"/>
  <c r="AF96" i="12" s="1"/>
  <c r="AE109" i="1"/>
  <c r="AE89" i="12"/>
  <c r="AE94" i="12"/>
  <c r="AE93" i="12" s="1"/>
  <c r="AE13" i="12" s="1"/>
  <c r="AM8" i="13" s="1"/>
  <c r="AE12" i="1"/>
  <c r="S43" i="21"/>
  <c r="T41" i="21" s="1"/>
  <c r="S39" i="21" s="1"/>
  <c r="AE4" i="12"/>
  <c r="AE85" i="1"/>
  <c r="AD85" i="1"/>
  <c r="AD12" i="1"/>
  <c r="AD94" i="12"/>
  <c r="AD81" i="1"/>
  <c r="AD109" i="1"/>
  <c r="AD89" i="12"/>
  <c r="AD97" i="12"/>
  <c r="AD74" i="1"/>
  <c r="AD48" i="12"/>
  <c r="AD115" i="12" s="1"/>
  <c r="AD69" i="1"/>
  <c r="AH70" i="1" l="1"/>
  <c r="AH42" i="12"/>
  <c r="AH47" i="1"/>
  <c r="BF51" i="1"/>
  <c r="AT40" i="1"/>
  <c r="AT64" i="1"/>
  <c r="AT65" i="1" s="1"/>
  <c r="AG42" i="12"/>
  <c r="CQ40" i="1"/>
  <c r="CQ41" i="1" s="1"/>
  <c r="AE100" i="12"/>
  <c r="Y7" i="14" s="1"/>
  <c r="Y9" i="14" s="1"/>
  <c r="AF89" i="12"/>
  <c r="AF109" i="1"/>
  <c r="AE12" i="12"/>
  <c r="AF85" i="1"/>
  <c r="AM4" i="13"/>
  <c r="AF58" i="12"/>
  <c r="AF57" i="12" s="1"/>
  <c r="AF11" i="1"/>
  <c r="AE53" i="12"/>
  <c r="AE6" i="12"/>
  <c r="AM5" i="13" s="1"/>
  <c r="U41" i="21"/>
  <c r="AF54" i="12"/>
  <c r="AF5" i="1"/>
  <c r="AF7" i="1" s="1"/>
  <c r="AN4" i="13"/>
  <c r="AE73" i="1"/>
  <c r="AE98" i="1" s="1"/>
  <c r="AE120" i="1" s="1"/>
  <c r="AE10" i="1"/>
  <c r="AE14" i="1" s="1"/>
  <c r="AE18" i="1" s="1"/>
  <c r="AE25" i="1" s="1"/>
  <c r="AE27" i="1" s="1"/>
  <c r="AE29" i="1" s="1"/>
  <c r="AE30" i="1" s="1"/>
  <c r="AE64" i="12"/>
  <c r="AE63" i="12" s="1"/>
  <c r="AE11" i="12" s="1"/>
  <c r="AF94" i="12"/>
  <c r="AF93" i="12" s="1"/>
  <c r="AF13" i="12" s="1"/>
  <c r="AN8" i="13" s="1"/>
  <c r="AF12" i="1"/>
  <c r="AD73" i="1"/>
  <c r="AD58" i="12"/>
  <c r="AD11" i="1"/>
  <c r="AD93" i="12"/>
  <c r="AD54" i="12"/>
  <c r="AD5" i="1"/>
  <c r="AD61" i="12"/>
  <c r="R43" i="21"/>
  <c r="AD96" i="12"/>
  <c r="AD64" i="12"/>
  <c r="AD10" i="1"/>
  <c r="AH82" i="1" l="1"/>
  <c r="AH88" i="1"/>
  <c r="I11" i="24"/>
  <c r="Q11" i="24" s="1"/>
  <c r="AG41" i="12"/>
  <c r="CQ42" i="12"/>
  <c r="AT70" i="1"/>
  <c r="AT42" i="12"/>
  <c r="AT47" i="1"/>
  <c r="BF40" i="1"/>
  <c r="BR51" i="1"/>
  <c r="CD51" i="1" s="1"/>
  <c r="AH104" i="1"/>
  <c r="AH106" i="1"/>
  <c r="AH81" i="1"/>
  <c r="AH61" i="12" s="1"/>
  <c r="AH60" i="12" s="1"/>
  <c r="AH86" i="1"/>
  <c r="AH4" i="1"/>
  <c r="AH87" i="1"/>
  <c r="AH108" i="1"/>
  <c r="AH97" i="12" s="1"/>
  <c r="AH96" i="12" s="1"/>
  <c r="AH79" i="1"/>
  <c r="AH74" i="1" s="1"/>
  <c r="AH91" i="1"/>
  <c r="AH90" i="1"/>
  <c r="AH71" i="1"/>
  <c r="AH69" i="1" s="1"/>
  <c r="AH41" i="12"/>
  <c r="AH48" i="12" s="1"/>
  <c r="AH115" i="12" s="1"/>
  <c r="T39" i="21"/>
  <c r="T38" i="21" s="1"/>
  <c r="Z5" i="14" s="1"/>
  <c r="AM7" i="13"/>
  <c r="AD100" i="12"/>
  <c r="X7" i="14" s="1"/>
  <c r="AM6" i="13"/>
  <c r="AE8" i="12"/>
  <c r="AE9" i="12" s="1"/>
  <c r="AF73" i="1"/>
  <c r="AF98" i="1" s="1"/>
  <c r="AF120" i="1" s="1"/>
  <c r="AF64" i="12"/>
  <c r="AF63" i="12" s="1"/>
  <c r="AF11" i="12" s="1"/>
  <c r="AF10" i="1"/>
  <c r="AF14" i="1" s="1"/>
  <c r="AF18" i="1" s="1"/>
  <c r="AF25" i="1" s="1"/>
  <c r="AF8" i="1"/>
  <c r="AE56" i="12"/>
  <c r="S56" i="21" s="1"/>
  <c r="T54" i="21" s="1"/>
  <c r="S52" i="21" s="1"/>
  <c r="AF6" i="12"/>
  <c r="AF53" i="12"/>
  <c r="AF100" i="12"/>
  <c r="Z7" i="14" s="1"/>
  <c r="Z9" i="14" s="1"/>
  <c r="X6" i="14"/>
  <c r="AF12" i="12"/>
  <c r="AD63" i="12"/>
  <c r="AD6" i="12"/>
  <c r="AD53" i="12"/>
  <c r="AD13" i="12"/>
  <c r="AD57" i="12"/>
  <c r="AD60" i="12"/>
  <c r="S41" i="21"/>
  <c r="S38" i="21" s="1"/>
  <c r="Y5" i="14" s="1"/>
  <c r="AD7" i="1"/>
  <c r="AD4" i="12"/>
  <c r="AD98" i="1"/>
  <c r="CD40" i="1" l="1"/>
  <c r="CD42" i="12" s="1"/>
  <c r="CD41" i="12" s="1"/>
  <c r="AH12" i="1"/>
  <c r="AH94" i="12"/>
  <c r="AH93" i="12" s="1"/>
  <c r="AH13" i="12" s="1"/>
  <c r="AP8" i="13" s="1"/>
  <c r="AH109" i="1"/>
  <c r="AH89" i="12"/>
  <c r="V43" i="21"/>
  <c r="W41" i="21" s="1"/>
  <c r="AH4" i="12"/>
  <c r="AM9" i="13"/>
  <c r="AM11" i="13" s="1"/>
  <c r="AM14" i="13" s="1"/>
  <c r="AH54" i="12"/>
  <c r="AH5" i="1"/>
  <c r="AH7" i="1" s="1"/>
  <c r="AH8" i="1" s="1"/>
  <c r="BR40" i="1"/>
  <c r="BF70" i="1"/>
  <c r="BF42" i="12"/>
  <c r="BF41" i="12" s="1"/>
  <c r="AT104" i="1"/>
  <c r="AT86" i="1"/>
  <c r="AT79" i="1"/>
  <c r="AT74" i="1" s="1"/>
  <c r="AT4" i="1"/>
  <c r="AT71" i="1"/>
  <c r="AT69" i="1" s="1"/>
  <c r="AT82" i="1"/>
  <c r="AT81" i="1" s="1"/>
  <c r="AT61" i="12" s="1"/>
  <c r="AT60" i="12" s="1"/>
  <c r="AT108" i="1"/>
  <c r="AT97" i="12" s="1"/>
  <c r="AT96" i="12" s="1"/>
  <c r="AT91" i="1"/>
  <c r="AT90" i="1"/>
  <c r="AT106" i="1"/>
  <c r="AT88" i="1"/>
  <c r="AT87" i="1"/>
  <c r="AH58" i="12"/>
  <c r="AH57" i="12" s="1"/>
  <c r="AH11" i="1"/>
  <c r="AT41" i="12"/>
  <c r="AT48" i="12" s="1"/>
  <c r="AT115" i="12" s="1"/>
  <c r="CQ41" i="12"/>
  <c r="AH85" i="1"/>
  <c r="AF56" i="12"/>
  <c r="T56" i="21" s="1"/>
  <c r="U54" i="21" s="1"/>
  <c r="AE15" i="12"/>
  <c r="AE16" i="12" s="1"/>
  <c r="Y6" i="14"/>
  <c r="AN5" i="13"/>
  <c r="AN6" i="13" s="1"/>
  <c r="AF8" i="12"/>
  <c r="AF27" i="1"/>
  <c r="AF29" i="1" s="1"/>
  <c r="AF30" i="1" s="1"/>
  <c r="AN7" i="13"/>
  <c r="AE82" i="12"/>
  <c r="AD12" i="12"/>
  <c r="AD56" i="12"/>
  <c r="AD82" i="12" s="1"/>
  <c r="AD116" i="12" s="1"/>
  <c r="AL5" i="13"/>
  <c r="AL8" i="13"/>
  <c r="AD14" i="1"/>
  <c r="AD18" i="1" s="1"/>
  <c r="AD25" i="1" s="1"/>
  <c r="AD8" i="1"/>
  <c r="AD120" i="1"/>
  <c r="AD8" i="12"/>
  <c r="AL4" i="13"/>
  <c r="X9" i="14"/>
  <c r="R39" i="21"/>
  <c r="R38" i="21" s="1"/>
  <c r="AD11" i="12"/>
  <c r="CD70" i="1" l="1"/>
  <c r="AE116" i="12"/>
  <c r="AE118" i="12" s="1"/>
  <c r="AH100" i="12"/>
  <c r="AB7" i="14" s="1"/>
  <c r="AB9" i="14" s="1"/>
  <c r="AF82" i="12"/>
  <c r="AT94" i="12"/>
  <c r="AT93" i="12" s="1"/>
  <c r="AT13" i="12" s="1"/>
  <c r="BB8" i="13" s="1"/>
  <c r="AT12" i="1"/>
  <c r="AP4" i="13"/>
  <c r="AT5" i="1"/>
  <c r="AT7" i="1" s="1"/>
  <c r="AT54" i="12"/>
  <c r="V39" i="21"/>
  <c r="W38" i="21"/>
  <c r="AC5" i="14" s="1"/>
  <c r="AH43" i="21"/>
  <c r="AT4" i="12"/>
  <c r="AH10" i="1"/>
  <c r="AH14" i="1" s="1"/>
  <c r="AH18" i="1" s="1"/>
  <c r="AH25" i="1" s="1"/>
  <c r="AH27" i="1" s="1"/>
  <c r="AH29" i="1" s="1"/>
  <c r="AH30" i="1" s="1"/>
  <c r="AH64" i="12"/>
  <c r="AH63" i="12" s="1"/>
  <c r="AH11" i="12" s="1"/>
  <c r="AH73" i="1"/>
  <c r="AH98" i="1" s="1"/>
  <c r="AH120" i="1" s="1"/>
  <c r="AH12" i="12"/>
  <c r="BR70" i="1"/>
  <c r="BR42" i="12"/>
  <c r="BR41" i="12" s="1"/>
  <c r="AT58" i="12"/>
  <c r="AT57" i="12" s="1"/>
  <c r="AT11" i="1"/>
  <c r="AT85" i="1"/>
  <c r="AH53" i="12"/>
  <c r="AH6" i="12"/>
  <c r="AP5" i="13" s="1"/>
  <c r="AT89" i="12"/>
  <c r="AT109" i="1"/>
  <c r="AE20" i="12"/>
  <c r="AE26" i="12" s="1"/>
  <c r="AE28" i="12" s="1"/>
  <c r="AM15" i="13" s="1"/>
  <c r="AM16" i="13" s="1"/>
  <c r="AM19" i="13" s="1"/>
  <c r="AM22" i="13" s="1"/>
  <c r="T52" i="21"/>
  <c r="AF9" i="12"/>
  <c r="AF15" i="12"/>
  <c r="AN9" i="13"/>
  <c r="AN11" i="13" s="1"/>
  <c r="AN14" i="13" s="1"/>
  <c r="AL6" i="13"/>
  <c r="W4" i="14"/>
  <c r="W31" i="14" s="1"/>
  <c r="CJ6" i="14"/>
  <c r="CJ4" i="14" s="1"/>
  <c r="Q11" i="21"/>
  <c r="R56" i="21"/>
  <c r="AD27" i="1"/>
  <c r="AD15" i="12"/>
  <c r="AD9" i="12"/>
  <c r="X5" i="14"/>
  <c r="R36" i="21"/>
  <c r="AL7" i="13"/>
  <c r="Q5" i="21" l="1"/>
  <c r="R11" i="21"/>
  <c r="S11" i="21" s="1"/>
  <c r="AF116" i="12"/>
  <c r="AF118" i="12" s="1"/>
  <c r="AP7" i="13"/>
  <c r="AT100" i="12"/>
  <c r="AN7" i="14" s="1"/>
  <c r="AN9" i="14" s="1"/>
  <c r="AP6" i="13"/>
  <c r="AA6" i="14"/>
  <c r="AH8" i="12"/>
  <c r="AT8" i="1"/>
  <c r="AT10" i="1"/>
  <c r="AT14" i="1" s="1"/>
  <c r="AT18" i="1" s="1"/>
  <c r="AT25" i="1" s="1"/>
  <c r="AT27" i="1" s="1"/>
  <c r="AT29" i="1" s="1"/>
  <c r="AT30" i="1" s="1"/>
  <c r="AT64" i="12"/>
  <c r="AT63" i="12" s="1"/>
  <c r="AT11" i="12" s="1"/>
  <c r="BB4" i="13"/>
  <c r="AI41" i="21"/>
  <c r="AI38" i="21" s="1"/>
  <c r="AO5" i="14" s="1"/>
  <c r="AT12" i="12"/>
  <c r="AH56" i="12"/>
  <c r="V56" i="21" s="1"/>
  <c r="W54" i="21" s="1"/>
  <c r="AT73" i="1"/>
  <c r="AT98" i="1" s="1"/>
  <c r="AT120" i="1" s="1"/>
  <c r="AT53" i="12"/>
  <c r="AM6" i="14" s="1"/>
  <c r="AT6" i="12"/>
  <c r="BB5" i="13" s="1"/>
  <c r="T51" i="21"/>
  <c r="Z8" i="14" s="1"/>
  <c r="CA5" i="21"/>
  <c r="CA21" i="21" s="1"/>
  <c r="Q21" i="21"/>
  <c r="Q25" i="21" s="1"/>
  <c r="CA25" i="21" s="1"/>
  <c r="AD29" i="1"/>
  <c r="AD30" i="1" s="1"/>
  <c r="AD118" i="12"/>
  <c r="AD119" i="12" s="1"/>
  <c r="AE119" i="12" s="1"/>
  <c r="AE120" i="12" s="1"/>
  <c r="AE30" i="12"/>
  <c r="AE31" i="12" s="1"/>
  <c r="AF20" i="12"/>
  <c r="AF26" i="12" s="1"/>
  <c r="AF16" i="12"/>
  <c r="W34" i="14"/>
  <c r="CJ31" i="14"/>
  <c r="AD20" i="12"/>
  <c r="AD26" i="12" s="1"/>
  <c r="AD28" i="12" s="1"/>
  <c r="AD16" i="12"/>
  <c r="Q14" i="22"/>
  <c r="Q12" i="21"/>
  <c r="CA11" i="21"/>
  <c r="AL9" i="13"/>
  <c r="AL11" i="13" s="1"/>
  <c r="AL14" i="13" s="1"/>
  <c r="S54" i="21"/>
  <c r="S51" i="21" s="1"/>
  <c r="Y8" i="14" s="1"/>
  <c r="S36" i="21"/>
  <c r="R7" i="21"/>
  <c r="AP9" i="13" l="1"/>
  <c r="AP11" i="13" s="1"/>
  <c r="AP14" i="13" s="1"/>
  <c r="BB7" i="13"/>
  <c r="AT56" i="12"/>
  <c r="AT82" i="12" s="1"/>
  <c r="AH15" i="12"/>
  <c r="AH9" i="12"/>
  <c r="BB6" i="13"/>
  <c r="BB9" i="13" s="1"/>
  <c r="BB11" i="13" s="1"/>
  <c r="AT8" i="12"/>
  <c r="AH82" i="12"/>
  <c r="V52" i="21"/>
  <c r="W51" i="21"/>
  <c r="AC8" i="14" s="1"/>
  <c r="AH39" i="21"/>
  <c r="R5" i="21"/>
  <c r="S12" i="22"/>
  <c r="AD120" i="12"/>
  <c r="X10" i="14" s="1"/>
  <c r="R12" i="22"/>
  <c r="AF28" i="12"/>
  <c r="AN15" i="13" s="1"/>
  <c r="AN16" i="13" s="1"/>
  <c r="AN19" i="13" s="1"/>
  <c r="AN22" i="13" s="1"/>
  <c r="Q13" i="21"/>
  <c r="CA12" i="21"/>
  <c r="CA13" i="21" s="1"/>
  <c r="R14" i="22"/>
  <c r="R12" i="21"/>
  <c r="Q11" i="22"/>
  <c r="X33" i="14"/>
  <c r="Y10" i="14"/>
  <c r="Y4" i="14" s="1"/>
  <c r="Y31" i="14" s="1"/>
  <c r="AF119" i="12"/>
  <c r="R8" i="21"/>
  <c r="R13" i="22"/>
  <c r="T36" i="21"/>
  <c r="S7" i="21"/>
  <c r="R52" i="21"/>
  <c r="R51" i="21" s="1"/>
  <c r="AT116" i="12" l="1"/>
  <c r="AT118" i="12" s="1"/>
  <c r="AH116" i="12"/>
  <c r="AH118" i="12" s="1"/>
  <c r="AH56" i="21"/>
  <c r="AI54" i="21" s="1"/>
  <c r="AI51" i="21" s="1"/>
  <c r="AO8" i="14" s="1"/>
  <c r="AT15" i="12"/>
  <c r="AT9" i="12"/>
  <c r="AH16" i="12"/>
  <c r="AH20" i="12"/>
  <c r="AH26" i="12" s="1"/>
  <c r="S5" i="21"/>
  <c r="AF30" i="12"/>
  <c r="AF31" i="12" s="1"/>
  <c r="R13" i="21"/>
  <c r="T7" i="21"/>
  <c r="S12" i="21"/>
  <c r="S13" i="21" s="1"/>
  <c r="F12" i="24"/>
  <c r="S14" i="22"/>
  <c r="X8" i="14"/>
  <c r="R49" i="21"/>
  <c r="Q29" i="22"/>
  <c r="Q26" i="22" s="1"/>
  <c r="AL15" i="13"/>
  <c r="R9" i="21"/>
  <c r="AD30" i="12"/>
  <c r="T12" i="22"/>
  <c r="AF120" i="12"/>
  <c r="Z10" i="14" s="1"/>
  <c r="S13" i="22"/>
  <c r="S8" i="21"/>
  <c r="S9" i="21" s="1"/>
  <c r="AH52" i="21" l="1"/>
  <c r="AH28" i="12"/>
  <c r="AP15" i="13" s="1"/>
  <c r="AP16" i="13" s="1"/>
  <c r="AP19" i="13" s="1"/>
  <c r="AP22" i="13" s="1"/>
  <c r="AT16" i="12"/>
  <c r="AT20" i="12"/>
  <c r="Q30" i="22"/>
  <c r="Q16" i="22" s="1"/>
  <c r="Q10" i="22" s="1"/>
  <c r="Q17" i="22" s="1"/>
  <c r="Q32" i="22" s="1"/>
  <c r="AD31" i="12"/>
  <c r="AD35" i="12"/>
  <c r="X4" i="14"/>
  <c r="X31" i="14" s="1"/>
  <c r="AL16" i="13"/>
  <c r="AL19" i="13" s="1"/>
  <c r="AL22" i="13" s="1"/>
  <c r="G12" i="24"/>
  <c r="T13" i="22"/>
  <c r="T8" i="21"/>
  <c r="S49" i="21"/>
  <c r="R17" i="21"/>
  <c r="AH30" i="12" l="1"/>
  <c r="AH31" i="12" s="1"/>
  <c r="T9" i="21"/>
  <c r="R28" i="22"/>
  <c r="R15" i="21"/>
  <c r="T49" i="21"/>
  <c r="S17" i="21"/>
  <c r="AL23" i="13"/>
  <c r="X34" i="14"/>
  <c r="R22" i="22"/>
  <c r="R18" i="22" s="1"/>
  <c r="AE35" i="12"/>
  <c r="AL24" i="13" l="1"/>
  <c r="AM23" i="13"/>
  <c r="T17" i="21"/>
  <c r="R11" i="22"/>
  <c r="Y33" i="14"/>
  <c r="Y34" i="14" s="1"/>
  <c r="R21" i="21"/>
  <c r="R25" i="21" s="1"/>
  <c r="S28" i="22"/>
  <c r="S15" i="21"/>
  <c r="S21" i="21" s="1"/>
  <c r="AF35" i="12"/>
  <c r="S22" i="22"/>
  <c r="S18" i="22" s="1"/>
  <c r="S25" i="21" l="1"/>
  <c r="T22" i="22"/>
  <c r="T18" i="22" s="1"/>
  <c r="AN23" i="13"/>
  <c r="AM24" i="13"/>
  <c r="Z33" i="14"/>
  <c r="S11" i="22"/>
  <c r="T28" i="22"/>
  <c r="T15" i="21"/>
  <c r="R29" i="22"/>
  <c r="R26" i="22" s="1"/>
  <c r="R30" i="22" l="1"/>
  <c r="R16" i="22" s="1"/>
  <c r="R10" i="22" s="1"/>
  <c r="R17" i="22" s="1"/>
  <c r="R32" i="22" s="1"/>
  <c r="AN24" i="13"/>
  <c r="S29" i="22"/>
  <c r="S26" i="22" s="1"/>
  <c r="S30" i="22" l="1"/>
  <c r="S16" i="22" s="1"/>
  <c r="S10" i="22" s="1"/>
  <c r="S17" i="22" s="1"/>
  <c r="S32" i="22" s="1"/>
  <c r="AR51" i="1" l="1"/>
  <c r="AQ51" i="1"/>
  <c r="AS51" i="1"/>
  <c r="AR64" i="1" l="1"/>
  <c r="AR65" i="1" s="1"/>
  <c r="BC51" i="1"/>
  <c r="AS40" i="1"/>
  <c r="BE51" i="1"/>
  <c r="AR40" i="1"/>
  <c r="AQ64" i="1"/>
  <c r="AQ65" i="1" s="1"/>
  <c r="AQ40" i="1"/>
  <c r="AQ70" i="1" s="1"/>
  <c r="BD51" i="1"/>
  <c r="BO51" i="1" l="1"/>
  <c r="CA51" i="1" s="1"/>
  <c r="BC40" i="1"/>
  <c r="BC42" i="12" s="1"/>
  <c r="BQ51" i="1"/>
  <c r="CC51" i="1" s="1"/>
  <c r="AR42" i="12"/>
  <c r="AR41" i="12" s="1"/>
  <c r="AR48" i="12" s="1"/>
  <c r="AF43" i="21" s="1"/>
  <c r="AG41" i="21" s="1"/>
  <c r="AF39" i="21" s="1"/>
  <c r="AR70" i="1"/>
  <c r="AR47" i="1"/>
  <c r="AR87" i="1" s="1"/>
  <c r="AS42" i="12"/>
  <c r="BE40" i="1"/>
  <c r="BO40" i="1"/>
  <c r="BD40" i="1"/>
  <c r="BP51" i="1"/>
  <c r="CB51" i="1" s="1"/>
  <c r="BC70" i="1"/>
  <c r="AQ47" i="1"/>
  <c r="AQ42" i="12"/>
  <c r="CB40" i="1" l="1"/>
  <c r="CB42" i="12" s="1"/>
  <c r="CB41" i="12" s="1"/>
  <c r="CC40" i="1"/>
  <c r="CC42" i="12" s="1"/>
  <c r="CC41" i="12" s="1"/>
  <c r="CA40" i="1"/>
  <c r="CA42" i="12" s="1"/>
  <c r="CA41" i="12" s="1"/>
  <c r="AR115" i="12"/>
  <c r="AR4" i="12" s="1"/>
  <c r="AZ4" i="13" s="1"/>
  <c r="BQ40" i="1"/>
  <c r="BQ42" i="12" s="1"/>
  <c r="AR106" i="1"/>
  <c r="AR94" i="12" s="1"/>
  <c r="AR93" i="12" s="1"/>
  <c r="AR108" i="1"/>
  <c r="AR97" i="12" s="1"/>
  <c r="AR96" i="12" s="1"/>
  <c r="AR71" i="1"/>
  <c r="AR69" i="1" s="1"/>
  <c r="AR54" i="12" s="1"/>
  <c r="AR79" i="1"/>
  <c r="AR74" i="1" s="1"/>
  <c r="AR58" i="12" s="1"/>
  <c r="AR57" i="12" s="1"/>
  <c r="AR86" i="1"/>
  <c r="AR4" i="1"/>
  <c r="AR90" i="1"/>
  <c r="AQ104" i="1"/>
  <c r="AQ82" i="1"/>
  <c r="AQ81" i="1" s="1"/>
  <c r="AQ61" i="12" s="1"/>
  <c r="AQ60" i="12" s="1"/>
  <c r="AR88" i="1"/>
  <c r="AR104" i="1"/>
  <c r="AR82" i="1"/>
  <c r="AR81" i="1" s="1"/>
  <c r="AR61" i="12" s="1"/>
  <c r="AR60" i="12" s="1"/>
  <c r="AR91" i="1"/>
  <c r="AS41" i="12"/>
  <c r="BE42" i="12"/>
  <c r="AQ41" i="12"/>
  <c r="AQ48" i="12" s="1"/>
  <c r="AQ115" i="12" s="1"/>
  <c r="BP40" i="1"/>
  <c r="BC41" i="12"/>
  <c r="BD70" i="1"/>
  <c r="BD42" i="12"/>
  <c r="AQ87" i="1"/>
  <c r="AQ91" i="1"/>
  <c r="AQ71" i="1"/>
  <c r="AQ69" i="1" s="1"/>
  <c r="AQ86" i="1"/>
  <c r="AQ90" i="1"/>
  <c r="AQ88" i="1"/>
  <c r="AQ79" i="1"/>
  <c r="AQ74" i="1" s="1"/>
  <c r="AQ4" i="1"/>
  <c r="AQ108" i="1"/>
  <c r="AQ97" i="12" s="1"/>
  <c r="AQ96" i="12" s="1"/>
  <c r="AQ106" i="1"/>
  <c r="BO42" i="12"/>
  <c r="BO70" i="1"/>
  <c r="AR12" i="1" l="1"/>
  <c r="CA70" i="1"/>
  <c r="CB70" i="1"/>
  <c r="AR13" i="12"/>
  <c r="AZ8" i="13" s="1"/>
  <c r="AR5" i="1"/>
  <c r="AR7" i="1" s="1"/>
  <c r="AR8" i="1" s="1"/>
  <c r="AR85" i="1"/>
  <c r="AR10" i="1" s="1"/>
  <c r="AR109" i="1"/>
  <c r="AR89" i="12"/>
  <c r="AR6" i="12" s="1"/>
  <c r="AR11" i="1"/>
  <c r="BE41" i="12"/>
  <c r="AQ85" i="1"/>
  <c r="AQ64" i="12" s="1"/>
  <c r="AQ63" i="12" s="1"/>
  <c r="AQ11" i="12" s="1"/>
  <c r="AQ5" i="1"/>
  <c r="AQ7" i="1" s="1"/>
  <c r="AQ54" i="12"/>
  <c r="BP70" i="1"/>
  <c r="BP42" i="12"/>
  <c r="BQ41" i="12"/>
  <c r="AQ12" i="1"/>
  <c r="AQ94" i="12"/>
  <c r="AQ93" i="12" s="1"/>
  <c r="AQ13" i="12" s="1"/>
  <c r="AY8" i="13" s="1"/>
  <c r="AR12" i="12"/>
  <c r="AQ89" i="12"/>
  <c r="AQ109" i="1"/>
  <c r="BD41" i="12"/>
  <c r="AR53" i="12"/>
  <c r="AQ11" i="1"/>
  <c r="AQ58" i="12"/>
  <c r="AQ57" i="12" s="1"/>
  <c r="AQ4" i="12"/>
  <c r="AE43" i="21"/>
  <c r="BO41" i="12"/>
  <c r="AR73" i="1" l="1"/>
  <c r="AR98" i="1" s="1"/>
  <c r="AR120" i="1" s="1"/>
  <c r="AR64" i="12"/>
  <c r="AR63" i="12" s="1"/>
  <c r="AR11" i="12" s="1"/>
  <c r="AR100" i="12"/>
  <c r="AL7" i="14" s="1"/>
  <c r="AL9" i="14" s="1"/>
  <c r="AR14" i="1"/>
  <c r="AR18" i="1" s="1"/>
  <c r="AR25" i="1" s="1"/>
  <c r="AR27" i="1" s="1"/>
  <c r="AR29" i="1" s="1"/>
  <c r="AR30" i="1" s="1"/>
  <c r="AQ73" i="1"/>
  <c r="AQ98" i="1" s="1"/>
  <c r="AQ120" i="1" s="1"/>
  <c r="AQ10" i="1"/>
  <c r="AQ14" i="1" s="1"/>
  <c r="AQ18" i="1" s="1"/>
  <c r="AQ25" i="1" s="1"/>
  <c r="AZ7" i="13"/>
  <c r="AQ8" i="1"/>
  <c r="AK6" i="14"/>
  <c r="AQ53" i="12"/>
  <c r="AQ6" i="12"/>
  <c r="AY5" i="13" s="1"/>
  <c r="AQ100" i="12"/>
  <c r="AK7" i="14" s="1"/>
  <c r="AK9" i="14" s="1"/>
  <c r="BP41" i="12"/>
  <c r="AQ56" i="12"/>
  <c r="AE56" i="21" s="1"/>
  <c r="AQ12" i="12"/>
  <c r="AY7" i="13" s="1"/>
  <c r="AR56" i="12"/>
  <c r="AF56" i="21" s="1"/>
  <c r="AY4" i="13"/>
  <c r="AZ5" i="13"/>
  <c r="AZ6" i="13" s="1"/>
  <c r="AR8" i="12"/>
  <c r="AF41" i="21"/>
  <c r="AF38" i="21" s="1"/>
  <c r="AL5" i="14" s="1"/>
  <c r="AZ9" i="13" l="1"/>
  <c r="AZ11" i="13" s="1"/>
  <c r="AJ6" i="14"/>
  <c r="AQ82" i="12"/>
  <c r="AQ8" i="12"/>
  <c r="AY6" i="13"/>
  <c r="AY9" i="13" s="1"/>
  <c r="AY11" i="13" s="1"/>
  <c r="AY14" i="13" s="1"/>
  <c r="AR9" i="12"/>
  <c r="AR15" i="12"/>
  <c r="AQ27" i="1"/>
  <c r="AQ29" i="1" s="1"/>
  <c r="AQ30" i="1" s="1"/>
  <c r="AF54" i="21"/>
  <c r="AE52" i="21" s="1"/>
  <c r="AG54" i="21"/>
  <c r="AF52" i="21" s="1"/>
  <c r="AE39" i="21"/>
  <c r="AR82" i="12"/>
  <c r="AQ116" i="12" l="1"/>
  <c r="AQ118" i="12" s="1"/>
  <c r="AR116" i="12"/>
  <c r="AR118" i="12" s="1"/>
  <c r="AF51" i="21"/>
  <c r="AL8" i="14" s="1"/>
  <c r="AQ9" i="12"/>
  <c r="AQ15" i="12"/>
  <c r="AR16" i="12"/>
  <c r="AR20" i="12"/>
  <c r="AQ16" i="12" l="1"/>
  <c r="AQ20" i="12"/>
  <c r="AQ26" i="12" s="1"/>
  <c r="AQ28" i="12" l="1"/>
  <c r="AY15" i="13" s="1"/>
  <c r="AY16" i="13" s="1"/>
  <c r="AY19" i="13" s="1"/>
  <c r="AY22" i="13" s="1"/>
  <c r="AQ30" i="12" l="1"/>
  <c r="AQ31" i="12" s="1"/>
  <c r="AP51" i="1" l="1"/>
  <c r="CR51" i="1" l="1"/>
  <c r="CR52" i="1" s="1"/>
  <c r="AP40" i="1"/>
  <c r="AP42" i="12" s="1"/>
  <c r="BB51" i="1"/>
  <c r="AP64" i="1"/>
  <c r="AP70" i="1" l="1"/>
  <c r="AP47" i="1"/>
  <c r="CR40" i="1"/>
  <c r="CR41" i="1" s="1"/>
  <c r="AP65" i="1"/>
  <c r="CS51" i="1"/>
  <c r="CS52" i="1" s="1"/>
  <c r="BN51" i="1"/>
  <c r="BB40" i="1"/>
  <c r="AP41" i="12"/>
  <c r="CR42" i="12"/>
  <c r="BZ51" i="1" l="1"/>
  <c r="CU51" i="1" s="1"/>
  <c r="CT51" i="1"/>
  <c r="CT52" i="1" s="1"/>
  <c r="BZ40" i="1"/>
  <c r="AP104" i="1"/>
  <c r="AP82" i="1"/>
  <c r="AP86" i="1"/>
  <c r="AP108" i="1"/>
  <c r="AP106" i="1"/>
  <c r="AP88" i="1"/>
  <c r="AP90" i="1"/>
  <c r="AP91" i="1"/>
  <c r="AP71" i="1"/>
  <c r="AP79" i="1"/>
  <c r="AP4" i="1"/>
  <c r="AP87" i="1"/>
  <c r="BB42" i="12"/>
  <c r="CS40" i="1"/>
  <c r="CS41" i="1" s="1"/>
  <c r="BB70" i="1"/>
  <c r="BN40" i="1"/>
  <c r="CT40" i="1" s="1"/>
  <c r="CR41" i="12"/>
  <c r="AP48" i="12"/>
  <c r="CT41" i="1" l="1"/>
  <c r="BZ42" i="12"/>
  <c r="CU40" i="1"/>
  <c r="CU41" i="1" s="1"/>
  <c r="CU52" i="1"/>
  <c r="BZ70" i="1"/>
  <c r="AP74" i="1"/>
  <c r="AP81" i="1"/>
  <c r="AP94" i="12"/>
  <c r="AP12" i="1"/>
  <c r="AP69" i="1"/>
  <c r="AP97" i="12"/>
  <c r="AP109" i="1"/>
  <c r="AP89" i="12"/>
  <c r="AP85" i="1"/>
  <c r="BN42" i="12"/>
  <c r="CT42" i="12" s="1"/>
  <c r="BN70" i="1"/>
  <c r="BB41" i="12"/>
  <c r="CS42" i="12"/>
  <c r="AD43" i="21"/>
  <c r="AP115" i="12"/>
  <c r="AP4" i="12" s="1"/>
  <c r="BZ41" i="12" l="1"/>
  <c r="CU41" i="12" s="1"/>
  <c r="CU42" i="12"/>
  <c r="CV42" i="12" s="1"/>
  <c r="AP96" i="12"/>
  <c r="AP93" i="12"/>
  <c r="AP64" i="12"/>
  <c r="AP10" i="1"/>
  <c r="AP61" i="12"/>
  <c r="AP54" i="12"/>
  <c r="AP5" i="1"/>
  <c r="AP11" i="1"/>
  <c r="AP73" i="1"/>
  <c r="AP58" i="12"/>
  <c r="BN41" i="12"/>
  <c r="CT41" i="12" s="1"/>
  <c r="CS41" i="12"/>
  <c r="AE41" i="21"/>
  <c r="AE38" i="21" s="1"/>
  <c r="AK5" i="14" s="1"/>
  <c r="AX4" i="13"/>
  <c r="AD39" i="21" l="1"/>
  <c r="AD38" i="21" s="1"/>
  <c r="AJ5" i="14" s="1"/>
  <c r="AP6" i="12"/>
  <c r="AP53" i="12"/>
  <c r="AP63" i="12"/>
  <c r="AP57" i="12"/>
  <c r="AP7" i="1"/>
  <c r="AP100" i="12"/>
  <c r="AP13" i="12"/>
  <c r="AP60" i="12"/>
  <c r="AP98" i="1"/>
  <c r="AJ7" i="14" l="1"/>
  <c r="AP12" i="12"/>
  <c r="AP56" i="12"/>
  <c r="AP82" i="12" s="1"/>
  <c r="AP116" i="12" s="1"/>
  <c r="AX8" i="13"/>
  <c r="AP8" i="1"/>
  <c r="AP14" i="1"/>
  <c r="AP18" i="1" s="1"/>
  <c r="AP25" i="1" s="1"/>
  <c r="AP27" i="1" s="1"/>
  <c r="AP11" i="12"/>
  <c r="AP120" i="1"/>
  <c r="AI6" i="14"/>
  <c r="AX5" i="13"/>
  <c r="AP8" i="12"/>
  <c r="AD56" i="21" l="1"/>
  <c r="AE54" i="21" s="1"/>
  <c r="AE51" i="21" s="1"/>
  <c r="AK8" i="14" s="1"/>
  <c r="AX7" i="13"/>
  <c r="AP9" i="12"/>
  <c r="AP15" i="12"/>
  <c r="AP118" i="12"/>
  <c r="AX6" i="13"/>
  <c r="AP29" i="1"/>
  <c r="AP30" i="1" s="1"/>
  <c r="AJ9" i="14"/>
  <c r="AD52" i="21" l="1"/>
  <c r="AD51" i="21" s="1"/>
  <c r="AJ8" i="14" s="1"/>
  <c r="AX9" i="13"/>
  <c r="AX11" i="13" s="1"/>
  <c r="AX14" i="13" s="1"/>
  <c r="AP16" i="12"/>
  <c r="AP20" i="12"/>
  <c r="AP26" i="12" s="1"/>
  <c r="AP28" i="12" l="1"/>
  <c r="AP30" i="12" s="1"/>
  <c r="AP31" i="12" l="1"/>
  <c r="AX15" i="13"/>
  <c r="AX16" i="13" l="1"/>
  <c r="AX19" i="13" s="1"/>
  <c r="AX22" i="13" s="1"/>
  <c r="AR151" i="12" l="1"/>
  <c r="AL20" i="14" s="1"/>
  <c r="AR144" i="12"/>
  <c r="AS151" i="12" l="1"/>
  <c r="AM20" i="14" s="1"/>
  <c r="AF24" i="22"/>
  <c r="AF23" i="22" s="1"/>
  <c r="AR141" i="12"/>
  <c r="AR149" i="12"/>
  <c r="AR146" i="12" s="1"/>
  <c r="AR22" i="12" s="1"/>
  <c r="AS144" i="12" l="1"/>
  <c r="AZ12" i="13"/>
  <c r="AL21" i="14"/>
  <c r="AR26" i="12"/>
  <c r="AT151" i="12" l="1"/>
  <c r="AN20" i="14" s="1"/>
  <c r="AS149" i="12"/>
  <c r="AS146" i="12" s="1"/>
  <c r="AS22" i="12" s="1"/>
  <c r="AS141" i="12"/>
  <c r="AG24" i="22"/>
  <c r="AG23" i="22" s="1"/>
  <c r="AZ14" i="13"/>
  <c r="AR28" i="12"/>
  <c r="AL18" i="14"/>
  <c r="AT144" i="12" l="1"/>
  <c r="AZ15" i="13"/>
  <c r="AZ16" i="13" s="1"/>
  <c r="AZ19" i="13" s="1"/>
  <c r="AZ22" i="13" s="1"/>
  <c r="AR30" i="12"/>
  <c r="BA12" i="13"/>
  <c r="AM21" i="14"/>
  <c r="AU151" i="12" l="1"/>
  <c r="AO20" i="14" s="1"/>
  <c r="AT149" i="12"/>
  <c r="AT146" i="12" s="1"/>
  <c r="AT22" i="12" s="1"/>
  <c r="AH24" i="22"/>
  <c r="AH23" i="22" s="1"/>
  <c r="AT141" i="12"/>
  <c r="AM18" i="14"/>
  <c r="AR31" i="12"/>
  <c r="AU144" i="12" l="1"/>
  <c r="AU149" i="12" s="1"/>
  <c r="AU146" i="12" s="1"/>
  <c r="AU22" i="12" s="1"/>
  <c r="AI24" i="22"/>
  <c r="AI23" i="22" s="1"/>
  <c r="BB12" i="13"/>
  <c r="BB14" i="13" s="1"/>
  <c r="AT26" i="12"/>
  <c r="AN21" i="14"/>
  <c r="AU141" i="12" l="1"/>
  <c r="AU26" i="12"/>
  <c r="AU28" i="12" s="1"/>
  <c r="AO21" i="14"/>
  <c r="BC12" i="13"/>
  <c r="AV144" i="12"/>
  <c r="AV141" i="12" s="1"/>
  <c r="AT28" i="12"/>
  <c r="BB15" i="13" s="1"/>
  <c r="BB16" i="13" s="1"/>
  <c r="BB19" i="13" s="1"/>
  <c r="BB22" i="13" s="1"/>
  <c r="BC14" i="13"/>
  <c r="AO18" i="14"/>
  <c r="AW151" i="12" l="1"/>
  <c r="AQ20" i="14" s="1"/>
  <c r="AV149" i="12"/>
  <c r="AV146" i="12" s="1"/>
  <c r="AV22" i="12" s="1"/>
  <c r="AV26" i="12" s="1"/>
  <c r="AJ24" i="22"/>
  <c r="AJ23" i="22" s="1"/>
  <c r="AV151" i="12"/>
  <c r="AP20" i="14" s="1"/>
  <c r="AT30" i="12"/>
  <c r="AT31" i="12" s="1"/>
  <c r="AW144" i="12"/>
  <c r="BC15" i="13"/>
  <c r="AU30" i="12"/>
  <c r="BD12" i="13" l="1"/>
  <c r="BD14" i="13" s="1"/>
  <c r="AP21" i="14"/>
  <c r="AP18" i="14" s="1"/>
  <c r="AW149" i="12"/>
  <c r="AW146" i="12" s="1"/>
  <c r="AW22" i="12" s="1"/>
  <c r="AK24" i="22"/>
  <c r="AK23" i="22" s="1"/>
  <c r="AW141" i="12"/>
  <c r="AX151" i="12"/>
  <c r="AR20" i="14" s="1"/>
  <c r="AV28" i="12"/>
  <c r="BD15" i="13" s="1"/>
  <c r="AU31" i="12"/>
  <c r="BC16" i="13"/>
  <c r="BC19" i="13" s="1"/>
  <c r="BC22" i="13" s="1"/>
  <c r="BD16" i="13" l="1"/>
  <c r="BD19" i="13" s="1"/>
  <c r="BD22" i="13" s="1"/>
  <c r="AV30" i="12"/>
  <c r="AV31" i="12" s="1"/>
  <c r="AX144" i="12"/>
  <c r="BE12" i="13"/>
  <c r="BE14" i="13" s="1"/>
  <c r="AQ21" i="14"/>
  <c r="AQ18" i="14" s="1"/>
  <c r="AW26" i="12"/>
  <c r="AW28" i="12" l="1"/>
  <c r="BE15" i="13" s="1"/>
  <c r="BE16" i="13" s="1"/>
  <c r="BE19" i="13" s="1"/>
  <c r="BE22" i="13" s="1"/>
  <c r="AX149" i="12"/>
  <c r="AX146" i="12" s="1"/>
  <c r="AX22" i="12" s="1"/>
  <c r="AX141" i="12"/>
  <c r="AL24" i="22"/>
  <c r="AL23" i="22" s="1"/>
  <c r="AY144" i="12"/>
  <c r="AW30" i="12" l="1"/>
  <c r="AY149" i="12"/>
  <c r="AY146" i="12" s="1"/>
  <c r="AY22" i="12" s="1"/>
  <c r="AM24" i="22"/>
  <c r="AM23" i="22" s="1"/>
  <c r="AY141" i="12"/>
  <c r="BF12" i="13"/>
  <c r="BF14" i="13" s="1"/>
  <c r="AR21" i="14"/>
  <c r="AR18" i="14" s="1"/>
  <c r="AX26" i="12"/>
  <c r="AX28" i="12" s="1"/>
  <c r="AY151" i="12"/>
  <c r="AZ151" i="12"/>
  <c r="AT20" i="14" s="1"/>
  <c r="AW31" i="12" l="1"/>
  <c r="BG12" i="13"/>
  <c r="AY26" i="12"/>
  <c r="AS21" i="14"/>
  <c r="AZ144" i="12"/>
  <c r="AS20" i="14"/>
  <c r="AX30" i="12"/>
  <c r="BF15" i="13"/>
  <c r="BF16" i="13" s="1"/>
  <c r="BF19" i="13" s="1"/>
  <c r="BF22" i="13" s="1"/>
  <c r="AS18" i="14" l="1"/>
  <c r="AN24" i="22"/>
  <c r="AN23" i="22" s="1"/>
  <c r="AZ149" i="12"/>
  <c r="AZ146" i="12" s="1"/>
  <c r="AZ141" i="12"/>
  <c r="BA144" i="12"/>
  <c r="BB154" i="12" s="1"/>
  <c r="BC154" i="12" s="1"/>
  <c r="BD154" i="12" s="1"/>
  <c r="BE154" i="12" s="1"/>
  <c r="BF154" i="12" s="1"/>
  <c r="AY28" i="12"/>
  <c r="AY30" i="12" s="1"/>
  <c r="BG14" i="13"/>
  <c r="AX31" i="12"/>
  <c r="BA149" i="12" l="1"/>
  <c r="BA146" i="12" s="1"/>
  <c r="BA22" i="12" s="1"/>
  <c r="CR144" i="12"/>
  <c r="CR141" i="12" s="1"/>
  <c r="AO24" i="22"/>
  <c r="AO23" i="22" s="1"/>
  <c r="BA141" i="12"/>
  <c r="BB151" i="12"/>
  <c r="AV20" i="14" s="1"/>
  <c r="AZ22" i="12"/>
  <c r="CR146" i="12"/>
  <c r="AY31" i="12"/>
  <c r="BG15" i="13"/>
  <c r="BG16" i="13" s="1"/>
  <c r="BG19" i="13" s="1"/>
  <c r="BG22" i="13" s="1"/>
  <c r="BA151" i="12"/>
  <c r="CR154" i="12"/>
  <c r="AU20" i="14" l="1"/>
  <c r="CL20" i="14" s="1"/>
  <c r="CR151" i="12"/>
  <c r="AZ26" i="12"/>
  <c r="AT21" i="14"/>
  <c r="BH12" i="13"/>
  <c r="BB144" i="12"/>
  <c r="CR22" i="12"/>
  <c r="AU21" i="14"/>
  <c r="BA26" i="12"/>
  <c r="BI12" i="13"/>
  <c r="BI14" i="13" s="1"/>
  <c r="BA28" i="12" l="1"/>
  <c r="BI15" i="13" s="1"/>
  <c r="BI16" i="13" s="1"/>
  <c r="BI19" i="13" s="1"/>
  <c r="BI22" i="13" s="1"/>
  <c r="AT18" i="14"/>
  <c r="CL21" i="14"/>
  <c r="BH14" i="13"/>
  <c r="G12" i="13"/>
  <c r="AZ28" i="12"/>
  <c r="BB141" i="12"/>
  <c r="AP24" i="22"/>
  <c r="AP23" i="22" s="1"/>
  <c r="BB149" i="12"/>
  <c r="BB146" i="12" s="1"/>
  <c r="BB22" i="12" s="1"/>
  <c r="BC151" i="12"/>
  <c r="AW20" i="14" s="1"/>
  <c r="BG151" i="12"/>
  <c r="BH151" i="12"/>
  <c r="BB20" i="14" s="1"/>
  <c r="BC144" i="12" l="1"/>
  <c r="BA30" i="12"/>
  <c r="BA31" i="12" s="1"/>
  <c r="AQ24" i="22"/>
  <c r="AQ23" i="22" s="1"/>
  <c r="BC141" i="12"/>
  <c r="BC149" i="12"/>
  <c r="BC146" i="12" s="1"/>
  <c r="BC22" i="12" s="1"/>
  <c r="AV21" i="14"/>
  <c r="AV18" i="14" s="1"/>
  <c r="BJ12" i="13"/>
  <c r="BH15" i="13"/>
  <c r="BH16" i="13" s="1"/>
  <c r="BH19" i="13" s="1"/>
  <c r="BH22" i="13" s="1"/>
  <c r="BD151" i="12"/>
  <c r="AX20" i="14" s="1"/>
  <c r="AZ30" i="12"/>
  <c r="BI151" i="12"/>
  <c r="BC20" i="14" s="1"/>
  <c r="BA20" i="14"/>
  <c r="BK12" i="13" l="1"/>
  <c r="AW21" i="14"/>
  <c r="AW18" i="14" s="1"/>
  <c r="BD144" i="12"/>
  <c r="AZ31" i="12"/>
  <c r="BD149" i="12" l="1"/>
  <c r="BD146" i="12" s="1"/>
  <c r="BD22" i="12" s="1"/>
  <c r="AR24" i="22"/>
  <c r="AR23" i="22" s="1"/>
  <c r="BD141" i="12"/>
  <c r="BE151" i="12"/>
  <c r="AY20" i="14" s="1"/>
  <c r="BK151" i="12"/>
  <c r="BE20" i="14" s="1"/>
  <c r="BJ151" i="12"/>
  <c r="AX21" i="14" l="1"/>
  <c r="AX18" i="14" s="1"/>
  <c r="BL12" i="13"/>
  <c r="BE144" i="12"/>
  <c r="BD20" i="14"/>
  <c r="BL151" i="12"/>
  <c r="BF20" i="14" s="1"/>
  <c r="BF151" i="12" l="1"/>
  <c r="AZ20" i="14" s="1"/>
  <c r="AS24" i="22"/>
  <c r="AS23" i="22" s="1"/>
  <c r="BE149" i="12"/>
  <c r="BE146" i="12" s="1"/>
  <c r="BE22" i="12" s="1"/>
  <c r="BE141" i="12"/>
  <c r="BM151" i="12"/>
  <c r="BG20" i="14" s="1"/>
  <c r="CS151" i="12" l="1"/>
  <c r="BF144" i="12"/>
  <c r="BG144" i="12" s="1"/>
  <c r="BM12" i="13"/>
  <c r="AY21" i="14"/>
  <c r="AY18" i="14" s="1"/>
  <c r="BF141" i="12" l="1"/>
  <c r="BF149" i="12"/>
  <c r="BF146" i="12" s="1"/>
  <c r="BF22" i="12" s="1"/>
  <c r="AZ21" i="14" s="1"/>
  <c r="AT24" i="22"/>
  <c r="AT23" i="22" s="1"/>
  <c r="BG141" i="12"/>
  <c r="BG149" i="12"/>
  <c r="BG146" i="12" s="1"/>
  <c r="BG22" i="12" s="1"/>
  <c r="AU24" i="22"/>
  <c r="AU23" i="22" s="1"/>
  <c r="BH144" i="12"/>
  <c r="BN12" i="13"/>
  <c r="BO151" i="12"/>
  <c r="BI20" i="14" s="1"/>
  <c r="BN151" i="12"/>
  <c r="BH149" i="12" l="1"/>
  <c r="BH146" i="12" s="1"/>
  <c r="BH22" i="12" s="1"/>
  <c r="BI144" i="12"/>
  <c r="AV24" i="22"/>
  <c r="AV23" i="22" s="1"/>
  <c r="BH141" i="12"/>
  <c r="BO12" i="13"/>
  <c r="BA21" i="14"/>
  <c r="BA18" i="14" s="1"/>
  <c r="BH20" i="14"/>
  <c r="BB21" i="14" l="1"/>
  <c r="BP12" i="13"/>
  <c r="BI141" i="12"/>
  <c r="BI149" i="12"/>
  <c r="BI146" i="12" s="1"/>
  <c r="BI22" i="12" s="1"/>
  <c r="BJ144" i="12"/>
  <c r="AW24" i="22"/>
  <c r="AW23" i="22" s="1"/>
  <c r="BQ151" i="12"/>
  <c r="BK20" i="14" s="1"/>
  <c r="BP151" i="12"/>
  <c r="BJ141" i="12" l="1"/>
  <c r="BK144" i="12"/>
  <c r="AX24" i="22"/>
  <c r="AX23" i="22" s="1"/>
  <c r="BJ149" i="12"/>
  <c r="BJ146" i="12" s="1"/>
  <c r="BJ22" i="12" s="1"/>
  <c r="BC21" i="14"/>
  <c r="BC18" i="14" s="1"/>
  <c r="BQ12" i="13"/>
  <c r="BB18" i="14"/>
  <c r="BJ20" i="14"/>
  <c r="BR12" i="13" l="1"/>
  <c r="BD21" i="14"/>
  <c r="BK141" i="12"/>
  <c r="BK149" i="12"/>
  <c r="BK146" i="12" s="1"/>
  <c r="BK22" i="12" s="1"/>
  <c r="BL144" i="12"/>
  <c r="AY24" i="22"/>
  <c r="AY23" i="22" s="1"/>
  <c r="BD18" i="14" l="1"/>
  <c r="BS12" i="13"/>
  <c r="BE21" i="14"/>
  <c r="BE18" i="14" s="1"/>
  <c r="AZ24" i="22"/>
  <c r="AZ23" i="22" s="1"/>
  <c r="BL141" i="12"/>
  <c r="BM144" i="12"/>
  <c r="BL149" i="12"/>
  <c r="BL146" i="12" s="1"/>
  <c r="BL22" i="12" s="1"/>
  <c r="BR151" i="12"/>
  <c r="BL20" i="14" s="1"/>
  <c r="BS151" i="12"/>
  <c r="BM20" i="14" s="1"/>
  <c r="CU144" i="12" l="1"/>
  <c r="CU141" i="12" s="1"/>
  <c r="CT144" i="12"/>
  <c r="CT141" i="12" s="1"/>
  <c r="BF21" i="14"/>
  <c r="BT12" i="13"/>
  <c r="BM141" i="12"/>
  <c r="BN144" i="12"/>
  <c r="BA24" i="22"/>
  <c r="BA23" i="22" s="1"/>
  <c r="BM149" i="12"/>
  <c r="BM146" i="12" s="1"/>
  <c r="BM22" i="12" s="1"/>
  <c r="CS144" i="12"/>
  <c r="CS141" i="12" s="1"/>
  <c r="BT151" i="12"/>
  <c r="BN20" i="14" s="1"/>
  <c r="BU12" i="13" l="1"/>
  <c r="BG21" i="14"/>
  <c r="CS22" i="12"/>
  <c r="BN141" i="12"/>
  <c r="BO144" i="12"/>
  <c r="BB24" i="22"/>
  <c r="BB23" i="22" s="1"/>
  <c r="BN149" i="12"/>
  <c r="BF18" i="14"/>
  <c r="CM21" i="14"/>
  <c r="BU151" i="12"/>
  <c r="BO20" i="14" s="1"/>
  <c r="BN146" i="12" l="1"/>
  <c r="BP144" i="12"/>
  <c r="BO141" i="12"/>
  <c r="BO149" i="12"/>
  <c r="BO146" i="12" s="1"/>
  <c r="BO22" i="12" s="1"/>
  <c r="BC24" i="22"/>
  <c r="BC23" i="22" s="1"/>
  <c r="H12" i="13"/>
  <c r="BV151" i="12"/>
  <c r="BP20" i="14" s="1"/>
  <c r="BN22" i="12" l="1"/>
  <c r="BP149" i="12"/>
  <c r="BP146" i="12" s="1"/>
  <c r="BP22" i="12" s="1"/>
  <c r="BP141" i="12"/>
  <c r="BD24" i="22"/>
  <c r="BD23" i="22" s="1"/>
  <c r="BQ144" i="12"/>
  <c r="BI21" i="14"/>
  <c r="BI18" i="14" s="1"/>
  <c r="BW12" i="13"/>
  <c r="BW151" i="12"/>
  <c r="BQ20" i="14" s="1"/>
  <c r="BV12" i="13" l="1"/>
  <c r="BH21" i="14"/>
  <c r="BH18" i="14" s="1"/>
  <c r="BE24" i="22"/>
  <c r="BE23" i="22" s="1"/>
  <c r="BQ149" i="12"/>
  <c r="BQ146" i="12" s="1"/>
  <c r="BR144" i="12"/>
  <c r="BQ141" i="12"/>
  <c r="BJ21" i="14"/>
  <c r="BJ18" i="14" s="1"/>
  <c r="BX12" i="13"/>
  <c r="BX151" i="12"/>
  <c r="BR20" i="14" s="1"/>
  <c r="CR149" i="12"/>
  <c r="CS149" i="12"/>
  <c r="CT151" i="12" l="1"/>
  <c r="BQ22" i="12"/>
  <c r="BK21" i="14" s="1"/>
  <c r="BK18" i="14" s="1"/>
  <c r="BY12" i="13"/>
  <c r="BR141" i="12"/>
  <c r="BS144" i="12"/>
  <c r="BF24" i="22"/>
  <c r="BF23" i="22" s="1"/>
  <c r="BR149" i="12"/>
  <c r="CS146" i="12"/>
  <c r="BR146" i="12" l="1"/>
  <c r="BT144" i="12"/>
  <c r="BS149" i="12"/>
  <c r="BS146" i="12" s="1"/>
  <c r="BS22" i="12" s="1"/>
  <c r="BM21" i="14" s="1"/>
  <c r="BM18" i="14" s="1"/>
  <c r="BG24" i="22"/>
  <c r="BG23" i="22" s="1"/>
  <c r="BS141" i="12"/>
  <c r="CS154" i="12"/>
  <c r="BR22" i="12" l="1"/>
  <c r="BL21" i="14" s="1"/>
  <c r="CA12" i="13"/>
  <c r="BT141" i="12"/>
  <c r="BT149" i="12"/>
  <c r="BT146" i="12" s="1"/>
  <c r="BT22" i="12" s="1"/>
  <c r="BN21" i="14" s="1"/>
  <c r="BN18" i="14" s="1"/>
  <c r="BU144" i="12"/>
  <c r="BH24" i="22"/>
  <c r="BH23" i="22" s="1"/>
  <c r="BZ12" i="13" l="1"/>
  <c r="CB12" i="13"/>
  <c r="BI24" i="22"/>
  <c r="BI23" i="22" s="1"/>
  <c r="BU149" i="12"/>
  <c r="BU146" i="12" s="1"/>
  <c r="BV144" i="12"/>
  <c r="BU141" i="12"/>
  <c r="CM20" i="14"/>
  <c r="CN20" i="14"/>
  <c r="BV149" i="12" l="1"/>
  <c r="BW144" i="12"/>
  <c r="BJ24" i="22"/>
  <c r="BJ23" i="22" s="1"/>
  <c r="BV141" i="12"/>
  <c r="BU22" i="12"/>
  <c r="BO21" i="14" s="1"/>
  <c r="BO18" i="14" s="1"/>
  <c r="BK24" i="22" l="1"/>
  <c r="BK23" i="22" s="1"/>
  <c r="BW141" i="12"/>
  <c r="BX144" i="12"/>
  <c r="BY144" i="12" s="1"/>
  <c r="BM24" i="22" s="1"/>
  <c r="BM23" i="22" s="1"/>
  <c r="BW149" i="12"/>
  <c r="BW146" i="12" s="1"/>
  <c r="BW22" i="12" s="1"/>
  <c r="BQ21" i="14" s="1"/>
  <c r="BQ18" i="14" s="1"/>
  <c r="BV146" i="12"/>
  <c r="CC12" i="13"/>
  <c r="BY149" i="12" l="1"/>
  <c r="BY146" i="12" s="1"/>
  <c r="BY22" i="12" s="1"/>
  <c r="BZ144" i="12"/>
  <c r="BN24" i="22" s="1"/>
  <c r="BN23" i="22" s="1"/>
  <c r="BY141" i="12"/>
  <c r="BX141" i="12"/>
  <c r="BX149" i="12"/>
  <c r="BL24" i="22"/>
  <c r="BL23" i="22" s="1"/>
  <c r="BV22" i="12"/>
  <c r="BP21" i="14" s="1"/>
  <c r="BP18" i="14" s="1"/>
  <c r="CE12" i="13"/>
  <c r="BS21" i="14" l="1"/>
  <c r="CG12" i="13"/>
  <c r="CA144" i="12"/>
  <c r="BO24" i="22" s="1"/>
  <c r="BO23" i="22" s="1"/>
  <c r="BZ149" i="12"/>
  <c r="BZ141" i="12"/>
  <c r="CD12" i="13"/>
  <c r="BX146" i="12"/>
  <c r="BZ146" i="12" l="1"/>
  <c r="CA149" i="12"/>
  <c r="CA146" i="12" s="1"/>
  <c r="CA22" i="12" s="1"/>
  <c r="CB144" i="12"/>
  <c r="BP24" i="22" s="1"/>
  <c r="BP23" i="22" s="1"/>
  <c r="CA141" i="12"/>
  <c r="BX22" i="12"/>
  <c r="BR21" i="14" s="1"/>
  <c r="BR18" i="14" s="1"/>
  <c r="CI12" i="13" l="1"/>
  <c r="BU21" i="14"/>
  <c r="BU18" i="14" s="1"/>
  <c r="BZ22" i="12"/>
  <c r="CC144" i="12"/>
  <c r="BQ24" i="22" s="1"/>
  <c r="BQ23" i="22" s="1"/>
  <c r="CB149" i="12"/>
  <c r="CB141" i="12"/>
  <c r="CF12" i="13"/>
  <c r="BT21" i="14" l="1"/>
  <c r="BT18" i="14" s="1"/>
  <c r="CH12" i="13"/>
  <c r="CB146" i="12"/>
  <c r="CD144" i="12"/>
  <c r="BR24" i="22" s="1"/>
  <c r="BR23" i="22" s="1"/>
  <c r="CC149" i="12"/>
  <c r="CC146" i="12" s="1"/>
  <c r="CC22" i="12" s="1"/>
  <c r="CC141" i="12"/>
  <c r="CN21" i="14"/>
  <c r="BW21" i="14" l="1"/>
  <c r="BW18" i="14" s="1"/>
  <c r="CK12" i="13"/>
  <c r="CB22" i="12"/>
  <c r="CD149" i="12"/>
  <c r="CD146" i="12" s="1"/>
  <c r="CD22" i="12" s="1"/>
  <c r="CE144" i="12"/>
  <c r="BS24" i="22" s="1"/>
  <c r="BS23" i="22" s="1"/>
  <c r="CD141" i="12"/>
  <c r="CJ12" i="13" l="1"/>
  <c r="BV21" i="14"/>
  <c r="BV18" i="14" s="1"/>
  <c r="BX21" i="14"/>
  <c r="CL12" i="13"/>
  <c r="CF144" i="12"/>
  <c r="BT24" i="22" s="1"/>
  <c r="BT23" i="22" s="1"/>
  <c r="CE149" i="12"/>
  <c r="CE146" i="12" s="1"/>
  <c r="CE141" i="12"/>
  <c r="AG56" i="1"/>
  <c r="CE22" i="12" l="1"/>
  <c r="CG144" i="12"/>
  <c r="BU24" i="22" s="1"/>
  <c r="BU23" i="22" s="1"/>
  <c r="CF149" i="12"/>
  <c r="CF146" i="12" s="1"/>
  <c r="CF22" i="12" s="1"/>
  <c r="CF141" i="12"/>
  <c r="AG64" i="1"/>
  <c r="CQ56" i="1"/>
  <c r="CQ57" i="1" s="1"/>
  <c r="AG42" i="1"/>
  <c r="AS56" i="1"/>
  <c r="CN12" i="13" l="1"/>
  <c r="BZ21" i="14"/>
  <c r="BZ18" i="14" s="1"/>
  <c r="CM12" i="13"/>
  <c r="BY21" i="14"/>
  <c r="BY18" i="14" s="1"/>
  <c r="CH144" i="12"/>
  <c r="BV24" i="22" s="1"/>
  <c r="BV23" i="22" s="1"/>
  <c r="CG149" i="12"/>
  <c r="CG146" i="12" s="1"/>
  <c r="CG22" i="12" s="1"/>
  <c r="CG141" i="12"/>
  <c r="CR56" i="1"/>
  <c r="CR57" i="1" s="1"/>
  <c r="AS64" i="1"/>
  <c r="BE56" i="1"/>
  <c r="AS42" i="1"/>
  <c r="CQ42" i="1"/>
  <c r="AG70" i="1"/>
  <c r="AG45" i="12"/>
  <c r="AG47" i="1"/>
  <c r="AG82" i="1" s="1"/>
  <c r="AG65" i="1"/>
  <c r="CQ65" i="1" s="1"/>
  <c r="CQ64" i="1"/>
  <c r="CO12" i="13" l="1"/>
  <c r="CA21" i="14"/>
  <c r="CA18" i="14" s="1"/>
  <c r="CI144" i="12"/>
  <c r="BW24" i="22" s="1"/>
  <c r="BW23" i="22" s="1"/>
  <c r="CH149" i="12"/>
  <c r="CH146" i="12" s="1"/>
  <c r="CH22" i="12" s="1"/>
  <c r="CH141" i="12"/>
  <c r="AG71" i="1"/>
  <c r="CQ71" i="1" s="1"/>
  <c r="AG90" i="1"/>
  <c r="CQ90" i="1" s="1"/>
  <c r="AG87" i="1"/>
  <c r="CQ87" i="1" s="1"/>
  <c r="AG91" i="1"/>
  <c r="CQ91" i="1" s="1"/>
  <c r="AG88" i="1"/>
  <c r="AG104" i="1"/>
  <c r="AG4" i="1"/>
  <c r="AG106" i="1"/>
  <c r="AG79" i="1"/>
  <c r="CQ47" i="1"/>
  <c r="CQ48" i="1" s="1"/>
  <c r="AG108" i="1"/>
  <c r="AG86" i="1"/>
  <c r="CQ70" i="1"/>
  <c r="CQ43" i="1"/>
  <c r="CR42" i="1"/>
  <c r="CR43" i="1" s="1"/>
  <c r="AS70" i="1"/>
  <c r="AS45" i="12"/>
  <c r="AS47" i="1"/>
  <c r="CS56" i="1"/>
  <c r="CS57" i="1" s="1"/>
  <c r="BE42" i="1"/>
  <c r="BQ56" i="1"/>
  <c r="CR64" i="1"/>
  <c r="AS65" i="1"/>
  <c r="CR65" i="1" s="1"/>
  <c r="CQ45" i="12"/>
  <c r="AG44" i="12"/>
  <c r="AG69" i="1" l="1"/>
  <c r="CC56" i="1"/>
  <c r="CU56" i="1" s="1"/>
  <c r="CT56" i="1"/>
  <c r="CP12" i="13"/>
  <c r="CB21" i="14"/>
  <c r="CB18" i="14" s="1"/>
  <c r="CI149" i="12"/>
  <c r="CI146" i="12" s="1"/>
  <c r="CI22" i="12" s="1"/>
  <c r="CJ144" i="12"/>
  <c r="BX24" i="22" s="1"/>
  <c r="BX23" i="22" s="1"/>
  <c r="CI141" i="12"/>
  <c r="CC42" i="1"/>
  <c r="CQ4" i="1"/>
  <c r="CQ44" i="12"/>
  <c r="AG48" i="12"/>
  <c r="CQ88" i="1"/>
  <c r="AG12" i="1"/>
  <c r="CQ12" i="1" s="1"/>
  <c r="CQ106" i="1"/>
  <c r="AG94" i="12"/>
  <c r="AG5" i="1"/>
  <c r="CQ5" i="1" s="1"/>
  <c r="CQ69" i="1"/>
  <c r="AG54" i="12"/>
  <c r="CQ82" i="1"/>
  <c r="AG81" i="1"/>
  <c r="CR45" i="12"/>
  <c r="AS44" i="12"/>
  <c r="CR70" i="1"/>
  <c r="CQ104" i="1"/>
  <c r="AG109" i="1"/>
  <c r="CQ109" i="1" s="1"/>
  <c r="AG89" i="12"/>
  <c r="CQ79" i="1"/>
  <c r="AG74" i="1"/>
  <c r="BQ42" i="1"/>
  <c r="CT42" i="1" s="1"/>
  <c r="CQ86" i="1"/>
  <c r="AG85" i="1"/>
  <c r="AS104" i="1"/>
  <c r="AS82" i="1"/>
  <c r="AS88" i="1"/>
  <c r="CR88" i="1" s="1"/>
  <c r="AS108" i="1"/>
  <c r="AS91" i="1"/>
  <c r="CR91" i="1" s="1"/>
  <c r="AS90" i="1"/>
  <c r="CR90" i="1" s="1"/>
  <c r="AS87" i="1"/>
  <c r="CR87" i="1" s="1"/>
  <c r="CR47" i="1"/>
  <c r="CR48" i="1" s="1"/>
  <c r="AS71" i="1"/>
  <c r="CR71" i="1" s="1"/>
  <c r="AS106" i="1"/>
  <c r="AS86" i="1"/>
  <c r="AS79" i="1"/>
  <c r="AS4" i="1"/>
  <c r="CS42" i="1"/>
  <c r="CS43" i="1" s="1"/>
  <c r="BE70" i="1"/>
  <c r="BE45" i="12"/>
  <c r="AG97" i="12"/>
  <c r="CQ108" i="1"/>
  <c r="CT43" i="1" l="1"/>
  <c r="CC45" i="12"/>
  <c r="CU42" i="1"/>
  <c r="CU43" i="1" s="1"/>
  <c r="CU57" i="1"/>
  <c r="CT57" i="1"/>
  <c r="CC21" i="14"/>
  <c r="CC18" i="14" s="1"/>
  <c r="CQ12" i="13"/>
  <c r="CK144" i="12"/>
  <c r="BY24" i="22" s="1"/>
  <c r="BY23" i="22" s="1"/>
  <c r="CJ149" i="12"/>
  <c r="CJ146" i="12" s="1"/>
  <c r="CJ22" i="12" s="1"/>
  <c r="CJ141" i="12"/>
  <c r="CC70" i="1"/>
  <c r="CU70" i="1" s="1"/>
  <c r="AS69" i="1"/>
  <c r="AS5" i="1" s="1"/>
  <c r="CR5" i="1" s="1"/>
  <c r="AS94" i="12"/>
  <c r="AS12" i="1"/>
  <c r="CR12" i="1" s="1"/>
  <c r="CR106" i="1"/>
  <c r="BQ70" i="1"/>
  <c r="CT70" i="1" s="1"/>
  <c r="BQ45" i="12"/>
  <c r="CT45" i="12" s="1"/>
  <c r="CR4" i="1"/>
  <c r="CR79" i="1"/>
  <c r="AS74" i="1"/>
  <c r="AS109" i="1"/>
  <c r="CR109" i="1" s="1"/>
  <c r="AS89" i="12"/>
  <c r="CR104" i="1"/>
  <c r="CR86" i="1"/>
  <c r="AS85" i="1"/>
  <c r="CQ94" i="12"/>
  <c r="AG93" i="12"/>
  <c r="CR44" i="12"/>
  <c r="AS48" i="12"/>
  <c r="H12" i="24"/>
  <c r="AG10" i="1"/>
  <c r="CQ10" i="1" s="1"/>
  <c r="CQ85" i="1"/>
  <c r="AG64" i="12"/>
  <c r="AG61" i="12"/>
  <c r="CQ81" i="1"/>
  <c r="CR82" i="1"/>
  <c r="AS81" i="1"/>
  <c r="U43" i="21"/>
  <c r="AG115" i="12"/>
  <c r="AG73" i="1"/>
  <c r="CQ74" i="1"/>
  <c r="AG11" i="1"/>
  <c r="CQ11" i="1" s="1"/>
  <c r="AG58" i="12"/>
  <c r="CQ54" i="12"/>
  <c r="AG6" i="12"/>
  <c r="AG53" i="12"/>
  <c r="CQ48" i="12"/>
  <c r="CS70" i="1"/>
  <c r="CR108" i="1"/>
  <c r="AS97" i="12"/>
  <c r="CQ7" i="1"/>
  <c r="AG96" i="12"/>
  <c r="CQ96" i="12" s="1"/>
  <c r="CQ97" i="12"/>
  <c r="CS45" i="12"/>
  <c r="BE44" i="12"/>
  <c r="CQ89" i="12"/>
  <c r="AG7" i="1"/>
  <c r="AS54" i="12" l="1"/>
  <c r="CR69" i="1"/>
  <c r="CC44" i="12"/>
  <c r="CU44" i="12" s="1"/>
  <c r="CU45" i="12"/>
  <c r="CV45" i="12" s="1"/>
  <c r="CR12" i="13"/>
  <c r="CD21" i="14"/>
  <c r="CD18" i="14" s="1"/>
  <c r="CK149" i="12"/>
  <c r="CK141" i="12"/>
  <c r="AS7" i="1"/>
  <c r="AS8" i="1" s="1"/>
  <c r="CR7" i="1"/>
  <c r="CR8" i="1" s="1"/>
  <c r="CR81" i="1"/>
  <c r="AS61" i="12"/>
  <c r="AS73" i="1"/>
  <c r="AS58" i="12"/>
  <c r="CR74" i="1"/>
  <c r="AS11" i="1"/>
  <c r="CR11" i="1" s="1"/>
  <c r="CR48" i="12"/>
  <c r="CZ44" i="12" s="1"/>
  <c r="BQ44" i="12"/>
  <c r="CT44" i="12" s="1"/>
  <c r="CY48" i="12"/>
  <c r="CY42" i="12"/>
  <c r="CY46" i="12"/>
  <c r="CY41" i="12"/>
  <c r="CY47" i="12"/>
  <c r="CY43" i="12"/>
  <c r="CY45" i="12"/>
  <c r="AG60" i="12"/>
  <c r="CQ60" i="12" s="1"/>
  <c r="CQ61" i="12"/>
  <c r="CQ8" i="1"/>
  <c r="CQ14" i="1"/>
  <c r="CQ18" i="1" s="1"/>
  <c r="CQ25" i="1" s="1"/>
  <c r="CQ58" i="12"/>
  <c r="AG57" i="12"/>
  <c r="AG13" i="12"/>
  <c r="CQ93" i="12"/>
  <c r="AO5" i="13"/>
  <c r="F5" i="13" s="1"/>
  <c r="CQ6" i="12"/>
  <c r="AS10" i="1"/>
  <c r="CR10" i="1" s="1"/>
  <c r="CR85" i="1"/>
  <c r="AS64" i="12"/>
  <c r="AG43" i="21"/>
  <c r="AS115" i="12"/>
  <c r="CQ53" i="12"/>
  <c r="Z6" i="14"/>
  <c r="T11" i="21" s="1"/>
  <c r="U11" i="21" s="1"/>
  <c r="V11" i="21" s="1"/>
  <c r="W11" i="21" s="1"/>
  <c r="X11" i="21" s="1"/>
  <c r="Y11" i="21" s="1"/>
  <c r="AG14" i="1"/>
  <c r="AG18" i="1" s="1"/>
  <c r="AG25" i="1" s="1"/>
  <c r="AG8" i="1"/>
  <c r="AG100" i="12"/>
  <c r="CQ73" i="1"/>
  <c r="AG98" i="1"/>
  <c r="V41" i="21"/>
  <c r="V38" i="21" s="1"/>
  <c r="AB5" i="14" s="1"/>
  <c r="CR89" i="12"/>
  <c r="CR94" i="12"/>
  <c r="AS93" i="12"/>
  <c r="AS53" i="12"/>
  <c r="AS6" i="12"/>
  <c r="CR54" i="12"/>
  <c r="CR97" i="12"/>
  <c r="AS96" i="12"/>
  <c r="CR96" i="12" s="1"/>
  <c r="CQ64" i="12"/>
  <c r="AG63" i="12"/>
  <c r="CS44" i="12"/>
  <c r="CY44" i="12"/>
  <c r="AG4" i="12"/>
  <c r="Z11" i="21" l="1"/>
  <c r="L10" i="24"/>
  <c r="CK146" i="12"/>
  <c r="CT149" i="12"/>
  <c r="CU149" i="12"/>
  <c r="AS14" i="1"/>
  <c r="AS18" i="1" s="1"/>
  <c r="AS25" i="1" s="1"/>
  <c r="AS27" i="1" s="1"/>
  <c r="CR27" i="1" s="1"/>
  <c r="CR14" i="1"/>
  <c r="CR18" i="1" s="1"/>
  <c r="CR25" i="1" s="1"/>
  <c r="U39" i="21"/>
  <c r="U38" i="21" s="1"/>
  <c r="AA5" i="14" s="1"/>
  <c r="CK5" i="14" s="1"/>
  <c r="CR93" i="12"/>
  <c r="AS13" i="12"/>
  <c r="CQ100" i="12"/>
  <c r="AA7" i="14"/>
  <c r="CZ43" i="12"/>
  <c r="CZ46" i="12"/>
  <c r="CZ42" i="12"/>
  <c r="CZ47" i="12"/>
  <c r="CZ48" i="12"/>
  <c r="CZ41" i="12"/>
  <c r="CZ45" i="12"/>
  <c r="AO8" i="13"/>
  <c r="F8" i="13" s="1"/>
  <c r="CQ13" i="12"/>
  <c r="BA5" i="13"/>
  <c r="G5" i="13" s="1"/>
  <c r="CR6" i="12"/>
  <c r="AG12" i="12"/>
  <c r="CQ12" i="12" s="1"/>
  <c r="CQ57" i="12"/>
  <c r="AG56" i="12"/>
  <c r="CR58" i="12"/>
  <c r="AS57" i="12"/>
  <c r="AG27" i="1"/>
  <c r="CQ27" i="1" s="1"/>
  <c r="CQ29" i="1" s="1"/>
  <c r="CQ30" i="1" s="1"/>
  <c r="CR64" i="12"/>
  <c r="AS63" i="12"/>
  <c r="CQ98" i="1"/>
  <c r="AG120" i="1"/>
  <c r="CR73" i="1"/>
  <c r="AS98" i="1"/>
  <c r="CQ63" i="12"/>
  <c r="AG11" i="12"/>
  <c r="AS100" i="12"/>
  <c r="AL6" i="14"/>
  <c r="CR53" i="12"/>
  <c r="AS4" i="12"/>
  <c r="AG8" i="12"/>
  <c r="CQ4" i="12"/>
  <c r="AO4" i="13"/>
  <c r="AH41" i="21"/>
  <c r="AH38" i="21" s="1"/>
  <c r="AN5" i="14" s="1"/>
  <c r="CK6" i="14"/>
  <c r="Z4" i="14"/>
  <c r="Z31" i="14" s="1"/>
  <c r="CR61" i="12"/>
  <c r="AS60" i="12"/>
  <c r="CR60" i="12" s="1"/>
  <c r="AA11" i="21" l="1"/>
  <c r="M10" i="24"/>
  <c r="CK22" i="12"/>
  <c r="CT146" i="12"/>
  <c r="CU146" i="12"/>
  <c r="U36" i="21"/>
  <c r="U7" i="21" s="1"/>
  <c r="CR29" i="1"/>
  <c r="CR30" i="1" s="1"/>
  <c r="F4" i="13"/>
  <c r="AO6" i="13"/>
  <c r="CQ56" i="12"/>
  <c r="U56" i="21"/>
  <c r="AG82" i="12"/>
  <c r="AG116" i="12" s="1"/>
  <c r="CQ5" i="12"/>
  <c r="CQ8" i="12"/>
  <c r="AA9" i="14"/>
  <c r="CK9" i="14" s="1"/>
  <c r="CK7" i="14"/>
  <c r="BA8" i="13"/>
  <c r="G8" i="13" s="1"/>
  <c r="CR13" i="12"/>
  <c r="CR57" i="12"/>
  <c r="AS56" i="12"/>
  <c r="AS12" i="12"/>
  <c r="CR12" i="12" s="1"/>
  <c r="AG15" i="12"/>
  <c r="AG9" i="12"/>
  <c r="AS29" i="1"/>
  <c r="AS30" i="1" s="1"/>
  <c r="CR63" i="12"/>
  <c r="AS11" i="12"/>
  <c r="CR98" i="1"/>
  <c r="AS120" i="1"/>
  <c r="T5" i="21"/>
  <c r="T12" i="21"/>
  <c r="T14" i="22"/>
  <c r="AM7" i="14"/>
  <c r="CR100" i="12"/>
  <c r="CV44" i="12"/>
  <c r="AG39" i="21"/>
  <c r="AG38" i="21" s="1"/>
  <c r="AM5" i="14" s="1"/>
  <c r="CR4" i="12"/>
  <c r="AS8" i="12"/>
  <c r="BA4" i="13"/>
  <c r="Z34" i="14"/>
  <c r="CQ11" i="12"/>
  <c r="AO7" i="13"/>
  <c r="F7" i="13" s="1"/>
  <c r="AG29" i="1"/>
  <c r="AG30" i="1" s="1"/>
  <c r="AB11" i="21" l="1"/>
  <c r="N10" i="24"/>
  <c r="N12" i="24" s="1"/>
  <c r="CE21" i="14"/>
  <c r="CS12" i="13"/>
  <c r="V36" i="21"/>
  <c r="V7" i="21" s="1"/>
  <c r="CT22" i="12"/>
  <c r="CU22" i="12"/>
  <c r="AA33" i="14"/>
  <c r="T11" i="22"/>
  <c r="AS9" i="12"/>
  <c r="AS15" i="12"/>
  <c r="CY55" i="12"/>
  <c r="CQ9" i="12"/>
  <c r="CQ15" i="12"/>
  <c r="CY54" i="12"/>
  <c r="AG16" i="12"/>
  <c r="AG20" i="12"/>
  <c r="AG26" i="12" s="1"/>
  <c r="AM9" i="14"/>
  <c r="CL9" i="14" s="1"/>
  <c r="CL7" i="14"/>
  <c r="BA7" i="13"/>
  <c r="G7" i="13" s="1"/>
  <c r="CR11" i="12"/>
  <c r="AO9" i="13"/>
  <c r="AO11" i="13" s="1"/>
  <c r="AO14" i="13" s="1"/>
  <c r="CR5" i="12"/>
  <c r="CR8" i="12"/>
  <c r="U12" i="21"/>
  <c r="U13" i="21" s="1"/>
  <c r="U14" i="22"/>
  <c r="K12" i="24"/>
  <c r="CR56" i="12"/>
  <c r="AG56" i="21"/>
  <c r="AS82" i="12"/>
  <c r="AS116" i="12" s="1"/>
  <c r="F6" i="13"/>
  <c r="BA6" i="13"/>
  <c r="G4" i="13"/>
  <c r="D27" i="15" s="1"/>
  <c r="U8" i="21"/>
  <c r="U13" i="22"/>
  <c r="U5" i="21"/>
  <c r="T13" i="21"/>
  <c r="CL5" i="14"/>
  <c r="T21" i="21"/>
  <c r="T25" i="21" s="1"/>
  <c r="CQ82" i="12"/>
  <c r="AG118" i="12"/>
  <c r="AG119" i="12" s="1"/>
  <c r="V54" i="21"/>
  <c r="V51" i="21" s="1"/>
  <c r="AB8" i="14" s="1"/>
  <c r="AC11" i="21" l="1"/>
  <c r="AD11" i="21" s="1"/>
  <c r="AE11" i="21" s="1"/>
  <c r="AF11" i="21" s="1"/>
  <c r="AG11" i="21" s="1"/>
  <c r="AH11" i="21" s="1"/>
  <c r="AI11" i="21" s="1"/>
  <c r="AJ11" i="21" s="1"/>
  <c r="AK11" i="21" s="1"/>
  <c r="AL11" i="21" s="1"/>
  <c r="AM11" i="21" s="1"/>
  <c r="AN11" i="21" s="1"/>
  <c r="O10" i="24"/>
  <c r="O12" i="24" s="1"/>
  <c r="Q10" i="24"/>
  <c r="W36" i="21"/>
  <c r="W7" i="21" s="1"/>
  <c r="I12" i="13"/>
  <c r="J12" i="13"/>
  <c r="U52" i="21"/>
  <c r="U51" i="21" s="1"/>
  <c r="AA8" i="14" s="1"/>
  <c r="CK8" i="14" s="1"/>
  <c r="CQ16" i="12"/>
  <c r="CQ20" i="12"/>
  <c r="CQ26" i="12" s="1"/>
  <c r="AH54" i="21"/>
  <c r="AH51" i="21" s="1"/>
  <c r="AN8" i="14" s="1"/>
  <c r="AG120" i="12"/>
  <c r="AA10" i="14" s="1"/>
  <c r="AH119" i="12"/>
  <c r="U12" i="22"/>
  <c r="G6" i="13"/>
  <c r="G9" i="13" s="1"/>
  <c r="BA9" i="13"/>
  <c r="BA11" i="13" s="1"/>
  <c r="BA14" i="13" s="1"/>
  <c r="V5" i="21"/>
  <c r="V13" i="22"/>
  <c r="V8" i="21"/>
  <c r="V9" i="21" s="1"/>
  <c r="U9" i="21"/>
  <c r="F9" i="13"/>
  <c r="V14" i="22"/>
  <c r="V12" i="21"/>
  <c r="L12" i="24"/>
  <c r="AS16" i="12"/>
  <c r="AS20" i="12"/>
  <c r="AS26" i="12" s="1"/>
  <c r="CR82" i="12"/>
  <c r="AS118" i="12"/>
  <c r="AG28" i="12"/>
  <c r="AG30" i="12" s="1"/>
  <c r="T29" i="22"/>
  <c r="T26" i="22" s="1"/>
  <c r="T30" i="22" s="1"/>
  <c r="CZ55" i="12"/>
  <c r="CR9" i="12"/>
  <c r="CR15" i="12"/>
  <c r="CZ54" i="12"/>
  <c r="T16" i="22" l="1"/>
  <c r="T10" i="22" s="1"/>
  <c r="T17" i="22" s="1"/>
  <c r="T32" i="22" s="1"/>
  <c r="D19" i="19"/>
  <c r="D17" i="19" s="1"/>
  <c r="D21" i="19" s="1"/>
  <c r="D38" i="13" s="1"/>
  <c r="X36" i="21"/>
  <c r="X7" i="21" s="1"/>
  <c r="K12" i="13"/>
  <c r="G11" i="13"/>
  <c r="G14" i="13" s="1"/>
  <c r="U49" i="21"/>
  <c r="AA4" i="14"/>
  <c r="AA31" i="14" s="1"/>
  <c r="CR16" i="12"/>
  <c r="CR20" i="12"/>
  <c r="CR26" i="12" s="1"/>
  <c r="F11" i="13"/>
  <c r="AG31" i="12"/>
  <c r="AG35" i="12"/>
  <c r="W8" i="21"/>
  <c r="W5" i="21"/>
  <c r="W13" i="22"/>
  <c r="CQ28" i="12"/>
  <c r="CQ30" i="12" s="1"/>
  <c r="AO15" i="13"/>
  <c r="AH120" i="12"/>
  <c r="AB10" i="14" s="1"/>
  <c r="AB4" i="14" s="1"/>
  <c r="AB31" i="14" s="1"/>
  <c r="V12" i="22"/>
  <c r="AI119" i="12"/>
  <c r="W12" i="21"/>
  <c r="W13" i="21" s="1"/>
  <c r="J12" i="24"/>
  <c r="W14" i="22"/>
  <c r="V13" i="21"/>
  <c r="AG52" i="21"/>
  <c r="AG51" i="21" s="1"/>
  <c r="AM8" i="14" s="1"/>
  <c r="AS28" i="12"/>
  <c r="AS30" i="12" s="1"/>
  <c r="I12" i="24"/>
  <c r="D30" i="15"/>
  <c r="D31" i="15"/>
  <c r="Y36" i="21" l="1"/>
  <c r="CG26" i="13"/>
  <c r="CS26" i="13"/>
  <c r="BN26" i="13"/>
  <c r="BF26" i="13"/>
  <c r="BF27" i="13" s="1"/>
  <c r="AF26" i="13"/>
  <c r="AF27" i="13" s="1"/>
  <c r="BC26" i="13"/>
  <c r="BC27" i="13" s="1"/>
  <c r="Y26" i="13"/>
  <c r="Y27" i="13" s="1"/>
  <c r="BX26" i="13"/>
  <c r="BQ26" i="13"/>
  <c r="AX26" i="13"/>
  <c r="AX27" i="13" s="1"/>
  <c r="BI26" i="13"/>
  <c r="BI27" i="13" s="1"/>
  <c r="C9" i="15"/>
  <c r="AU26" i="13"/>
  <c r="AU27" i="13" s="1"/>
  <c r="AW26" i="13"/>
  <c r="AW27" i="13" s="1"/>
  <c r="AY26" i="13"/>
  <c r="AY27" i="13" s="1"/>
  <c r="BP26" i="13"/>
  <c r="BM26" i="13"/>
  <c r="BG26" i="13"/>
  <c r="BG27" i="13" s="1"/>
  <c r="AK26" i="13"/>
  <c r="AK27" i="13" s="1"/>
  <c r="AM26" i="13"/>
  <c r="AM27" i="13" s="1"/>
  <c r="CQ26" i="13"/>
  <c r="CH26" i="13"/>
  <c r="X26" i="13"/>
  <c r="X27" i="13" s="1"/>
  <c r="AR26" i="13"/>
  <c r="AR27" i="13" s="1"/>
  <c r="AZ26" i="13"/>
  <c r="AZ27" i="13" s="1"/>
  <c r="BU26" i="13"/>
  <c r="BH26" i="13"/>
  <c r="BH27" i="13" s="1"/>
  <c r="BW26" i="13"/>
  <c r="CF26" i="13"/>
  <c r="BK26" i="13"/>
  <c r="BE26" i="13"/>
  <c r="BE27" i="13" s="1"/>
  <c r="AP26" i="13"/>
  <c r="AP27" i="13" s="1"/>
  <c r="CC26" i="13"/>
  <c r="AD26" i="13"/>
  <c r="AD27" i="13" s="1"/>
  <c r="AA26" i="13"/>
  <c r="AA27" i="13" s="1"/>
  <c r="CL26" i="13"/>
  <c r="BZ26" i="13"/>
  <c r="AN26" i="13"/>
  <c r="AN27" i="13" s="1"/>
  <c r="AH26" i="13"/>
  <c r="AH27" i="13" s="1"/>
  <c r="CA26" i="13"/>
  <c r="CB26" i="13"/>
  <c r="CP26" i="13"/>
  <c r="BL26" i="13"/>
  <c r="F44" i="13"/>
  <c r="G44" i="13" s="1"/>
  <c r="H44" i="13" s="1"/>
  <c r="I44" i="13" s="1"/>
  <c r="J44" i="13" s="1"/>
  <c r="CI26" i="13"/>
  <c r="BB26" i="13"/>
  <c r="BB27" i="13" s="1"/>
  <c r="AG26" i="13"/>
  <c r="AG27" i="13" s="1"/>
  <c r="BJ26" i="13"/>
  <c r="CN26" i="13"/>
  <c r="AV26" i="13"/>
  <c r="AV27" i="13" s="1"/>
  <c r="T26" i="13"/>
  <c r="T27" i="13" s="1"/>
  <c r="T28" i="13" s="1"/>
  <c r="T29" i="13" s="1"/>
  <c r="AE26" i="13"/>
  <c r="AE27" i="13" s="1"/>
  <c r="AI26" i="13"/>
  <c r="AI27" i="13" s="1"/>
  <c r="BR26" i="13"/>
  <c r="BO26" i="13"/>
  <c r="CK26" i="13"/>
  <c r="AT26" i="13"/>
  <c r="AT27" i="13" s="1"/>
  <c r="BD26" i="13"/>
  <c r="BD27" i="13" s="1"/>
  <c r="V26" i="13"/>
  <c r="V27" i="13" s="1"/>
  <c r="CM26" i="13"/>
  <c r="BY26" i="13"/>
  <c r="BT26" i="13"/>
  <c r="U26" i="13"/>
  <c r="U27" i="13" s="1"/>
  <c r="CD26" i="13"/>
  <c r="AB26" i="13"/>
  <c r="AB27" i="13" s="1"/>
  <c r="CE26" i="13"/>
  <c r="AC26" i="13"/>
  <c r="AC27" i="13" s="1"/>
  <c r="Z26" i="13"/>
  <c r="Z27" i="13" s="1"/>
  <c r="CJ26" i="13"/>
  <c r="BS26" i="13"/>
  <c r="BA26" i="13"/>
  <c r="AO26" i="13"/>
  <c r="AQ26" i="13"/>
  <c r="AQ27" i="13" s="1"/>
  <c r="CO26" i="13"/>
  <c r="W26" i="13"/>
  <c r="W27" i="13" s="1"/>
  <c r="BV26" i="13"/>
  <c r="AJ26" i="13"/>
  <c r="AJ27" i="13" s="1"/>
  <c r="CR26" i="13"/>
  <c r="AL26" i="13"/>
  <c r="AL27" i="13" s="1"/>
  <c r="AS26" i="13"/>
  <c r="AS27" i="13" s="1"/>
  <c r="V49" i="21"/>
  <c r="U17" i="21"/>
  <c r="CQ31" i="12"/>
  <c r="CQ32" i="12"/>
  <c r="Y7" i="21"/>
  <c r="Z36" i="21"/>
  <c r="F15" i="13"/>
  <c r="AO16" i="13"/>
  <c r="AO19" i="13" s="1"/>
  <c r="AO22" i="13" s="1"/>
  <c r="F14" i="13"/>
  <c r="X12" i="21"/>
  <c r="X13" i="21" s="1"/>
  <c r="X14" i="22"/>
  <c r="AS31" i="12"/>
  <c r="U22" i="22"/>
  <c r="U18" i="22" s="1"/>
  <c r="AH35" i="12"/>
  <c r="CR28" i="12"/>
  <c r="CR30" i="12" s="1"/>
  <c r="BA15" i="13"/>
  <c r="X5" i="21"/>
  <c r="X8" i="21"/>
  <c r="X9" i="21" s="1"/>
  <c r="X13" i="22"/>
  <c r="W12" i="22"/>
  <c r="AI120" i="12"/>
  <c r="AC10" i="14" s="1"/>
  <c r="AC4" i="14" s="1"/>
  <c r="AC31" i="14" s="1"/>
  <c r="AJ119" i="12"/>
  <c r="AA34" i="14"/>
  <c r="CL8" i="14"/>
  <c r="W9" i="21"/>
  <c r="U28" i="13" l="1"/>
  <c r="U29" i="13" s="1"/>
  <c r="E27" i="13"/>
  <c r="E28" i="13" s="1"/>
  <c r="C10" i="15"/>
  <c r="D9" i="15"/>
  <c r="M12" i="24"/>
  <c r="Q12" i="24" s="1"/>
  <c r="U28" i="22"/>
  <c r="U15" i="21"/>
  <c r="U21" i="21" s="1"/>
  <c r="U25" i="21" s="1"/>
  <c r="V17" i="21"/>
  <c r="W49" i="21"/>
  <c r="CR31" i="12"/>
  <c r="CR32" i="12"/>
  <c r="D29" i="15" s="1"/>
  <c r="G15" i="13"/>
  <c r="G16" i="13" s="1"/>
  <c r="G19" i="13" s="1"/>
  <c r="G22" i="13" s="1"/>
  <c r="BA16" i="13"/>
  <c r="BA19" i="13" s="1"/>
  <c r="BA22" i="13" s="1"/>
  <c r="AO27" i="13"/>
  <c r="AO23" i="13"/>
  <c r="Z7" i="21"/>
  <c r="AA36" i="21"/>
  <c r="Y5" i="21"/>
  <c r="Y8" i="21"/>
  <c r="Y13" i="22"/>
  <c r="Y14" i="22"/>
  <c r="Y12" i="21"/>
  <c r="AB33" i="14"/>
  <c r="AB34" i="14" s="1"/>
  <c r="U11" i="22"/>
  <c r="AJ120" i="12"/>
  <c r="AD10" i="14" s="1"/>
  <c r="X12" i="22"/>
  <c r="AK119" i="12"/>
  <c r="BA32" i="12"/>
  <c r="AU29" i="14" s="1"/>
  <c r="AU18" i="14" s="1"/>
  <c r="AT32" i="12"/>
  <c r="AN29" i="14" s="1"/>
  <c r="F16" i="13"/>
  <c r="V22" i="22"/>
  <c r="V18" i="22" s="1"/>
  <c r="AI35" i="12"/>
  <c r="V28" i="13" l="1"/>
  <c r="D10" i="15"/>
  <c r="E9" i="15"/>
  <c r="V28" i="22"/>
  <c r="V15" i="21"/>
  <c r="V21" i="21" s="1"/>
  <c r="V25" i="21" s="1"/>
  <c r="X49" i="21"/>
  <c r="W17" i="21"/>
  <c r="F27" i="13"/>
  <c r="F19" i="13"/>
  <c r="BA27" i="13"/>
  <c r="G46" i="13"/>
  <c r="G48" i="13" s="1"/>
  <c r="G50" i="13" s="1"/>
  <c r="AC33" i="14"/>
  <c r="AC34" i="14" s="1"/>
  <c r="V11" i="22"/>
  <c r="Z8" i="21"/>
  <c r="Z9" i="21" s="1"/>
  <c r="Z13" i="22"/>
  <c r="Z5" i="21"/>
  <c r="Y9" i="21"/>
  <c r="AA7" i="21"/>
  <c r="AB36" i="21"/>
  <c r="CL29" i="14"/>
  <c r="CL18" i="14" s="1"/>
  <c r="AN18" i="14"/>
  <c r="Y12" i="22"/>
  <c r="AK120" i="12"/>
  <c r="AE10" i="14" s="1"/>
  <c r="AE4" i="14" s="1"/>
  <c r="AE31" i="14" s="1"/>
  <c r="AL119" i="12"/>
  <c r="Z12" i="21"/>
  <c r="Z13" i="21" s="1"/>
  <c r="Z14" i="22"/>
  <c r="AD4" i="14"/>
  <c r="AD31" i="14" s="1"/>
  <c r="BM32" i="12"/>
  <c r="BG29" i="14" s="1"/>
  <c r="BG18" i="14" s="1"/>
  <c r="BF32" i="12"/>
  <c r="AZ29" i="14" s="1"/>
  <c r="U29" i="22"/>
  <c r="U26" i="22" s="1"/>
  <c r="U30" i="22" s="1"/>
  <c r="U16" i="22" s="1"/>
  <c r="U10" i="22" s="1"/>
  <c r="U17" i="22" s="1"/>
  <c r="U32" i="22" s="1"/>
  <c r="Y13" i="21"/>
  <c r="W22" i="22"/>
  <c r="W18" i="22" s="1"/>
  <c r="AJ35" i="12"/>
  <c r="AO24" i="13"/>
  <c r="AP23" i="13"/>
  <c r="V29" i="13" l="1"/>
  <c r="W28" i="13"/>
  <c r="F9" i="15"/>
  <c r="E10" i="15"/>
  <c r="X17" i="21"/>
  <c r="Y49" i="21"/>
  <c r="W15" i="21"/>
  <c r="W21" i="21" s="1"/>
  <c r="W25" i="21" s="1"/>
  <c r="W28" i="22"/>
  <c r="F22" i="13"/>
  <c r="AL120" i="12"/>
  <c r="AF10" i="14" s="1"/>
  <c r="AF4" i="14" s="1"/>
  <c r="AF31" i="14" s="1"/>
  <c r="AM119" i="12"/>
  <c r="Z12" i="22"/>
  <c r="X22" i="22"/>
  <c r="X18" i="22" s="1"/>
  <c r="AK35" i="12"/>
  <c r="V29" i="22"/>
  <c r="V26" i="22" s="1"/>
  <c r="V30" i="22" s="1"/>
  <c r="V16" i="22" s="1"/>
  <c r="V10" i="22" s="1"/>
  <c r="V17" i="22" s="1"/>
  <c r="V32" i="22" s="1"/>
  <c r="AD33" i="14"/>
  <c r="AD34" i="14" s="1"/>
  <c r="W11" i="22"/>
  <c r="F28" i="13"/>
  <c r="AP24" i="13"/>
  <c r="AQ23" i="13"/>
  <c r="AB7" i="21"/>
  <c r="AC36" i="21"/>
  <c r="G27" i="13"/>
  <c r="CM29" i="14"/>
  <c r="CM18" i="14" s="1"/>
  <c r="AZ18" i="14"/>
  <c r="AA12" i="21"/>
  <c r="AA14" i="22"/>
  <c r="AA8" i="21"/>
  <c r="AA5" i="21"/>
  <c r="AA13" i="22"/>
  <c r="W29" i="13" l="1"/>
  <c r="X28" i="13"/>
  <c r="F10" i="15"/>
  <c r="G9" i="15"/>
  <c r="G10" i="15" s="1"/>
  <c r="Y17" i="21"/>
  <c r="Z49" i="21"/>
  <c r="X28" i="22"/>
  <c r="X15" i="21"/>
  <c r="X21" i="21" s="1"/>
  <c r="X25" i="21" s="1"/>
  <c r="G28" i="13"/>
  <c r="AE33" i="14"/>
  <c r="AE34" i="14" s="1"/>
  <c r="X11" i="22"/>
  <c r="AQ24" i="13"/>
  <c r="AR23" i="13"/>
  <c r="AA9" i="21"/>
  <c r="AL35" i="12"/>
  <c r="Y22" i="22"/>
  <c r="Y18" i="22" s="1"/>
  <c r="AB12" i="21"/>
  <c r="AB13" i="21" s="1"/>
  <c r="AB14" i="22"/>
  <c r="AB5" i="21"/>
  <c r="AB8" i="21"/>
  <c r="AB9" i="21" s="1"/>
  <c r="AB13" i="22"/>
  <c r="AM120" i="12"/>
  <c r="AG10" i="14" s="1"/>
  <c r="AG4" i="14" s="1"/>
  <c r="AG31" i="14" s="1"/>
  <c r="AA12" i="22"/>
  <c r="AN119" i="12"/>
  <c r="AA13" i="21"/>
  <c r="F46" i="13"/>
  <c r="F48" i="13" s="1"/>
  <c r="F50" i="13" s="1"/>
  <c r="F23" i="13"/>
  <c r="G23" i="13" s="1"/>
  <c r="AC7" i="21"/>
  <c r="AD36" i="21"/>
  <c r="W29" i="22"/>
  <c r="W26" i="22" s="1"/>
  <c r="W30" i="22" s="1"/>
  <c r="W16" i="22" s="1"/>
  <c r="W10" i="22" s="1"/>
  <c r="W17" i="22" s="1"/>
  <c r="W32" i="22" s="1"/>
  <c r="X29" i="13" l="1"/>
  <c r="Y28" i="13"/>
  <c r="Z17" i="21"/>
  <c r="AA49" i="21"/>
  <c r="Y15" i="21"/>
  <c r="Y21" i="21" s="1"/>
  <c r="Y25" i="21" s="1"/>
  <c r="Y28" i="22"/>
  <c r="AC14" i="22"/>
  <c r="AC12" i="21"/>
  <c r="AC13" i="21" s="1"/>
  <c r="AB12" i="22"/>
  <c r="AN120" i="12"/>
  <c r="AH10" i="14" s="1"/>
  <c r="AH4" i="14" s="1"/>
  <c r="AH31" i="14" s="1"/>
  <c r="AO119" i="12"/>
  <c r="AD7" i="21"/>
  <c r="AE36" i="21"/>
  <c r="AC5" i="21"/>
  <c r="AC13" i="22"/>
  <c r="AC8" i="21"/>
  <c r="X29" i="22"/>
  <c r="X26" i="22" s="1"/>
  <c r="X30" i="22" s="1"/>
  <c r="X16" i="22" s="1"/>
  <c r="X10" i="22" s="1"/>
  <c r="X17" i="22" s="1"/>
  <c r="X32" i="22" s="1"/>
  <c r="AM35" i="12"/>
  <c r="Z22" i="22"/>
  <c r="Z18" i="22" s="1"/>
  <c r="AF33" i="14"/>
  <c r="AF34" i="14" s="1"/>
  <c r="Y11" i="22"/>
  <c r="AR24" i="13"/>
  <c r="AS23" i="13"/>
  <c r="Y29" i="13" l="1"/>
  <c r="Z28" i="13"/>
  <c r="AB49" i="21"/>
  <c r="AA17" i="21"/>
  <c r="Z28" i="22"/>
  <c r="Z15" i="21"/>
  <c r="Z21" i="21" s="1"/>
  <c r="Z25" i="21" s="1"/>
  <c r="Z11" i="22"/>
  <c r="AG33" i="14"/>
  <c r="AG34" i="14" s="1"/>
  <c r="Y29" i="22"/>
  <c r="Y26" i="22" s="1"/>
  <c r="Y30" i="22" s="1"/>
  <c r="Y16" i="22" s="1"/>
  <c r="Y10" i="22" s="1"/>
  <c r="Y17" i="22" s="1"/>
  <c r="Y32" i="22" s="1"/>
  <c r="AA22" i="22"/>
  <c r="AA18" i="22" s="1"/>
  <c r="AN35" i="12"/>
  <c r="AC9" i="21"/>
  <c r="CB8" i="21"/>
  <c r="CB9" i="21" s="1"/>
  <c r="AE7" i="21"/>
  <c r="AF36" i="21"/>
  <c r="AD8" i="21"/>
  <c r="AD13" i="22"/>
  <c r="AD5" i="21"/>
  <c r="AD14" i="22"/>
  <c r="AD12" i="21"/>
  <c r="AC12" i="22"/>
  <c r="AO120" i="12"/>
  <c r="AI10" i="14" s="1"/>
  <c r="AI4" i="14" s="1"/>
  <c r="AI31" i="14" s="1"/>
  <c r="AP119" i="12"/>
  <c r="AT23" i="13"/>
  <c r="AS24" i="13"/>
  <c r="Z29" i="13" l="1"/>
  <c r="AA28" i="13"/>
  <c r="AA15" i="21"/>
  <c r="AA21" i="21" s="1"/>
  <c r="AA25" i="21" s="1"/>
  <c r="AA28" i="22"/>
  <c r="AB17" i="21"/>
  <c r="AC49" i="21"/>
  <c r="AO35" i="12"/>
  <c r="AB22" i="22"/>
  <c r="AB18" i="22" s="1"/>
  <c r="AA11" i="22"/>
  <c r="AH33" i="14"/>
  <c r="AH34" i="14" s="1"/>
  <c r="AE13" i="22"/>
  <c r="AE5" i="21"/>
  <c r="AE8" i="21"/>
  <c r="AE9" i="21" s="1"/>
  <c r="Z29" i="22"/>
  <c r="Z26" i="22" s="1"/>
  <c r="Z30" i="22" s="1"/>
  <c r="Z16" i="22" s="1"/>
  <c r="Z10" i="22" s="1"/>
  <c r="Z17" i="22" s="1"/>
  <c r="Z32" i="22" s="1"/>
  <c r="AD9" i="21"/>
  <c r="CK31" i="14"/>
  <c r="AE12" i="21"/>
  <c r="AE13" i="21" s="1"/>
  <c r="AE14" i="22"/>
  <c r="AT24" i="13"/>
  <c r="AU23" i="13"/>
  <c r="AD12" i="22"/>
  <c r="AP120" i="12"/>
  <c r="AJ10" i="14" s="1"/>
  <c r="AQ119" i="12"/>
  <c r="AG36" i="21"/>
  <c r="AF7" i="21"/>
  <c r="AD13" i="21"/>
  <c r="AA29" i="13" l="1"/>
  <c r="AB28" i="13"/>
  <c r="AC17" i="21"/>
  <c r="AD49" i="21"/>
  <c r="AB28" i="22"/>
  <c r="AB15" i="21"/>
  <c r="AB21" i="21" s="1"/>
  <c r="AB25" i="21" s="1"/>
  <c r="AU24" i="13"/>
  <c r="AV23" i="13"/>
  <c r="AI33" i="14"/>
  <c r="AI34" i="14" s="1"/>
  <c r="AB11" i="22"/>
  <c r="AF12" i="21"/>
  <c r="AF14" i="22"/>
  <c r="AF8" i="21"/>
  <c r="AF5" i="21"/>
  <c r="AF13" i="22"/>
  <c r="AG7" i="21"/>
  <c r="AH36" i="21"/>
  <c r="AQ120" i="12"/>
  <c r="AK10" i="14" s="1"/>
  <c r="AK4" i="14" s="1"/>
  <c r="AK31" i="14" s="1"/>
  <c r="AE12" i="22"/>
  <c r="AR119" i="12"/>
  <c r="AA29" i="22"/>
  <c r="AA26" i="22" s="1"/>
  <c r="AA30" i="22" s="1"/>
  <c r="AA16" i="22" s="1"/>
  <c r="AA10" i="22" s="1"/>
  <c r="AA17" i="22" s="1"/>
  <c r="AA32" i="22" s="1"/>
  <c r="AJ4" i="14"/>
  <c r="AJ31" i="14" s="1"/>
  <c r="AP35" i="12"/>
  <c r="AC22" i="22"/>
  <c r="AC18" i="22" s="1"/>
  <c r="AB29" i="13" l="1"/>
  <c r="AC28" i="13"/>
  <c r="AE49" i="21"/>
  <c r="AD17" i="21"/>
  <c r="AC28" i="22"/>
  <c r="AC15" i="21"/>
  <c r="AC21" i="21" s="1"/>
  <c r="AC25" i="21" s="1"/>
  <c r="AH7" i="21"/>
  <c r="AI36" i="21"/>
  <c r="AV24" i="13"/>
  <c r="AW23" i="13"/>
  <c r="AG12" i="21"/>
  <c r="AG13" i="21" s="1"/>
  <c r="AG14" i="22"/>
  <c r="AB29" i="22"/>
  <c r="AB26" i="22" s="1"/>
  <c r="AB30" i="22" s="1"/>
  <c r="AB16" i="22" s="1"/>
  <c r="AB10" i="22" s="1"/>
  <c r="AB17" i="22" s="1"/>
  <c r="AB32" i="22" s="1"/>
  <c r="AF12" i="22"/>
  <c r="AS119" i="12"/>
  <c r="AR120" i="12"/>
  <c r="AL10" i="14" s="1"/>
  <c r="AG8" i="21"/>
  <c r="AG9" i="21" s="1"/>
  <c r="AG5" i="21"/>
  <c r="AG13" i="22"/>
  <c r="AQ35" i="12"/>
  <c r="AD22" i="22"/>
  <c r="AD18" i="22" s="1"/>
  <c r="AF13" i="21"/>
  <c r="AJ33" i="14"/>
  <c r="AJ34" i="14" s="1"/>
  <c r="AC11" i="22"/>
  <c r="AF9" i="21"/>
  <c r="AC29" i="13" l="1"/>
  <c r="AD28" i="13"/>
  <c r="AD28" i="22"/>
  <c r="AD15" i="21"/>
  <c r="AD21" i="21" s="1"/>
  <c r="AD25" i="21" s="1"/>
  <c r="AE17" i="21"/>
  <c r="AF49" i="21"/>
  <c r="AW24" i="13"/>
  <c r="AX23" i="13"/>
  <c r="AD11" i="22"/>
  <c r="AK33" i="14"/>
  <c r="AK34" i="14" s="1"/>
  <c r="AL4" i="14"/>
  <c r="AL31" i="14" s="1"/>
  <c r="AC29" i="22"/>
  <c r="AC26" i="22" s="1"/>
  <c r="AC30" i="22" s="1"/>
  <c r="AC16" i="22" s="1"/>
  <c r="AC10" i="22" s="1"/>
  <c r="AC17" i="22" s="1"/>
  <c r="AC32" i="22" s="1"/>
  <c r="AI7" i="21"/>
  <c r="AJ36" i="21"/>
  <c r="AS120" i="12"/>
  <c r="AM10" i="14" s="1"/>
  <c r="AM4" i="14" s="1"/>
  <c r="AM31" i="14" s="1"/>
  <c r="AG12" i="22"/>
  <c r="AT119" i="12"/>
  <c r="AE22" i="22"/>
  <c r="AE18" i="22" s="1"/>
  <c r="AR35" i="12"/>
  <c r="AH14" i="22"/>
  <c r="AH12" i="21"/>
  <c r="AH13" i="21" s="1"/>
  <c r="AH13" i="22"/>
  <c r="AH5" i="21"/>
  <c r="AH8" i="21"/>
  <c r="AD29" i="13" l="1"/>
  <c r="AE28" i="13"/>
  <c r="AF17" i="21"/>
  <c r="AG49" i="21"/>
  <c r="AE15" i="21"/>
  <c r="AE21" i="21" s="1"/>
  <c r="AE25" i="21" s="1"/>
  <c r="AE28" i="22"/>
  <c r="AD29" i="22"/>
  <c r="AD26" i="22" s="1"/>
  <c r="AD30" i="22" s="1"/>
  <c r="AD16" i="22" s="1"/>
  <c r="AD10" i="22" s="1"/>
  <c r="AD17" i="22" s="1"/>
  <c r="AD32" i="22" s="1"/>
  <c r="AF22" i="22"/>
  <c r="AF18" i="22" s="1"/>
  <c r="AS35" i="12"/>
  <c r="AI14" i="22"/>
  <c r="AI12" i="21"/>
  <c r="AI13" i="21" s="1"/>
  <c r="AJ7" i="21"/>
  <c r="AK36" i="21"/>
  <c r="AI8" i="21"/>
  <c r="AI9" i="21" s="1"/>
  <c r="AI13" i="22"/>
  <c r="AI5" i="21"/>
  <c r="AX24" i="13"/>
  <c r="AY23" i="13"/>
  <c r="AE11" i="22"/>
  <c r="AL33" i="14"/>
  <c r="AL34" i="14" s="1"/>
  <c r="AH9" i="21"/>
  <c r="AT120" i="12"/>
  <c r="AN10" i="14" s="1"/>
  <c r="AN4" i="14" s="1"/>
  <c r="AN31" i="14" s="1"/>
  <c r="AH12" i="22"/>
  <c r="AU119" i="12"/>
  <c r="AE29" i="13" l="1"/>
  <c r="AF28" i="13"/>
  <c r="AH49" i="21"/>
  <c r="AG17" i="21"/>
  <c r="AF28" i="22"/>
  <c r="AF15" i="21"/>
  <c r="AF21" i="21" s="1"/>
  <c r="AF25" i="21" s="1"/>
  <c r="AM33" i="14"/>
  <c r="AM34" i="14" s="1"/>
  <c r="AF11" i="22"/>
  <c r="AE29" i="22"/>
  <c r="AE26" i="22" s="1"/>
  <c r="AE30" i="22" s="1"/>
  <c r="AE16" i="22" s="1"/>
  <c r="AE10" i="22" s="1"/>
  <c r="AE17" i="22" s="1"/>
  <c r="AE32" i="22" s="1"/>
  <c r="AT35" i="12"/>
  <c r="AG22" i="22"/>
  <c r="AG18" i="22" s="1"/>
  <c r="AZ23" i="13"/>
  <c r="AY24" i="13"/>
  <c r="AJ12" i="21"/>
  <c r="AJ14" i="22"/>
  <c r="AV119" i="12"/>
  <c r="AU120" i="12"/>
  <c r="AO10" i="14" s="1"/>
  <c r="AO4" i="14" s="1"/>
  <c r="AO31" i="14" s="1"/>
  <c r="AI12" i="22"/>
  <c r="AK7" i="21"/>
  <c r="AL36" i="21"/>
  <c r="AJ8" i="21"/>
  <c r="AJ9" i="21" s="1"/>
  <c r="AJ13" i="22"/>
  <c r="AJ5" i="21"/>
  <c r="AF29" i="13" l="1"/>
  <c r="AG28" i="13"/>
  <c r="AG15" i="21"/>
  <c r="AG21" i="21" s="1"/>
  <c r="AG25" i="21" s="1"/>
  <c r="AG28" i="22"/>
  <c r="AI49" i="21"/>
  <c r="AH17" i="21"/>
  <c r="AJ13" i="21"/>
  <c r="AJ12" i="22"/>
  <c r="AV120" i="12"/>
  <c r="AP10" i="14" s="1"/>
  <c r="AW119" i="12"/>
  <c r="AZ24" i="13"/>
  <c r="BA23" i="13"/>
  <c r="AK13" i="22"/>
  <c r="AK8" i="21"/>
  <c r="AK9" i="21" s="1"/>
  <c r="AK5" i="21"/>
  <c r="AF29" i="22"/>
  <c r="AF26" i="22" s="1"/>
  <c r="AF30" i="22" s="1"/>
  <c r="AF16" i="22" s="1"/>
  <c r="AF10" i="22" s="1"/>
  <c r="AF17" i="22" s="1"/>
  <c r="AF32" i="22" s="1"/>
  <c r="AL7" i="21"/>
  <c r="AM36" i="21"/>
  <c r="AH22" i="22"/>
  <c r="AH18" i="22" s="1"/>
  <c r="AU35" i="12"/>
  <c r="AN33" i="14"/>
  <c r="AN34" i="14" s="1"/>
  <c r="AG11" i="22"/>
  <c r="AK14" i="22"/>
  <c r="AK12" i="21"/>
  <c r="AK13" i="21" s="1"/>
  <c r="AG29" i="13" l="1"/>
  <c r="AH28" i="13"/>
  <c r="AJ49" i="21"/>
  <c r="AI17" i="21"/>
  <c r="AH15" i="21"/>
  <c r="AH21" i="21" s="1"/>
  <c r="AH25" i="21" s="1"/>
  <c r="AH28" i="22"/>
  <c r="AM7" i="21"/>
  <c r="AN36" i="21"/>
  <c r="AL5" i="21"/>
  <c r="AL8" i="21"/>
  <c r="AL9" i="21" s="1"/>
  <c r="AL13" i="22"/>
  <c r="AK12" i="22"/>
  <c r="AW120" i="12"/>
  <c r="AQ10" i="14" s="1"/>
  <c r="AQ4" i="14" s="1"/>
  <c r="AQ31" i="14" s="1"/>
  <c r="AX119" i="12"/>
  <c r="AL14" i="22"/>
  <c r="AL12" i="21"/>
  <c r="AL13" i="21" s="1"/>
  <c r="BA24" i="13"/>
  <c r="BB23" i="13"/>
  <c r="AP4" i="14"/>
  <c r="AP31" i="14" s="1"/>
  <c r="AG29" i="22"/>
  <c r="AG26" i="22" s="1"/>
  <c r="AG30" i="22" s="1"/>
  <c r="AG16" i="22" s="1"/>
  <c r="AG10" i="22" s="1"/>
  <c r="AG17" i="22" s="1"/>
  <c r="AG32" i="22" s="1"/>
  <c r="AH11" i="22"/>
  <c r="AO33" i="14"/>
  <c r="AO34" i="14" s="1"/>
  <c r="AI22" i="22"/>
  <c r="AI18" i="22" s="1"/>
  <c r="AV35" i="12"/>
  <c r="AH29" i="13" l="1"/>
  <c r="AI28" i="13"/>
  <c r="AI28" i="22"/>
  <c r="AI15" i="21"/>
  <c r="AI21" i="21" s="1"/>
  <c r="AI25" i="21" s="1"/>
  <c r="AJ17" i="21"/>
  <c r="AK49" i="21"/>
  <c r="AP33" i="14"/>
  <c r="AP34" i="14" s="1"/>
  <c r="AI11" i="22"/>
  <c r="AH29" i="22"/>
  <c r="AH26" i="22" s="1"/>
  <c r="AH30" i="22" s="1"/>
  <c r="AH16" i="22" s="1"/>
  <c r="AH10" i="22" s="1"/>
  <c r="AH17" i="22" s="1"/>
  <c r="AH32" i="22" s="1"/>
  <c r="BB24" i="13"/>
  <c r="BC23" i="13"/>
  <c r="AM12" i="21"/>
  <c r="AM13" i="21" s="1"/>
  <c r="AM14" i="22"/>
  <c r="AN7" i="21"/>
  <c r="AO36" i="21"/>
  <c r="AX120" i="12"/>
  <c r="AR10" i="14" s="1"/>
  <c r="AR4" i="14" s="1"/>
  <c r="AR31" i="14" s="1"/>
  <c r="AL12" i="22"/>
  <c r="AY119" i="12"/>
  <c r="AJ22" i="22"/>
  <c r="AJ18" i="22" s="1"/>
  <c r="AW35" i="12"/>
  <c r="AM13" i="22"/>
  <c r="AM8" i="21"/>
  <c r="AM9" i="21" s="1"/>
  <c r="AM5" i="21"/>
  <c r="AI29" i="13" l="1"/>
  <c r="AJ28" i="13"/>
  <c r="AJ15" i="21"/>
  <c r="AJ21" i="21" s="1"/>
  <c r="AJ25" i="21" s="1"/>
  <c r="AJ28" i="22"/>
  <c r="AK17" i="21"/>
  <c r="AL49" i="21"/>
  <c r="AQ33" i="14"/>
  <c r="AQ34" i="14" s="1"/>
  <c r="AJ11" i="22"/>
  <c r="AM12" i="22"/>
  <c r="AY120" i="12"/>
  <c r="AS10" i="14" s="1"/>
  <c r="AS4" i="14" s="1"/>
  <c r="AS31" i="14" s="1"/>
  <c r="AZ119" i="12"/>
  <c r="AI29" i="22"/>
  <c r="AI26" i="22" s="1"/>
  <c r="AI30" i="22" s="1"/>
  <c r="AI16" i="22" s="1"/>
  <c r="AI10" i="22" s="1"/>
  <c r="AI17" i="22" s="1"/>
  <c r="AI32" i="22" s="1"/>
  <c r="AK22" i="22"/>
  <c r="AK18" i="22" s="1"/>
  <c r="AX35" i="12"/>
  <c r="BC24" i="13"/>
  <c r="BD23" i="13"/>
  <c r="AN5" i="21"/>
  <c r="AN13" i="22"/>
  <c r="AN8" i="21"/>
  <c r="AN9" i="21" s="1"/>
  <c r="AO7" i="21"/>
  <c r="AN12" i="21"/>
  <c r="AN13" i="21" s="1"/>
  <c r="AN14" i="22"/>
  <c r="AJ29" i="13" l="1"/>
  <c r="AK28" i="13"/>
  <c r="AK28" i="22"/>
  <c r="AK15" i="21"/>
  <c r="AK21" i="21" s="1"/>
  <c r="AK25" i="21" s="1"/>
  <c r="AM49" i="21"/>
  <c r="AL17" i="21"/>
  <c r="AJ29" i="22"/>
  <c r="AJ26" i="22" s="1"/>
  <c r="AJ30" i="22" s="1"/>
  <c r="AJ16" i="22" s="1"/>
  <c r="AJ10" i="22" s="1"/>
  <c r="AJ17" i="22" s="1"/>
  <c r="AJ32" i="22" s="1"/>
  <c r="BD24" i="13"/>
  <c r="BE23" i="13"/>
  <c r="AO13" i="22"/>
  <c r="AO8" i="21"/>
  <c r="AO9" i="21" s="1"/>
  <c r="AL22" i="22"/>
  <c r="AL18" i="22" s="1"/>
  <c r="AY35" i="12"/>
  <c r="AR33" i="14"/>
  <c r="AR34" i="14" s="1"/>
  <c r="AK11" i="22"/>
  <c r="AN12" i="22"/>
  <c r="BA119" i="12"/>
  <c r="AZ120" i="12"/>
  <c r="AT10" i="14" s="1"/>
  <c r="AT4" i="14" s="1"/>
  <c r="AT31" i="14" s="1"/>
  <c r="AK29" i="13" l="1"/>
  <c r="AL28" i="13"/>
  <c r="AN49" i="21"/>
  <c r="AM17" i="21"/>
  <c r="AL15" i="21"/>
  <c r="AL21" i="21" s="1"/>
  <c r="AL25" i="21" s="1"/>
  <c r="AL28" i="22"/>
  <c r="AK29" i="22"/>
  <c r="AK26" i="22" s="1"/>
  <c r="AK30" i="22" s="1"/>
  <c r="AK16" i="22" s="1"/>
  <c r="AK10" i="22" s="1"/>
  <c r="AK17" i="22" s="1"/>
  <c r="AK32" i="22" s="1"/>
  <c r="BF23" i="13"/>
  <c r="BE24" i="13"/>
  <c r="BA120" i="12"/>
  <c r="AU10" i="14" s="1"/>
  <c r="AO12" i="22"/>
  <c r="AM22" i="22"/>
  <c r="AM18" i="22" s="1"/>
  <c r="AZ35" i="12"/>
  <c r="AS33" i="14"/>
  <c r="AS34" i="14" s="1"/>
  <c r="AL11" i="22"/>
  <c r="AL29" i="13" l="1"/>
  <c r="AM28" i="13"/>
  <c r="AM28" i="22"/>
  <c r="AM15" i="21"/>
  <c r="AM21" i="21" s="1"/>
  <c r="AM25" i="21" s="1"/>
  <c r="AO49" i="21"/>
  <c r="AO17" i="21" s="1"/>
  <c r="AO15" i="21" s="1"/>
  <c r="AN17" i="21"/>
  <c r="AL29" i="22"/>
  <c r="AL26" i="22" s="1"/>
  <c r="AL30" i="22" s="1"/>
  <c r="AL16" i="22" s="1"/>
  <c r="AL10" i="22" s="1"/>
  <c r="AL17" i="22" s="1"/>
  <c r="AL32" i="22" s="1"/>
  <c r="BF24" i="13"/>
  <c r="BG23" i="13"/>
  <c r="AN22" i="22"/>
  <c r="AN18" i="22" s="1"/>
  <c r="BA35" i="12"/>
  <c r="AM11" i="22"/>
  <c r="AT33" i="14"/>
  <c r="AT34" i="14" s="1"/>
  <c r="AM29" i="13" l="1"/>
  <c r="AN28" i="13"/>
  <c r="AO28" i="22"/>
  <c r="AN28" i="22"/>
  <c r="AN15" i="21"/>
  <c r="AN21" i="21" s="1"/>
  <c r="AN25" i="21" s="1"/>
  <c r="BG24" i="13"/>
  <c r="BH23" i="13"/>
  <c r="AO22" i="22"/>
  <c r="AO18" i="22" s="1"/>
  <c r="AU33" i="14"/>
  <c r="AN11" i="22"/>
  <c r="AM29" i="22"/>
  <c r="AM26" i="22" s="1"/>
  <c r="AM30" i="22" s="1"/>
  <c r="AM16" i="22" s="1"/>
  <c r="AM10" i="22" s="1"/>
  <c r="AM17" i="22" s="1"/>
  <c r="AM32" i="22" s="1"/>
  <c r="AN29" i="13" l="1"/>
  <c r="AO28" i="13"/>
  <c r="BI23" i="13"/>
  <c r="BH24" i="13"/>
  <c r="AN29" i="22"/>
  <c r="AN26" i="22" s="1"/>
  <c r="AN30" i="22" s="1"/>
  <c r="AN16" i="22" s="1"/>
  <c r="AN10" i="22" s="1"/>
  <c r="AN17" i="22" s="1"/>
  <c r="AN32" i="22" s="1"/>
  <c r="AP28" i="13" l="1"/>
  <c r="AO29" i="13"/>
  <c r="BI24" i="13"/>
  <c r="AQ28" i="13" l="1"/>
  <c r="AP29" i="13"/>
  <c r="AR28" i="13" l="1"/>
  <c r="AQ29" i="13"/>
  <c r="CB7" i="21"/>
  <c r="CC7" i="21"/>
  <c r="AR29" i="13" l="1"/>
  <c r="AS28" i="13"/>
  <c r="CB5" i="21"/>
  <c r="CC8" i="21"/>
  <c r="CC9" i="21" s="1"/>
  <c r="CB11" i="21"/>
  <c r="AS29" i="13" l="1"/>
  <c r="AT28" i="13"/>
  <c r="CB12" i="21"/>
  <c r="CB13" i="21" s="1"/>
  <c r="CB17" i="21"/>
  <c r="CC17" i="21"/>
  <c r="AT29" i="13" l="1"/>
  <c r="AU28" i="13"/>
  <c r="CB15" i="21"/>
  <c r="CB21" i="21" s="1"/>
  <c r="CC15" i="21"/>
  <c r="CK10" i="14"/>
  <c r="CK4" i="14" s="1"/>
  <c r="CL10" i="14"/>
  <c r="AU29" i="13" l="1"/>
  <c r="AV28" i="13"/>
  <c r="CB25" i="21"/>
  <c r="AV29" i="13" l="1"/>
  <c r="AW28" i="13"/>
  <c r="F24" i="13"/>
  <c r="G24" i="13"/>
  <c r="AW29" i="13" l="1"/>
  <c r="AX28" i="13"/>
  <c r="F29" i="13"/>
  <c r="CO100" i="12"/>
  <c r="CO101" i="12" s="1"/>
  <c r="BC61" i="1"/>
  <c r="BC59" i="1" s="1"/>
  <c r="BD61" i="1"/>
  <c r="BD59" i="1" s="1"/>
  <c r="BE61" i="1"/>
  <c r="BF61" i="1"/>
  <c r="BG61" i="1"/>
  <c r="BG59" i="1" s="1"/>
  <c r="BH61" i="1"/>
  <c r="BT61" i="1" s="1"/>
  <c r="CF61" i="1" s="1"/>
  <c r="BI61" i="1"/>
  <c r="BJ61" i="1"/>
  <c r="BK61" i="1"/>
  <c r="BM61" i="1"/>
  <c r="BY61" i="1" s="1"/>
  <c r="CK61" i="1" s="1"/>
  <c r="BL61" i="1"/>
  <c r="BB61" i="1"/>
  <c r="AX29" i="13" l="1"/>
  <c r="AY28" i="13"/>
  <c r="BH59" i="1"/>
  <c r="BJ59" i="1"/>
  <c r="BI59" i="1"/>
  <c r="BF59" i="1"/>
  <c r="BG64" i="1"/>
  <c r="BG65" i="1" s="1"/>
  <c r="BE59" i="1"/>
  <c r="BP59" i="1"/>
  <c r="BD64" i="1"/>
  <c r="BD65" i="1" s="1"/>
  <c r="BB59" i="1"/>
  <c r="BM59" i="1"/>
  <c r="BY59" i="1" s="1"/>
  <c r="BC64" i="1"/>
  <c r="BC65" i="1" s="1"/>
  <c r="BL59" i="1"/>
  <c r="BK59" i="1"/>
  <c r="BK45" i="1" s="1"/>
  <c r="BQ61" i="1"/>
  <c r="CC61" i="1" s="1"/>
  <c r="BX61" i="1"/>
  <c r="CJ61" i="1" s="1"/>
  <c r="BU61" i="1"/>
  <c r="CG61" i="1" s="1"/>
  <c r="BN61" i="1"/>
  <c r="BZ61" i="1" s="1"/>
  <c r="BW61" i="1"/>
  <c r="CI61" i="1" s="1"/>
  <c r="BR61" i="1"/>
  <c r="CD61" i="1" s="1"/>
  <c r="BD45" i="1"/>
  <c r="BP61" i="1"/>
  <c r="CB61" i="1" s="1"/>
  <c r="BC45" i="1"/>
  <c r="BO61" i="1"/>
  <c r="BS61" i="1"/>
  <c r="BG45" i="1"/>
  <c r="BV61" i="1"/>
  <c r="CH61" i="1" s="1"/>
  <c r="AZ28" i="13" l="1"/>
  <c r="AY29" i="13"/>
  <c r="BO59" i="1"/>
  <c r="CA61" i="1"/>
  <c r="BS59" i="1"/>
  <c r="CE61" i="1"/>
  <c r="BY45" i="1"/>
  <c r="BY47" i="12" s="1"/>
  <c r="BY48" i="12" s="1"/>
  <c r="CK59" i="1"/>
  <c r="BY64" i="1"/>
  <c r="BY65" i="1" s="1"/>
  <c r="BP64" i="1"/>
  <c r="BP65" i="1" s="1"/>
  <c r="CB59" i="1"/>
  <c r="BK47" i="12"/>
  <c r="BK48" i="12" s="1"/>
  <c r="BK115" i="12" s="1"/>
  <c r="BK47" i="1"/>
  <c r="BK79" i="1" s="1"/>
  <c r="BK74" i="1" s="1"/>
  <c r="BK95" i="1"/>
  <c r="BK94" i="1" s="1"/>
  <c r="BK66" i="12" s="1"/>
  <c r="BR59" i="1"/>
  <c r="BF64" i="1"/>
  <c r="BF65" i="1" s="1"/>
  <c r="BF45" i="1"/>
  <c r="BN59" i="1"/>
  <c r="CS59" i="1"/>
  <c r="CS60" i="1" s="1"/>
  <c r="BB64" i="1"/>
  <c r="BI64" i="1"/>
  <c r="BI65" i="1" s="1"/>
  <c r="BB45" i="1"/>
  <c r="BI45" i="1"/>
  <c r="BV59" i="1"/>
  <c r="CH59" i="1" s="1"/>
  <c r="BJ64" i="1"/>
  <c r="BJ65" i="1" s="1"/>
  <c r="BJ45" i="1"/>
  <c r="BW59" i="1"/>
  <c r="CI59" i="1" s="1"/>
  <c r="BK64" i="1"/>
  <c r="BK65" i="1" s="1"/>
  <c r="BT59" i="1"/>
  <c r="CF59" i="1" s="1"/>
  <c r="BH64" i="1"/>
  <c r="BH65" i="1" s="1"/>
  <c r="BX59" i="1"/>
  <c r="CJ59" i="1" s="1"/>
  <c r="BL64" i="1"/>
  <c r="BL65" i="1" s="1"/>
  <c r="BQ59" i="1"/>
  <c r="CC59" i="1" s="1"/>
  <c r="BE64" i="1"/>
  <c r="BE65" i="1" s="1"/>
  <c r="BH45" i="1"/>
  <c r="BM64" i="1"/>
  <c r="BM65" i="1" s="1"/>
  <c r="BM45" i="1"/>
  <c r="BL45" i="1"/>
  <c r="BE45" i="1"/>
  <c r="BU59" i="1"/>
  <c r="CG59" i="1" s="1"/>
  <c r="BD95" i="1"/>
  <c r="BD94" i="1" s="1"/>
  <c r="BD66" i="12" s="1"/>
  <c r="BD47" i="1"/>
  <c r="BD47" i="12"/>
  <c r="BG95" i="1"/>
  <c r="BG94" i="1" s="1"/>
  <c r="BG66" i="12" s="1"/>
  <c r="BG47" i="1"/>
  <c r="BG47" i="12"/>
  <c r="BS45" i="1"/>
  <c r="BO45" i="1"/>
  <c r="BC95" i="1"/>
  <c r="BC94" i="1" s="1"/>
  <c r="BC66" i="12" s="1"/>
  <c r="BC47" i="1"/>
  <c r="BC47" i="12"/>
  <c r="BP45" i="1"/>
  <c r="BA28" i="13" l="1"/>
  <c r="AZ29" i="13"/>
  <c r="BZ59" i="1"/>
  <c r="CT59" i="1"/>
  <c r="CT60" i="1" s="1"/>
  <c r="BY115" i="12"/>
  <c r="BY4" i="12" s="1"/>
  <c r="BM43" i="21"/>
  <c r="BN41" i="21" s="1"/>
  <c r="BM39" i="21" s="1"/>
  <c r="CB45" i="1"/>
  <c r="CB47" i="12" s="1"/>
  <c r="CB64" i="1"/>
  <c r="CB65" i="1" s="1"/>
  <c r="BK91" i="1"/>
  <c r="BK88" i="1"/>
  <c r="CH45" i="1"/>
  <c r="CH47" i="12" s="1"/>
  <c r="CH64" i="1"/>
  <c r="CH65" i="1" s="1"/>
  <c r="BK106" i="1"/>
  <c r="CJ45" i="1"/>
  <c r="CJ47" i="12" s="1"/>
  <c r="CJ48" i="12" s="1"/>
  <c r="CJ64" i="1"/>
  <c r="CJ65" i="1" s="1"/>
  <c r="CF45" i="1"/>
  <c r="CF47" i="12" s="1"/>
  <c r="CF48" i="12" s="1"/>
  <c r="CF64" i="1"/>
  <c r="CF65" i="1" s="1"/>
  <c r="BS64" i="1"/>
  <c r="BS65" i="1" s="1"/>
  <c r="CE59" i="1"/>
  <c r="BK71" i="1"/>
  <c r="BK69" i="1" s="1"/>
  <c r="CG45" i="1"/>
  <c r="CG47" i="12" s="1"/>
  <c r="CG64" i="1"/>
  <c r="CG65" i="1" s="1"/>
  <c r="BK100" i="1"/>
  <c r="BK87" i="1"/>
  <c r="CC45" i="1"/>
  <c r="CC47" i="12" s="1"/>
  <c r="CC48" i="12" s="1"/>
  <c r="CC64" i="1"/>
  <c r="CC65" i="1" s="1"/>
  <c r="CK45" i="1"/>
  <c r="CK47" i="12" s="1"/>
  <c r="CK64" i="1"/>
  <c r="CK65" i="1" s="1"/>
  <c r="BY95" i="1"/>
  <c r="BY94" i="1" s="1"/>
  <c r="BY66" i="12" s="1"/>
  <c r="BY47" i="1"/>
  <c r="BK4" i="1"/>
  <c r="BZ45" i="1"/>
  <c r="BZ64" i="1"/>
  <c r="BK86" i="1"/>
  <c r="BK104" i="1"/>
  <c r="BK89" i="12" s="1"/>
  <c r="CI45" i="1"/>
  <c r="CI47" i="12" s="1"/>
  <c r="CI48" i="12" s="1"/>
  <c r="CI64" i="1"/>
  <c r="CI65" i="1" s="1"/>
  <c r="BR64" i="1"/>
  <c r="BR65" i="1" s="1"/>
  <c r="CD59" i="1"/>
  <c r="BO64" i="1"/>
  <c r="BO65" i="1" s="1"/>
  <c r="CA59" i="1"/>
  <c r="BK108" i="1"/>
  <c r="BK97" i="12" s="1"/>
  <c r="BK96" i="12" s="1"/>
  <c r="BK82" i="1"/>
  <c r="BK81" i="1" s="1"/>
  <c r="BK61" i="12" s="1"/>
  <c r="BK60" i="12" s="1"/>
  <c r="BK90" i="1"/>
  <c r="CS45" i="1"/>
  <c r="BT64" i="1"/>
  <c r="BT65" i="1" s="1"/>
  <c r="BT45" i="1"/>
  <c r="BU64" i="1"/>
  <c r="BU65" i="1" s="1"/>
  <c r="BU45" i="1"/>
  <c r="BQ64" i="1"/>
  <c r="BQ65" i="1" s="1"/>
  <c r="BQ45" i="1"/>
  <c r="BN64" i="1"/>
  <c r="BN45" i="1"/>
  <c r="BV64" i="1"/>
  <c r="BV65" i="1" s="1"/>
  <c r="BV45" i="1"/>
  <c r="BV47" i="1" s="1"/>
  <c r="BB65" i="1"/>
  <c r="CS65" i="1" s="1"/>
  <c r="CS64" i="1"/>
  <c r="BW64" i="1"/>
  <c r="BW65" i="1" s="1"/>
  <c r="BW45" i="1"/>
  <c r="BH47" i="1"/>
  <c r="BH95" i="1"/>
  <c r="BH47" i="12"/>
  <c r="BH48" i="12" s="1"/>
  <c r="BH115" i="12" s="1"/>
  <c r="BJ47" i="12"/>
  <c r="BJ48" i="12" s="1"/>
  <c r="BJ115" i="12" s="1"/>
  <c r="BJ95" i="1"/>
  <c r="BJ94" i="1" s="1"/>
  <c r="BJ66" i="12" s="1"/>
  <c r="BJ47" i="1"/>
  <c r="BF95" i="1"/>
  <c r="BF47" i="12"/>
  <c r="BF48" i="12" s="1"/>
  <c r="AT43" i="21" s="1"/>
  <c r="BF47" i="1"/>
  <c r="BX64" i="1"/>
  <c r="BX65" i="1" s="1"/>
  <c r="BX45" i="1"/>
  <c r="BI95" i="1"/>
  <c r="BI47" i="1"/>
  <c r="BI47" i="12"/>
  <c r="BI48" i="12" s="1"/>
  <c r="AW43" i="21" s="1"/>
  <c r="BE47" i="1"/>
  <c r="BE47" i="12"/>
  <c r="BE48" i="12" s="1"/>
  <c r="AS43" i="21" s="1"/>
  <c r="BE95" i="1"/>
  <c r="BB47" i="1"/>
  <c r="BB95" i="1"/>
  <c r="BB94" i="1" s="1"/>
  <c r="BB66" i="12" s="1"/>
  <c r="BB47" i="12"/>
  <c r="BB48" i="12" s="1"/>
  <c r="BB115" i="12" s="1"/>
  <c r="BR45" i="1"/>
  <c r="BR47" i="1" s="1"/>
  <c r="BL47" i="12"/>
  <c r="BL48" i="12" s="1"/>
  <c r="AZ43" i="21" s="1"/>
  <c r="BL47" i="1"/>
  <c r="BL95" i="1"/>
  <c r="BM47" i="1"/>
  <c r="BM95" i="1"/>
  <c r="BM47" i="12"/>
  <c r="BM48" i="12" s="1"/>
  <c r="BA43" i="21" s="1"/>
  <c r="BD48" i="12"/>
  <c r="BD115" i="12" s="1"/>
  <c r="BD82" i="1"/>
  <c r="BD81" i="1" s="1"/>
  <c r="BD61" i="12" s="1"/>
  <c r="BD60" i="12" s="1"/>
  <c r="BD4" i="1"/>
  <c r="BD90" i="1"/>
  <c r="BD71" i="1"/>
  <c r="BD69" i="1" s="1"/>
  <c r="BD88" i="1"/>
  <c r="BD104" i="1"/>
  <c r="BD86" i="1"/>
  <c r="BD106" i="1"/>
  <c r="BD79" i="1"/>
  <c r="BD74" i="1" s="1"/>
  <c r="BD108" i="1"/>
  <c r="BD97" i="12" s="1"/>
  <c r="BD96" i="12" s="1"/>
  <c r="BD91" i="1"/>
  <c r="BD87" i="1"/>
  <c r="AY43" i="21"/>
  <c r="BK4" i="12"/>
  <c r="BS95" i="1"/>
  <c r="BS94" i="1" s="1"/>
  <c r="BS66" i="12" s="1"/>
  <c r="BS47" i="1"/>
  <c r="BS47" i="12"/>
  <c r="BK58" i="12"/>
  <c r="BK57" i="12" s="1"/>
  <c r="BD100" i="1"/>
  <c r="BG48" i="12"/>
  <c r="BG115" i="12" s="1"/>
  <c r="BC108" i="1"/>
  <c r="BC86" i="1"/>
  <c r="BC4" i="1"/>
  <c r="BC90" i="1"/>
  <c r="BC82" i="1"/>
  <c r="BC91" i="1"/>
  <c r="BC106" i="1"/>
  <c r="BC104" i="1"/>
  <c r="BC71" i="1"/>
  <c r="BC87" i="1"/>
  <c r="BC79" i="1"/>
  <c r="BC88" i="1"/>
  <c r="BG87" i="1"/>
  <c r="BG71" i="1"/>
  <c r="BG69" i="1" s="1"/>
  <c r="BG4" i="1"/>
  <c r="BG108" i="1"/>
  <c r="BG97" i="12" s="1"/>
  <c r="BG96" i="12" s="1"/>
  <c r="BG90" i="1"/>
  <c r="BG88" i="1"/>
  <c r="BG106" i="1"/>
  <c r="BG82" i="1"/>
  <c r="BG81" i="1" s="1"/>
  <c r="BG61" i="12" s="1"/>
  <c r="BG60" i="12" s="1"/>
  <c r="BG91" i="1"/>
  <c r="BG104" i="1"/>
  <c r="BG79" i="1"/>
  <c r="BG74" i="1" s="1"/>
  <c r="BG86" i="1"/>
  <c r="BP95" i="1"/>
  <c r="BP94" i="1" s="1"/>
  <c r="BP66" i="12" s="1"/>
  <c r="BP47" i="1"/>
  <c r="BP47" i="12"/>
  <c r="BG100" i="1"/>
  <c r="BC48" i="12"/>
  <c r="BC115" i="12" s="1"/>
  <c r="BC100" i="1"/>
  <c r="BO95" i="1"/>
  <c r="BO100" i="1" s="1"/>
  <c r="BO47" i="1"/>
  <c r="BO47" i="12"/>
  <c r="BK11" i="1" l="1"/>
  <c r="BA29" i="13"/>
  <c r="BB28" i="13"/>
  <c r="BK85" i="1"/>
  <c r="BK73" i="1" s="1"/>
  <c r="BK98" i="1" s="1"/>
  <c r="BK120" i="1" s="1"/>
  <c r="BK5" i="1"/>
  <c r="BK7" i="1" s="1"/>
  <c r="BK94" i="12"/>
  <c r="BK93" i="12" s="1"/>
  <c r="BK109" i="1"/>
  <c r="BK54" i="12"/>
  <c r="CC115" i="12"/>
  <c r="CC4" i="12" s="1"/>
  <c r="BQ43" i="21"/>
  <c r="BR41" i="21" s="1"/>
  <c r="BQ39" i="21" s="1"/>
  <c r="CI115" i="12"/>
  <c r="CI4" i="12" s="1"/>
  <c r="BW43" i="21"/>
  <c r="BX41" i="21" s="1"/>
  <c r="BW39" i="21" s="1"/>
  <c r="CH48" i="12"/>
  <c r="CH115" i="12" s="1"/>
  <c r="BZ65" i="1"/>
  <c r="CG48" i="12"/>
  <c r="CG115" i="12" s="1"/>
  <c r="BZ47" i="12"/>
  <c r="CB48" i="12"/>
  <c r="BP43" i="21" s="1"/>
  <c r="BQ41" i="21" s="1"/>
  <c r="BP39" i="21" s="1"/>
  <c r="CG4" i="13"/>
  <c r="BN47" i="12"/>
  <c r="CT45" i="1"/>
  <c r="CT64" i="1"/>
  <c r="CF115" i="12"/>
  <c r="CF4" i="12" s="1"/>
  <c r="BT43" i="21"/>
  <c r="BU41" i="21" s="1"/>
  <c r="BT39" i="21" s="1"/>
  <c r="CK48" i="12"/>
  <c r="CK115" i="12" s="1"/>
  <c r="BK12" i="1"/>
  <c r="CJ115" i="12"/>
  <c r="CJ4" i="12" s="1"/>
  <c r="BX43" i="21"/>
  <c r="BY41" i="21" s="1"/>
  <c r="BX39" i="21" s="1"/>
  <c r="CU59" i="1"/>
  <c r="CU60" i="1" s="1"/>
  <c r="BB4" i="12"/>
  <c r="BJ4" i="13" s="1"/>
  <c r="BK13" i="12"/>
  <c r="BS8" i="13" s="1"/>
  <c r="CA45" i="1"/>
  <c r="CA47" i="12" s="1"/>
  <c r="CA48" i="12" s="1"/>
  <c r="CA64" i="1"/>
  <c r="CA65" i="1" s="1"/>
  <c r="BY100" i="1"/>
  <c r="CD45" i="1"/>
  <c r="CD47" i="12" s="1"/>
  <c r="CD64" i="1"/>
  <c r="CD65" i="1" s="1"/>
  <c r="CF95" i="1"/>
  <c r="CF94" i="1" s="1"/>
  <c r="CF66" i="12" s="1"/>
  <c r="CF47" i="1"/>
  <c r="CK95" i="1"/>
  <c r="CK94" i="1" s="1"/>
  <c r="CK66" i="12" s="1"/>
  <c r="CK47" i="1"/>
  <c r="CJ95" i="1"/>
  <c r="CJ94" i="1" s="1"/>
  <c r="CJ66" i="12" s="1"/>
  <c r="CJ47" i="1"/>
  <c r="CI95" i="1"/>
  <c r="CI94" i="1" s="1"/>
  <c r="CI66" i="12" s="1"/>
  <c r="CI47" i="1"/>
  <c r="CC95" i="1"/>
  <c r="CC94" i="1" s="1"/>
  <c r="CC66" i="12" s="1"/>
  <c r="CC47" i="1"/>
  <c r="CH95" i="1"/>
  <c r="CH94" i="1" s="1"/>
  <c r="CH66" i="12" s="1"/>
  <c r="CH100" i="1"/>
  <c r="CH47" i="1"/>
  <c r="BZ95" i="1"/>
  <c r="BZ47" i="1"/>
  <c r="CG95" i="1"/>
  <c r="CG94" i="1" s="1"/>
  <c r="CG66" i="12" s="1"/>
  <c r="CG47" i="1"/>
  <c r="BY106" i="1"/>
  <c r="BY94" i="12" s="1"/>
  <c r="BY93" i="12" s="1"/>
  <c r="BY108" i="1"/>
  <c r="BY97" i="12" s="1"/>
  <c r="BY96" i="12" s="1"/>
  <c r="BY104" i="1"/>
  <c r="BY87" i="1"/>
  <c r="BY88" i="1"/>
  <c r="BY4" i="1"/>
  <c r="BY79" i="1"/>
  <c r="BY74" i="1" s="1"/>
  <c r="BY58" i="12" s="1"/>
  <c r="BY57" i="12" s="1"/>
  <c r="BY91" i="1"/>
  <c r="BY71" i="1"/>
  <c r="BY69" i="1" s="1"/>
  <c r="BY54" i="12" s="1"/>
  <c r="BY90" i="1"/>
  <c r="BY82" i="1"/>
  <c r="BY81" i="1" s="1"/>
  <c r="BY61" i="12" s="1"/>
  <c r="BY60" i="12" s="1"/>
  <c r="BY86" i="1"/>
  <c r="CE45" i="1"/>
  <c r="CE47" i="12" s="1"/>
  <c r="CE64" i="1"/>
  <c r="CE65" i="1" s="1"/>
  <c r="CB95" i="1"/>
  <c r="CB94" i="1" s="1"/>
  <c r="CB66" i="12" s="1"/>
  <c r="CB47" i="1"/>
  <c r="AP43" i="21"/>
  <c r="AQ41" i="21" s="1"/>
  <c r="AP39" i="21" s="1"/>
  <c r="AP38" i="21" s="1"/>
  <c r="AV5" i="14" s="1"/>
  <c r="BL115" i="12"/>
  <c r="BL4" i="12" s="1"/>
  <c r="BR95" i="1"/>
  <c r="BR94" i="1" s="1"/>
  <c r="BR66" i="12" s="1"/>
  <c r="BR47" i="12"/>
  <c r="BR48" i="12" s="1"/>
  <c r="BR115" i="12" s="1"/>
  <c r="BH4" i="12"/>
  <c r="BP4" i="13" s="1"/>
  <c r="BF115" i="12"/>
  <c r="BF4" i="12" s="1"/>
  <c r="CS47" i="1"/>
  <c r="CS48" i="1" s="1"/>
  <c r="CS47" i="12"/>
  <c r="CS48" i="12" s="1"/>
  <c r="DA47" i="12" s="1"/>
  <c r="AV43" i="21"/>
  <c r="AW41" i="21" s="1"/>
  <c r="AV39" i="21" s="1"/>
  <c r="BM115" i="12"/>
  <c r="BM4" i="12" s="1"/>
  <c r="BU4" i="13" s="1"/>
  <c r="BJ100" i="1"/>
  <c r="CS95" i="1"/>
  <c r="BV95" i="1"/>
  <c r="BV94" i="1" s="1"/>
  <c r="BV66" i="12" s="1"/>
  <c r="BB100" i="1"/>
  <c r="AX43" i="21"/>
  <c r="AY41" i="21" s="1"/>
  <c r="AX39" i="21" s="1"/>
  <c r="BE115" i="12"/>
  <c r="BE4" i="12" s="1"/>
  <c r="BM4" i="13" s="1"/>
  <c r="BN47" i="1"/>
  <c r="BN4" i="1" s="1"/>
  <c r="BB90" i="1"/>
  <c r="BB4" i="1"/>
  <c r="BB86" i="1"/>
  <c r="BB71" i="1"/>
  <c r="BB69" i="1" s="1"/>
  <c r="BB91" i="1"/>
  <c r="BB104" i="1"/>
  <c r="BB82" i="1"/>
  <c r="BB81" i="1" s="1"/>
  <c r="BB61" i="12" s="1"/>
  <c r="BB60" i="12" s="1"/>
  <c r="BB79" i="1"/>
  <c r="BB74" i="1" s="1"/>
  <c r="BB108" i="1"/>
  <c r="BB97" i="12" s="1"/>
  <c r="BB96" i="12" s="1"/>
  <c r="BB88" i="1"/>
  <c r="BB87" i="1"/>
  <c r="BB106" i="1"/>
  <c r="BF94" i="1"/>
  <c r="BF66" i="12" s="1"/>
  <c r="BF100" i="1"/>
  <c r="BE94" i="1"/>
  <c r="BE100" i="1"/>
  <c r="BJ82" i="1"/>
  <c r="BJ81" i="1" s="1"/>
  <c r="BJ61" i="12" s="1"/>
  <c r="BJ60" i="12" s="1"/>
  <c r="BJ79" i="1"/>
  <c r="BJ74" i="1" s="1"/>
  <c r="BJ91" i="1"/>
  <c r="BJ104" i="1"/>
  <c r="BJ106" i="1"/>
  <c r="BJ71" i="1"/>
  <c r="BJ69" i="1" s="1"/>
  <c r="BJ88" i="1"/>
  <c r="BJ4" i="1"/>
  <c r="BJ108" i="1"/>
  <c r="BJ97" i="12" s="1"/>
  <c r="BJ96" i="12" s="1"/>
  <c r="BJ87" i="1"/>
  <c r="BJ90" i="1"/>
  <c r="BJ86" i="1"/>
  <c r="BM94" i="1"/>
  <c r="BM66" i="12" s="1"/>
  <c r="BM100" i="1"/>
  <c r="BM91" i="1"/>
  <c r="BM79" i="1"/>
  <c r="BM74" i="1" s="1"/>
  <c r="BM82" i="1"/>
  <c r="BM81" i="1" s="1"/>
  <c r="BM61" i="12" s="1"/>
  <c r="BM60" i="12" s="1"/>
  <c r="BM87" i="1"/>
  <c r="BM108" i="1"/>
  <c r="BM97" i="12" s="1"/>
  <c r="BM96" i="12" s="1"/>
  <c r="BM86" i="1"/>
  <c r="BM90" i="1"/>
  <c r="BM4" i="1"/>
  <c r="BM71" i="1"/>
  <c r="BM69" i="1" s="1"/>
  <c r="BM106" i="1"/>
  <c r="BM88" i="1"/>
  <c r="BM104" i="1"/>
  <c r="BE88" i="1"/>
  <c r="BE90" i="1"/>
  <c r="BE4" i="1"/>
  <c r="BE79" i="1"/>
  <c r="BE74" i="1" s="1"/>
  <c r="BE82" i="1"/>
  <c r="BE81" i="1" s="1"/>
  <c r="BE61" i="12" s="1"/>
  <c r="BE60" i="12" s="1"/>
  <c r="BE106" i="1"/>
  <c r="BE87" i="1"/>
  <c r="BE91" i="1"/>
  <c r="BE108" i="1"/>
  <c r="BE97" i="12" s="1"/>
  <c r="BE96" i="12" s="1"/>
  <c r="BE71" i="1"/>
  <c r="BE69" i="1" s="1"/>
  <c r="BE86" i="1"/>
  <c r="BE104" i="1"/>
  <c r="BN65" i="1"/>
  <c r="CT65" i="1" s="1"/>
  <c r="BI82" i="1"/>
  <c r="BI81" i="1" s="1"/>
  <c r="BI61" i="12" s="1"/>
  <c r="BI60" i="12" s="1"/>
  <c r="BI88" i="1"/>
  <c r="BI71" i="1"/>
  <c r="BI69" i="1" s="1"/>
  <c r="BI91" i="1"/>
  <c r="BI90" i="1"/>
  <c r="BI104" i="1"/>
  <c r="BI108" i="1"/>
  <c r="BI97" i="12" s="1"/>
  <c r="BI96" i="12" s="1"/>
  <c r="BI79" i="1"/>
  <c r="BI74" i="1" s="1"/>
  <c r="BI106" i="1"/>
  <c r="BI4" i="1"/>
  <c r="BI86" i="1"/>
  <c r="BI87" i="1"/>
  <c r="BQ47" i="12"/>
  <c r="BQ48" i="12" s="1"/>
  <c r="BQ47" i="1"/>
  <c r="BQ95" i="1"/>
  <c r="BQ94" i="1" s="1"/>
  <c r="BQ66" i="12" s="1"/>
  <c r="BL94" i="1"/>
  <c r="BL66" i="12" s="1"/>
  <c r="BL100" i="1"/>
  <c r="BI94" i="1"/>
  <c r="BI66" i="12" s="1"/>
  <c r="BI100" i="1"/>
  <c r="BH94" i="1"/>
  <c r="BH66" i="12" s="1"/>
  <c r="BH100" i="1"/>
  <c r="BL91" i="1"/>
  <c r="BL90" i="1"/>
  <c r="BL108" i="1"/>
  <c r="BL97" i="12" s="1"/>
  <c r="BL96" i="12" s="1"/>
  <c r="BL79" i="1"/>
  <c r="BL74" i="1" s="1"/>
  <c r="BL4" i="1"/>
  <c r="BL86" i="1"/>
  <c r="BL106" i="1"/>
  <c r="BL71" i="1"/>
  <c r="BL69" i="1" s="1"/>
  <c r="BL87" i="1"/>
  <c r="BL88" i="1"/>
  <c r="BL104" i="1"/>
  <c r="BL82" i="1"/>
  <c r="BL81" i="1" s="1"/>
  <c r="BL61" i="12" s="1"/>
  <c r="BL60" i="12" s="1"/>
  <c r="BX47" i="12"/>
  <c r="BX48" i="12" s="1"/>
  <c r="BX95" i="1"/>
  <c r="BX47" i="1"/>
  <c r="BH106" i="1"/>
  <c r="BH82" i="1"/>
  <c r="BH81" i="1" s="1"/>
  <c r="BH61" i="12" s="1"/>
  <c r="BH60" i="12" s="1"/>
  <c r="BH90" i="1"/>
  <c r="BH79" i="1"/>
  <c r="BH74" i="1" s="1"/>
  <c r="BH86" i="1"/>
  <c r="BH4" i="1"/>
  <c r="BH108" i="1"/>
  <c r="BH97" i="12" s="1"/>
  <c r="BH96" i="12" s="1"/>
  <c r="BH104" i="1"/>
  <c r="BH88" i="1"/>
  <c r="BH71" i="1"/>
  <c r="BH69" i="1" s="1"/>
  <c r="BH87" i="1"/>
  <c r="BH91" i="1"/>
  <c r="BU47" i="1"/>
  <c r="BU47" i="12"/>
  <c r="BU48" i="12" s="1"/>
  <c r="BU115" i="12" s="1"/>
  <c r="BU95" i="1"/>
  <c r="BJ4" i="12"/>
  <c r="BR4" i="13" s="1"/>
  <c r="BN95" i="1"/>
  <c r="BW95" i="1"/>
  <c r="BW47" i="12"/>
  <c r="BW48" i="12" s="1"/>
  <c r="BK43" i="21" s="1"/>
  <c r="BL41" i="21" s="1"/>
  <c r="BW47" i="1"/>
  <c r="BI115" i="12"/>
  <c r="BI4" i="12" s="1"/>
  <c r="BQ4" i="13" s="1"/>
  <c r="BV47" i="12"/>
  <c r="BV48" i="12" s="1"/>
  <c r="BT95" i="1"/>
  <c r="BT94" i="1" s="1"/>
  <c r="BT66" i="12" s="1"/>
  <c r="BT47" i="1"/>
  <c r="BT47" i="12"/>
  <c r="BK100" i="12"/>
  <c r="BE7" i="14" s="1"/>
  <c r="BE9" i="14" s="1"/>
  <c r="BF90" i="1"/>
  <c r="BF106" i="1"/>
  <c r="BF87" i="1"/>
  <c r="BF104" i="1"/>
  <c r="BF4" i="1"/>
  <c r="BF79" i="1"/>
  <c r="BF74" i="1" s="1"/>
  <c r="BF82" i="1"/>
  <c r="BF81" i="1" s="1"/>
  <c r="BF61" i="12" s="1"/>
  <c r="BF60" i="12" s="1"/>
  <c r="BF91" i="1"/>
  <c r="BF88" i="1"/>
  <c r="BF71" i="1"/>
  <c r="BF69" i="1" s="1"/>
  <c r="BF108" i="1"/>
  <c r="BF97" i="12" s="1"/>
  <c r="BF96" i="12" s="1"/>
  <c r="BF86" i="1"/>
  <c r="BR100" i="1"/>
  <c r="BP100" i="1"/>
  <c r="BR106" i="1"/>
  <c r="BR4" i="1"/>
  <c r="BR82" i="1"/>
  <c r="BR81" i="1" s="1"/>
  <c r="BR61" i="12" s="1"/>
  <c r="BR60" i="12" s="1"/>
  <c r="BR87" i="1"/>
  <c r="BR108" i="1"/>
  <c r="BR97" i="12" s="1"/>
  <c r="BR96" i="12" s="1"/>
  <c r="BR86" i="1"/>
  <c r="BR91" i="1"/>
  <c r="BR79" i="1"/>
  <c r="BR74" i="1" s="1"/>
  <c r="BR88" i="1"/>
  <c r="BR90" i="1"/>
  <c r="BR104" i="1"/>
  <c r="BR71" i="1"/>
  <c r="BR69" i="1" s="1"/>
  <c r="BD85" i="1"/>
  <c r="BD64" i="12" s="1"/>
  <c r="BD63" i="12" s="1"/>
  <c r="BD11" i="12" s="1"/>
  <c r="BN48" i="12"/>
  <c r="BN115" i="12" s="1"/>
  <c r="BD12" i="1"/>
  <c r="BD94" i="12"/>
  <c r="BD93" i="12" s="1"/>
  <c r="BD13" i="12" s="1"/>
  <c r="BL8" i="13" s="1"/>
  <c r="BO94" i="1"/>
  <c r="BK12" i="12"/>
  <c r="BG12" i="1"/>
  <c r="BG94" i="12"/>
  <c r="BG93" i="12" s="1"/>
  <c r="BG13" i="12" s="1"/>
  <c r="BO8" i="13" s="1"/>
  <c r="BC85" i="1"/>
  <c r="AU43" i="21"/>
  <c r="BG4" i="12"/>
  <c r="BS4" i="13"/>
  <c r="BC97" i="12"/>
  <c r="BV88" i="1"/>
  <c r="BV90" i="1"/>
  <c r="BV86" i="1"/>
  <c r="BV4" i="1"/>
  <c r="BV82" i="1"/>
  <c r="BV81" i="1" s="1"/>
  <c r="BV61" i="12" s="1"/>
  <c r="BV60" i="12" s="1"/>
  <c r="BV87" i="1"/>
  <c r="BV91" i="1"/>
  <c r="BV108" i="1"/>
  <c r="BV97" i="12" s="1"/>
  <c r="BV96" i="12" s="1"/>
  <c r="BV104" i="1"/>
  <c r="BV71" i="1"/>
  <c r="BV69" i="1" s="1"/>
  <c r="BV106" i="1"/>
  <c r="BV79" i="1"/>
  <c r="BV74" i="1" s="1"/>
  <c r="AZ41" i="21"/>
  <c r="AY39" i="21" s="1"/>
  <c r="BD89" i="12"/>
  <c r="BD109" i="1"/>
  <c r="AQ43" i="21"/>
  <c r="BC4" i="12"/>
  <c r="BC74" i="1"/>
  <c r="AR43" i="21"/>
  <c r="BD4" i="12"/>
  <c r="AT41" i="21"/>
  <c r="AS39" i="21" s="1"/>
  <c r="AX41" i="21"/>
  <c r="AW39" i="21" s="1"/>
  <c r="BG54" i="12"/>
  <c r="BG5" i="1"/>
  <c r="BG7" i="1" s="1"/>
  <c r="BD54" i="12"/>
  <c r="BD5" i="1"/>
  <c r="BD7" i="1" s="1"/>
  <c r="BP87" i="1"/>
  <c r="BP82" i="1"/>
  <c r="BP81" i="1" s="1"/>
  <c r="BP61" i="12" s="1"/>
  <c r="BP60" i="12" s="1"/>
  <c r="BP91" i="1"/>
  <c r="BP106" i="1"/>
  <c r="BP79" i="1"/>
  <c r="BP74" i="1" s="1"/>
  <c r="BP90" i="1"/>
  <c r="BP108" i="1"/>
  <c r="BP97" i="12" s="1"/>
  <c r="BP96" i="12" s="1"/>
  <c r="BP4" i="1"/>
  <c r="BP104" i="1"/>
  <c r="BP88" i="1"/>
  <c r="BP71" i="1"/>
  <c r="BP69" i="1" s="1"/>
  <c r="BP86" i="1"/>
  <c r="BS48" i="12"/>
  <c r="BS115" i="12" s="1"/>
  <c r="BO48" i="12"/>
  <c r="BO115" i="12" s="1"/>
  <c r="BK10" i="1"/>
  <c r="BK64" i="12"/>
  <c r="BK63" i="12" s="1"/>
  <c r="BK11" i="12" s="1"/>
  <c r="BK6" i="12"/>
  <c r="BS5" i="13" s="1"/>
  <c r="BK53" i="12"/>
  <c r="BG85" i="1"/>
  <c r="BG73" i="1" s="1"/>
  <c r="BG98" i="1" s="1"/>
  <c r="BG120" i="1" s="1"/>
  <c r="BC69" i="1"/>
  <c r="BS108" i="1"/>
  <c r="BS97" i="12" s="1"/>
  <c r="BS96" i="12" s="1"/>
  <c r="BS90" i="1"/>
  <c r="BS86" i="1"/>
  <c r="BS104" i="1"/>
  <c r="BS79" i="1"/>
  <c r="BS74" i="1" s="1"/>
  <c r="BS82" i="1"/>
  <c r="BS81" i="1" s="1"/>
  <c r="BS61" i="12" s="1"/>
  <c r="BS60" i="12" s="1"/>
  <c r="BS71" i="1"/>
  <c r="BS69" i="1" s="1"/>
  <c r="BS88" i="1"/>
  <c r="BS4" i="1"/>
  <c r="BS87" i="1"/>
  <c r="BS91" i="1"/>
  <c r="BS106" i="1"/>
  <c r="BK8" i="1"/>
  <c r="BG11" i="1"/>
  <c r="BG58" i="12"/>
  <c r="BG57" i="12" s="1"/>
  <c r="BC109" i="1"/>
  <c r="BC89" i="12"/>
  <c r="BC81" i="1"/>
  <c r="BO82" i="1"/>
  <c r="BO106" i="1"/>
  <c r="BO87" i="1"/>
  <c r="BO4" i="1"/>
  <c r="BO90" i="1"/>
  <c r="BO86" i="1"/>
  <c r="BO88" i="1"/>
  <c r="BO104" i="1"/>
  <c r="BO108" i="1"/>
  <c r="BO91" i="1"/>
  <c r="BO79" i="1"/>
  <c r="BO71" i="1"/>
  <c r="BG109" i="1"/>
  <c r="BG89" i="12"/>
  <c r="BC12" i="1"/>
  <c r="BC94" i="12"/>
  <c r="BS100" i="1"/>
  <c r="AU41" i="21"/>
  <c r="AT39" i="21" s="1"/>
  <c r="BP48" i="12"/>
  <c r="BP115" i="12" s="1"/>
  <c r="BA41" i="21"/>
  <c r="AZ39" i="21" s="1"/>
  <c r="BD11" i="1"/>
  <c r="BD58" i="12"/>
  <c r="BD57" i="12" s="1"/>
  <c r="BB41" i="21"/>
  <c r="BB29" i="13" l="1"/>
  <c r="BC28" i="13"/>
  <c r="BX38" i="21"/>
  <c r="CD5" i="14" s="1"/>
  <c r="BK14" i="1"/>
  <c r="BK18" i="1" s="1"/>
  <c r="BK25" i="1" s="1"/>
  <c r="CF100" i="1"/>
  <c r="CB115" i="12"/>
  <c r="CB4" i="12" s="1"/>
  <c r="CN4" i="13"/>
  <c r="BX115" i="12"/>
  <c r="BX4" i="12" s="1"/>
  <c r="CF4" i="13" s="1"/>
  <c r="BL43" i="21"/>
  <c r="BM41" i="21" s="1"/>
  <c r="CE48" i="12"/>
  <c r="CE115" i="12" s="1"/>
  <c r="BY13" i="12"/>
  <c r="CG8" i="13" s="1"/>
  <c r="CI100" i="1"/>
  <c r="BU43" i="21"/>
  <c r="BV41" i="21" s="1"/>
  <c r="BU39" i="21" s="1"/>
  <c r="BU38" i="21" s="1"/>
  <c r="CA5" i="14" s="1"/>
  <c r="CG4" i="12"/>
  <c r="CA115" i="12"/>
  <c r="CA4" i="12" s="1"/>
  <c r="BO43" i="21"/>
  <c r="BP41" i="21" s="1"/>
  <c r="BO39" i="21" s="1"/>
  <c r="CU64" i="1"/>
  <c r="CG100" i="1"/>
  <c r="CU65" i="1"/>
  <c r="BN94" i="1"/>
  <c r="CT95" i="1"/>
  <c r="BN91" i="1"/>
  <c r="CT47" i="1"/>
  <c r="CT48" i="1" s="1"/>
  <c r="BY53" i="12"/>
  <c r="BR6" i="14" s="1"/>
  <c r="BY6" i="12"/>
  <c r="BV43" i="21"/>
  <c r="BW41" i="21" s="1"/>
  <c r="BV39" i="21" s="1"/>
  <c r="CH4" i="12"/>
  <c r="BZ94" i="1"/>
  <c r="CQ4" i="13"/>
  <c r="BY12" i="12"/>
  <c r="CR4" i="13"/>
  <c r="CJ4" i="13"/>
  <c r="BP38" i="21"/>
  <c r="BV5" i="14" s="1"/>
  <c r="CK4" i="13"/>
  <c r="BY43" i="21"/>
  <c r="BY39" i="21" s="1"/>
  <c r="BY38" i="21" s="1"/>
  <c r="CE5" i="14" s="1"/>
  <c r="CK4" i="12"/>
  <c r="CU45" i="1"/>
  <c r="BQ38" i="21"/>
  <c r="BW5" i="14" s="1"/>
  <c r="BY109" i="1"/>
  <c r="BY89" i="12"/>
  <c r="BY100" i="12" s="1"/>
  <c r="BS7" i="14" s="1"/>
  <c r="BS9" i="14" s="1"/>
  <c r="CD48" i="12"/>
  <c r="BR43" i="21" s="1"/>
  <c r="BS41" i="21" s="1"/>
  <c r="BR39" i="21" s="1"/>
  <c r="BR38" i="21" s="1"/>
  <c r="BX5" i="14" s="1"/>
  <c r="BZ48" i="12"/>
  <c r="CU47" i="12"/>
  <c r="CT47" i="12"/>
  <c r="BY11" i="1"/>
  <c r="CH87" i="1"/>
  <c r="CH90" i="1"/>
  <c r="CH88" i="1"/>
  <c r="CH104" i="1"/>
  <c r="CH108" i="1"/>
  <c r="CH97" i="12" s="1"/>
  <c r="CH96" i="12" s="1"/>
  <c r="CH79" i="1"/>
  <c r="CH74" i="1" s="1"/>
  <c r="CH58" i="12" s="1"/>
  <c r="CH57" i="12" s="1"/>
  <c r="CH82" i="1"/>
  <c r="CH81" i="1" s="1"/>
  <c r="CH61" i="12" s="1"/>
  <c r="CH60" i="12" s="1"/>
  <c r="CH86" i="1"/>
  <c r="CH4" i="1"/>
  <c r="CH71" i="1"/>
  <c r="CH69" i="1" s="1"/>
  <c r="CH54" i="12" s="1"/>
  <c r="CH106" i="1"/>
  <c r="CH94" i="12" s="1"/>
  <c r="CH93" i="12" s="1"/>
  <c r="CH91" i="1"/>
  <c r="CK104" i="1"/>
  <c r="CK89" i="12" s="1"/>
  <c r="CK91" i="1"/>
  <c r="CK79" i="1"/>
  <c r="CK74" i="1" s="1"/>
  <c r="CK58" i="12" s="1"/>
  <c r="CK57" i="12" s="1"/>
  <c r="CK4" i="1"/>
  <c r="CK71" i="1"/>
  <c r="CK69" i="1" s="1"/>
  <c r="CK88" i="1"/>
  <c r="CK87" i="1"/>
  <c r="CK106" i="1"/>
  <c r="CK82" i="1"/>
  <c r="CK81" i="1" s="1"/>
  <c r="CK61" i="12" s="1"/>
  <c r="CK60" i="12" s="1"/>
  <c r="CK108" i="1"/>
  <c r="CK97" i="12" s="1"/>
  <c r="CK96" i="12" s="1"/>
  <c r="CK90" i="1"/>
  <c r="CK86" i="1"/>
  <c r="CB4" i="1"/>
  <c r="CB88" i="1"/>
  <c r="CB79" i="1"/>
  <c r="CB74" i="1" s="1"/>
  <c r="CB58" i="12" s="1"/>
  <c r="CB57" i="12" s="1"/>
  <c r="CB87" i="1"/>
  <c r="CB86" i="1"/>
  <c r="CB108" i="1"/>
  <c r="CB97" i="12" s="1"/>
  <c r="CB96" i="12" s="1"/>
  <c r="CB104" i="1"/>
  <c r="CB89" i="12" s="1"/>
  <c r="CB106" i="1"/>
  <c r="CB71" i="1"/>
  <c r="CB69" i="1" s="1"/>
  <c r="CB90" i="1"/>
  <c r="CB91" i="1"/>
  <c r="CB82" i="1"/>
  <c r="CB81" i="1" s="1"/>
  <c r="CB61" i="12" s="1"/>
  <c r="CB60" i="12" s="1"/>
  <c r="CB100" i="1"/>
  <c r="CK100" i="1"/>
  <c r="BN90" i="1"/>
  <c r="CC91" i="1"/>
  <c r="CC82" i="1"/>
  <c r="CC81" i="1" s="1"/>
  <c r="CC61" i="12" s="1"/>
  <c r="CC60" i="12" s="1"/>
  <c r="CC79" i="1"/>
  <c r="CC74" i="1" s="1"/>
  <c r="CC58" i="12" s="1"/>
  <c r="CC57" i="12" s="1"/>
  <c r="CC104" i="1"/>
  <c r="CC90" i="1"/>
  <c r="CC86" i="1"/>
  <c r="CC4" i="1"/>
  <c r="CC106" i="1"/>
  <c r="CC94" i="12" s="1"/>
  <c r="CC93" i="12" s="1"/>
  <c r="CC71" i="1"/>
  <c r="CC69" i="1" s="1"/>
  <c r="CC54" i="12" s="1"/>
  <c r="CC108" i="1"/>
  <c r="CC97" i="12" s="1"/>
  <c r="CC96" i="12" s="1"/>
  <c r="CC87" i="1"/>
  <c r="CC88" i="1"/>
  <c r="CF79" i="1"/>
  <c r="CF74" i="1" s="1"/>
  <c r="CF58" i="12" s="1"/>
  <c r="CF57" i="12" s="1"/>
  <c r="CF91" i="1"/>
  <c r="CF71" i="1"/>
  <c r="CF69" i="1" s="1"/>
  <c r="CF82" i="1"/>
  <c r="CF81" i="1" s="1"/>
  <c r="CF61" i="12" s="1"/>
  <c r="CF60" i="12" s="1"/>
  <c r="CF90" i="1"/>
  <c r="CF87" i="1"/>
  <c r="CF108" i="1"/>
  <c r="CF97" i="12" s="1"/>
  <c r="CF96" i="12" s="1"/>
  <c r="CF86" i="1"/>
  <c r="CF104" i="1"/>
  <c r="CF89" i="12" s="1"/>
  <c r="CF4" i="1"/>
  <c r="CF88" i="1"/>
  <c r="CF106" i="1"/>
  <c r="CE95" i="1"/>
  <c r="CE94" i="1" s="1"/>
  <c r="CE66" i="12" s="1"/>
  <c r="CE47" i="1"/>
  <c r="BY12" i="1"/>
  <c r="CC100" i="1"/>
  <c r="BY85" i="1"/>
  <c r="CG71" i="1"/>
  <c r="CG69" i="1" s="1"/>
  <c r="CG54" i="12" s="1"/>
  <c r="CG106" i="1"/>
  <c r="CG94" i="12" s="1"/>
  <c r="CG93" i="12" s="1"/>
  <c r="CG88" i="1"/>
  <c r="CG79" i="1"/>
  <c r="CG74" i="1" s="1"/>
  <c r="CG58" i="12" s="1"/>
  <c r="CG57" i="12" s="1"/>
  <c r="CG86" i="1"/>
  <c r="CG108" i="1"/>
  <c r="CG97" i="12" s="1"/>
  <c r="CG96" i="12" s="1"/>
  <c r="CG104" i="1"/>
  <c r="CG89" i="12" s="1"/>
  <c r="CG87" i="1"/>
  <c r="CG91" i="1"/>
  <c r="CG4" i="1"/>
  <c r="CG90" i="1"/>
  <c r="CG82" i="1"/>
  <c r="CG81" i="1" s="1"/>
  <c r="CG61" i="12" s="1"/>
  <c r="CG60" i="12" s="1"/>
  <c r="CI4" i="1"/>
  <c r="CI71" i="1"/>
  <c r="CI69" i="1" s="1"/>
  <c r="CI54" i="12" s="1"/>
  <c r="CI90" i="1"/>
  <c r="CI79" i="1"/>
  <c r="CI74" i="1" s="1"/>
  <c r="CI58" i="12" s="1"/>
  <c r="CI57" i="12" s="1"/>
  <c r="CI104" i="1"/>
  <c r="CI89" i="12" s="1"/>
  <c r="CI86" i="1"/>
  <c r="CI87" i="1"/>
  <c r="CI106" i="1"/>
  <c r="CI94" i="12" s="1"/>
  <c r="CI93" i="12" s="1"/>
  <c r="CI108" i="1"/>
  <c r="CI97" i="12" s="1"/>
  <c r="CI96" i="12" s="1"/>
  <c r="CI88" i="1"/>
  <c r="CI82" i="1"/>
  <c r="CI81" i="1" s="1"/>
  <c r="CI61" i="12" s="1"/>
  <c r="CI60" i="12" s="1"/>
  <c r="CI91" i="1"/>
  <c r="CD95" i="1"/>
  <c r="CD94" i="1" s="1"/>
  <c r="CD66" i="12" s="1"/>
  <c r="CD47" i="1"/>
  <c r="BY5" i="1"/>
  <c r="BY7" i="1" s="1"/>
  <c r="BZ86" i="1"/>
  <c r="BZ4" i="1"/>
  <c r="BZ88" i="1"/>
  <c r="BZ104" i="1"/>
  <c r="BZ87" i="1"/>
  <c r="BZ71" i="1"/>
  <c r="BZ108" i="1"/>
  <c r="BZ82" i="1"/>
  <c r="BZ106" i="1"/>
  <c r="BZ90" i="1"/>
  <c r="BZ91" i="1"/>
  <c r="BZ79" i="1"/>
  <c r="CJ79" i="1"/>
  <c r="CJ74" i="1" s="1"/>
  <c r="CJ58" i="12" s="1"/>
  <c r="CJ57" i="12" s="1"/>
  <c r="CJ90" i="1"/>
  <c r="CJ86" i="1"/>
  <c r="CJ108" i="1"/>
  <c r="CJ97" i="12" s="1"/>
  <c r="CJ96" i="12" s="1"/>
  <c r="CJ82" i="1"/>
  <c r="CJ81" i="1" s="1"/>
  <c r="CJ61" i="12" s="1"/>
  <c r="CJ60" i="12" s="1"/>
  <c r="CJ104" i="1"/>
  <c r="CJ71" i="1"/>
  <c r="CJ69" i="1" s="1"/>
  <c r="CJ54" i="12" s="1"/>
  <c r="CJ106" i="1"/>
  <c r="CJ88" i="1"/>
  <c r="CJ91" i="1"/>
  <c r="CJ87" i="1"/>
  <c r="CJ4" i="1"/>
  <c r="BZ100" i="1"/>
  <c r="CJ100" i="1"/>
  <c r="CA95" i="1"/>
  <c r="CA94" i="1" s="1"/>
  <c r="CA66" i="12" s="1"/>
  <c r="CA47" i="1"/>
  <c r="BF43" i="21"/>
  <c r="BG41" i="21" s="1"/>
  <c r="BF39" i="21" s="1"/>
  <c r="BR4" i="12"/>
  <c r="BZ4" i="13" s="1"/>
  <c r="BU4" i="12"/>
  <c r="CC4" i="13" s="1"/>
  <c r="BW115" i="12"/>
  <c r="BW4" i="12" s="1"/>
  <c r="BI43" i="21"/>
  <c r="BJ41" i="21" s="1"/>
  <c r="BI39" i="21" s="1"/>
  <c r="BN79" i="1"/>
  <c r="CS91" i="1"/>
  <c r="BN88" i="1"/>
  <c r="BV100" i="1"/>
  <c r="BN100" i="1"/>
  <c r="CS87" i="1"/>
  <c r="BD73" i="1"/>
  <c r="BD98" i="1" s="1"/>
  <c r="BD120" i="1" s="1"/>
  <c r="BN108" i="1"/>
  <c r="BN106" i="1"/>
  <c r="BN104" i="1"/>
  <c r="BN82" i="1"/>
  <c r="BN86" i="1"/>
  <c r="CS82" i="1"/>
  <c r="BN71" i="1"/>
  <c r="BN87" i="1"/>
  <c r="CS4" i="1"/>
  <c r="CS106" i="1"/>
  <c r="CS108" i="1"/>
  <c r="CS90" i="1"/>
  <c r="CS104" i="1"/>
  <c r="BE85" i="1"/>
  <c r="CS71" i="1"/>
  <c r="BD10" i="1"/>
  <c r="BD14" i="1" s="1"/>
  <c r="BD18" i="1" s="1"/>
  <c r="BD25" i="1" s="1"/>
  <c r="BT100" i="1"/>
  <c r="CS86" i="1"/>
  <c r="CS88" i="1"/>
  <c r="BF11" i="1"/>
  <c r="BF58" i="12"/>
  <c r="BF57" i="12" s="1"/>
  <c r="BQ100" i="1"/>
  <c r="BE94" i="12"/>
  <c r="BE93" i="12" s="1"/>
  <c r="BE13" i="12" s="1"/>
  <c r="BM8" i="13" s="1"/>
  <c r="BE12" i="1"/>
  <c r="BM85" i="1"/>
  <c r="BB12" i="1"/>
  <c r="BB94" i="12"/>
  <c r="BB93" i="12" s="1"/>
  <c r="BB13" i="12" s="1"/>
  <c r="BJ8" i="13" s="1"/>
  <c r="BU108" i="1"/>
  <c r="BU97" i="12" s="1"/>
  <c r="BU96" i="12" s="1"/>
  <c r="BU106" i="1"/>
  <c r="BU71" i="1"/>
  <c r="BU69" i="1" s="1"/>
  <c r="BU86" i="1"/>
  <c r="BU88" i="1"/>
  <c r="BU87" i="1"/>
  <c r="BU4" i="1"/>
  <c r="BU82" i="1"/>
  <c r="BU81" i="1" s="1"/>
  <c r="BU61" i="12" s="1"/>
  <c r="BU60" i="12" s="1"/>
  <c r="BU79" i="1"/>
  <c r="BU74" i="1" s="1"/>
  <c r="BU91" i="1"/>
  <c r="BU104" i="1"/>
  <c r="BU90" i="1"/>
  <c r="BH12" i="1"/>
  <c r="BH94" i="12"/>
  <c r="BH93" i="12" s="1"/>
  <c r="BH13" i="12" s="1"/>
  <c r="BP8" i="13" s="1"/>
  <c r="BL11" i="1"/>
  <c r="BL58" i="12"/>
  <c r="BL57" i="12" s="1"/>
  <c r="BI5" i="1"/>
  <c r="BI7" i="1" s="1"/>
  <c r="BI8" i="1" s="1"/>
  <c r="BI54" i="12"/>
  <c r="BF109" i="1"/>
  <c r="BF89" i="12"/>
  <c r="BX88" i="1"/>
  <c r="BX87" i="1"/>
  <c r="BX79" i="1"/>
  <c r="BX74" i="1" s="1"/>
  <c r="BX71" i="1"/>
  <c r="BX69" i="1" s="1"/>
  <c r="BX104" i="1"/>
  <c r="BX82" i="1"/>
  <c r="BX81" i="1" s="1"/>
  <c r="BX61" i="12" s="1"/>
  <c r="BX60" i="12" s="1"/>
  <c r="BX4" i="1"/>
  <c r="BX86" i="1"/>
  <c r="BX106" i="1"/>
  <c r="BX90" i="1"/>
  <c r="BX91" i="1"/>
  <c r="BX108" i="1"/>
  <c r="BX97" i="12" s="1"/>
  <c r="BX96" i="12" s="1"/>
  <c r="BQ90" i="1"/>
  <c r="BQ88" i="1"/>
  <c r="BQ104" i="1"/>
  <c r="BQ106" i="1"/>
  <c r="BQ91" i="1"/>
  <c r="BQ79" i="1"/>
  <c r="BQ74" i="1" s="1"/>
  <c r="BQ71" i="1"/>
  <c r="BQ69" i="1" s="1"/>
  <c r="BQ4" i="1"/>
  <c r="BQ87" i="1"/>
  <c r="BQ86" i="1"/>
  <c r="BQ108" i="1"/>
  <c r="BQ97" i="12" s="1"/>
  <c r="BQ96" i="12" s="1"/>
  <c r="BQ82" i="1"/>
  <c r="BQ81" i="1" s="1"/>
  <c r="BQ61" i="12" s="1"/>
  <c r="BQ60" i="12" s="1"/>
  <c r="BE11" i="1"/>
  <c r="BE58" i="12"/>
  <c r="BE57" i="12" s="1"/>
  <c r="BJ54" i="12"/>
  <c r="BJ5" i="1"/>
  <c r="BJ7" i="1" s="1"/>
  <c r="BJ8" i="1" s="1"/>
  <c r="BX94" i="1"/>
  <c r="BX66" i="12" s="1"/>
  <c r="BX100" i="1"/>
  <c r="BQ115" i="12"/>
  <c r="BQ4" i="12" s="1"/>
  <c r="BY4" i="13" s="1"/>
  <c r="BE43" i="21"/>
  <c r="BF41" i="21" s="1"/>
  <c r="BE39" i="21" s="1"/>
  <c r="BJ12" i="1"/>
  <c r="BJ94" i="12"/>
  <c r="BJ93" i="12" s="1"/>
  <c r="BJ13" i="12" s="1"/>
  <c r="BR8" i="13" s="1"/>
  <c r="BF12" i="1"/>
  <c r="BF94" i="12"/>
  <c r="BF93" i="12" s="1"/>
  <c r="BF13" i="12" s="1"/>
  <c r="BN8" i="13" s="1"/>
  <c r="BH5" i="1"/>
  <c r="BH7" i="1" s="1"/>
  <c r="BH54" i="12"/>
  <c r="BM58" i="12"/>
  <c r="BM57" i="12" s="1"/>
  <c r="BM11" i="1"/>
  <c r="BJ109" i="1"/>
  <c r="BJ89" i="12"/>
  <c r="BB11" i="1"/>
  <c r="BB58" i="12"/>
  <c r="BB57" i="12" s="1"/>
  <c r="BW108" i="1"/>
  <c r="BW97" i="12" s="1"/>
  <c r="BW96" i="12" s="1"/>
  <c r="BW87" i="1"/>
  <c r="BW82" i="1"/>
  <c r="BW81" i="1" s="1"/>
  <c r="BW61" i="12" s="1"/>
  <c r="BW60" i="12" s="1"/>
  <c r="BW90" i="1"/>
  <c r="BW4" i="1"/>
  <c r="BW86" i="1"/>
  <c r="BW88" i="1"/>
  <c r="BW71" i="1"/>
  <c r="BW69" i="1" s="1"/>
  <c r="BW104" i="1"/>
  <c r="BW106" i="1"/>
  <c r="BW79" i="1"/>
  <c r="BW74" i="1" s="1"/>
  <c r="BW91" i="1"/>
  <c r="BI85" i="1"/>
  <c r="BG100" i="12"/>
  <c r="BA7" i="14" s="1"/>
  <c r="BA9" i="14" s="1"/>
  <c r="BF85" i="1"/>
  <c r="BH109" i="1"/>
  <c r="BH89" i="12"/>
  <c r="BL109" i="1"/>
  <c r="BL89" i="12"/>
  <c r="BE89" i="12"/>
  <c r="BE109" i="1"/>
  <c r="BM89" i="12"/>
  <c r="BM109" i="1"/>
  <c r="BJ58" i="12"/>
  <c r="BJ57" i="12" s="1"/>
  <c r="BJ11" i="1"/>
  <c r="BB109" i="1"/>
  <c r="BB89" i="12"/>
  <c r="BW94" i="1"/>
  <c r="BW66" i="12" s="1"/>
  <c r="BW100" i="1"/>
  <c r="BI94" i="12"/>
  <c r="BI93" i="12" s="1"/>
  <c r="BI13" i="12" s="1"/>
  <c r="BQ8" i="13" s="1"/>
  <c r="BI12" i="1"/>
  <c r="BD100" i="12"/>
  <c r="AX7" i="14" s="1"/>
  <c r="AX9" i="14" s="1"/>
  <c r="BF5" i="1"/>
  <c r="BF7" i="1" s="1"/>
  <c r="BF8" i="1" s="1"/>
  <c r="BF54" i="12"/>
  <c r="BT48" i="12"/>
  <c r="BH43" i="21" s="1"/>
  <c r="BI41" i="21" s="1"/>
  <c r="BH39" i="21" s="1"/>
  <c r="BI11" i="1"/>
  <c r="BI58" i="12"/>
  <c r="BI57" i="12" s="1"/>
  <c r="BE54" i="12"/>
  <c r="BE5" i="1"/>
  <c r="BE7" i="1" s="1"/>
  <c r="BE8" i="1" s="1"/>
  <c r="BM12" i="1"/>
  <c r="BM94" i="12"/>
  <c r="BM93" i="12" s="1"/>
  <c r="BM13" i="12" s="1"/>
  <c r="BU8" i="13" s="1"/>
  <c r="BJ85" i="1"/>
  <c r="BB5" i="1"/>
  <c r="BB7" i="1" s="1"/>
  <c r="BB8" i="1" s="1"/>
  <c r="BB54" i="12"/>
  <c r="BT79" i="1"/>
  <c r="BT74" i="1" s="1"/>
  <c r="BT88" i="1"/>
  <c r="BT87" i="1"/>
  <c r="BT108" i="1"/>
  <c r="BT97" i="12" s="1"/>
  <c r="BT96" i="12" s="1"/>
  <c r="BT91" i="1"/>
  <c r="BT86" i="1"/>
  <c r="BT90" i="1"/>
  <c r="BT104" i="1"/>
  <c r="BT71" i="1"/>
  <c r="BT69" i="1" s="1"/>
  <c r="BT82" i="1"/>
  <c r="BT81" i="1" s="1"/>
  <c r="BT61" i="12" s="1"/>
  <c r="BT60" i="12" s="1"/>
  <c r="BT106" i="1"/>
  <c r="BT4" i="1"/>
  <c r="BH85" i="1"/>
  <c r="BL54" i="12"/>
  <c r="BL5" i="1"/>
  <c r="BL7" i="1" s="1"/>
  <c r="BL8" i="1" s="1"/>
  <c r="BM5" i="1"/>
  <c r="BM7" i="1" s="1"/>
  <c r="BM8" i="1" s="1"/>
  <c r="BM54" i="12"/>
  <c r="BE66" i="12"/>
  <c r="CS66" i="12" s="1"/>
  <c r="CS94" i="1"/>
  <c r="BB85" i="1"/>
  <c r="BB73" i="1" s="1"/>
  <c r="BB98" i="1" s="1"/>
  <c r="BB120" i="1" s="1"/>
  <c r="BH58" i="12"/>
  <c r="BH57" i="12" s="1"/>
  <c r="BH11" i="1"/>
  <c r="BL94" i="12"/>
  <c r="BL93" i="12" s="1"/>
  <c r="BL13" i="12" s="1"/>
  <c r="BT8" i="13" s="1"/>
  <c r="BL12" i="1"/>
  <c r="BI109" i="1"/>
  <c r="BI89" i="12"/>
  <c r="CS79" i="1"/>
  <c r="BU94" i="1"/>
  <c r="BU66" i="12" s="1"/>
  <c r="BU100" i="1"/>
  <c r="BL85" i="1"/>
  <c r="BS7" i="13"/>
  <c r="AZ38" i="21"/>
  <c r="BF5" i="14" s="1"/>
  <c r="AX38" i="21"/>
  <c r="BD5" i="14" s="1"/>
  <c r="BK8" i="12"/>
  <c r="BK15" i="12" s="1"/>
  <c r="AT38" i="21"/>
  <c r="AZ5" i="14" s="1"/>
  <c r="BR11" i="1"/>
  <c r="BR58" i="12"/>
  <c r="BR57" i="12" s="1"/>
  <c r="BR85" i="1"/>
  <c r="AW38" i="21"/>
  <c r="BC5" i="14" s="1"/>
  <c r="BB43" i="21"/>
  <c r="BN4" i="12"/>
  <c r="BR12" i="1"/>
  <c r="BR94" i="12"/>
  <c r="BR93" i="12" s="1"/>
  <c r="BR13" i="12" s="1"/>
  <c r="BZ8" i="13" s="1"/>
  <c r="BR54" i="12"/>
  <c r="BR5" i="1"/>
  <c r="BR7" i="1" s="1"/>
  <c r="BR8" i="1" s="1"/>
  <c r="BR109" i="1"/>
  <c r="BR89" i="12"/>
  <c r="AP36" i="21"/>
  <c r="AP7" i="21" s="1"/>
  <c r="BN4" i="13"/>
  <c r="BO85" i="1"/>
  <c r="BS89" i="12"/>
  <c r="BS109" i="1"/>
  <c r="BP89" i="12"/>
  <c r="BP109" i="1"/>
  <c r="BV109" i="1"/>
  <c r="BV89" i="12"/>
  <c r="BC96" i="12"/>
  <c r="CS96" i="12" s="1"/>
  <c r="CS97" i="12"/>
  <c r="BC11" i="1"/>
  <c r="BC73" i="1"/>
  <c r="BC58" i="12"/>
  <c r="CS74" i="1"/>
  <c r="BJ43" i="21"/>
  <c r="BT4" i="13"/>
  <c r="BD8" i="1"/>
  <c r="BS85" i="1"/>
  <c r="BS73" i="1" s="1"/>
  <c r="BS98" i="1" s="1"/>
  <c r="BS120" i="1" s="1"/>
  <c r="BS4" i="12"/>
  <c r="BG43" i="21"/>
  <c r="BG8" i="1"/>
  <c r="BV115" i="12"/>
  <c r="BO12" i="1"/>
  <c r="BO94" i="12"/>
  <c r="BD56" i="12"/>
  <c r="AR56" i="21" s="1"/>
  <c r="BD12" i="12"/>
  <c r="BL7" i="13" s="1"/>
  <c r="BP4" i="12"/>
  <c r="BD43" i="21"/>
  <c r="BC93" i="12"/>
  <c r="BG10" i="1"/>
  <c r="BG14" i="1" s="1"/>
  <c r="BG18" i="1" s="1"/>
  <c r="BG25" i="1" s="1"/>
  <c r="BG64" i="12"/>
  <c r="BG63" i="12" s="1"/>
  <c r="BG11" i="12" s="1"/>
  <c r="BC43" i="21"/>
  <c r="BO4" i="12"/>
  <c r="BL4" i="13"/>
  <c r="BO4" i="13"/>
  <c r="DA41" i="12"/>
  <c r="DA44" i="12"/>
  <c r="DA48" i="12"/>
  <c r="DA43" i="12"/>
  <c r="DA42" i="12"/>
  <c r="DA46" i="12"/>
  <c r="DA45" i="12"/>
  <c r="BS94" i="12"/>
  <c r="BS93" i="12" s="1"/>
  <c r="BS13" i="12" s="1"/>
  <c r="CA8" i="13" s="1"/>
  <c r="BS12" i="1"/>
  <c r="BD53" i="12"/>
  <c r="BD6" i="12"/>
  <c r="BL5" i="13" s="1"/>
  <c r="AS41" i="21"/>
  <c r="AS38" i="21" s="1"/>
  <c r="AY5" i="14" s="1"/>
  <c r="AV41" i="21"/>
  <c r="AV38" i="21" s="1"/>
  <c r="BB5" i="14" s="1"/>
  <c r="BO69" i="1"/>
  <c r="BO81" i="1"/>
  <c r="BP11" i="1"/>
  <c r="BP58" i="12"/>
  <c r="BP57" i="12" s="1"/>
  <c r="BA39" i="21"/>
  <c r="BO74" i="1"/>
  <c r="BD6" i="14"/>
  <c r="BP12" i="1"/>
  <c r="BP94" i="12"/>
  <c r="BP93" i="12" s="1"/>
  <c r="BP13" i="12" s="1"/>
  <c r="BX8" i="13" s="1"/>
  <c r="BK39" i="21"/>
  <c r="AY38" i="21"/>
  <c r="BE5" i="14" s="1"/>
  <c r="BC10" i="1"/>
  <c r="BC64" i="12"/>
  <c r="BC61" i="12"/>
  <c r="CS81" i="1"/>
  <c r="BG12" i="12"/>
  <c r="BV85" i="1"/>
  <c r="BK56" i="12"/>
  <c r="AY56" i="21" s="1"/>
  <c r="BP85" i="1"/>
  <c r="BV11" i="1"/>
  <c r="BV58" i="12"/>
  <c r="BV57" i="12" s="1"/>
  <c r="BS5" i="1"/>
  <c r="BS7" i="1" s="1"/>
  <c r="BS54" i="12"/>
  <c r="BO89" i="12"/>
  <c r="BO109" i="1"/>
  <c r="BP5" i="1"/>
  <c r="BP7" i="1" s="1"/>
  <c r="BP54" i="12"/>
  <c r="BG53" i="12"/>
  <c r="BG6" i="12"/>
  <c r="BO5" i="13" s="1"/>
  <c r="BK4" i="13"/>
  <c r="CS4" i="12"/>
  <c r="BV12" i="1"/>
  <c r="BV94" i="12"/>
  <c r="BV93" i="12" s="1"/>
  <c r="BV13" i="12" s="1"/>
  <c r="CD8" i="13" s="1"/>
  <c r="BK27" i="1"/>
  <c r="BK29" i="1" s="1"/>
  <c r="BK30" i="1" s="1"/>
  <c r="BO97" i="12"/>
  <c r="BS11" i="1"/>
  <c r="BS58" i="12"/>
  <c r="BS57" i="12" s="1"/>
  <c r="BC5" i="1"/>
  <c r="BC54" i="12"/>
  <c r="CS69" i="1"/>
  <c r="AR41" i="21"/>
  <c r="AQ39" i="21" s="1"/>
  <c r="AQ38" i="21" s="1"/>
  <c r="AW5" i="14" s="1"/>
  <c r="BV5" i="1"/>
  <c r="BV7" i="1" s="1"/>
  <c r="BV54" i="12"/>
  <c r="BS6" i="13"/>
  <c r="BO66" i="12"/>
  <c r="BD28" i="13" l="1"/>
  <c r="BC29" i="13"/>
  <c r="CD115" i="12"/>
  <c r="CD4" i="12" s="1"/>
  <c r="CH13" i="12"/>
  <c r="CP8" i="13" s="1"/>
  <c r="CG13" i="12"/>
  <c r="CO8" i="13" s="1"/>
  <c r="CI13" i="12"/>
  <c r="CQ8" i="13" s="1"/>
  <c r="CU47" i="1"/>
  <c r="CU48" i="1" s="1"/>
  <c r="CC13" i="12"/>
  <c r="CK8" i="13" s="1"/>
  <c r="CT4" i="1"/>
  <c r="BW38" i="21"/>
  <c r="CC5" i="14" s="1"/>
  <c r="CT86" i="1"/>
  <c r="BN12" i="1"/>
  <c r="CI4" i="13"/>
  <c r="CK5" i="1"/>
  <c r="CK7" i="1" s="1"/>
  <c r="CK8" i="1" s="1"/>
  <c r="CK54" i="12"/>
  <c r="CH109" i="1"/>
  <c r="CH89" i="12"/>
  <c r="CH100" i="12" s="1"/>
  <c r="CB7" i="14" s="1"/>
  <c r="CB9" i="14" s="1"/>
  <c r="CG5" i="13"/>
  <c r="CG6" i="13" s="1"/>
  <c r="BY8" i="12"/>
  <c r="BY9" i="12" s="1"/>
  <c r="CO4" i="13"/>
  <c r="BZ89" i="12"/>
  <c r="CA100" i="1"/>
  <c r="CG100" i="12"/>
  <c r="CA7" i="14" s="1"/>
  <c r="CA9" i="14" s="1"/>
  <c r="CF12" i="1"/>
  <c r="CF94" i="12"/>
  <c r="CF93" i="12" s="1"/>
  <c r="CF13" i="12" s="1"/>
  <c r="CN8" i="13" s="1"/>
  <c r="CT90" i="1"/>
  <c r="BN94" i="12"/>
  <c r="CS4" i="13"/>
  <c r="CT87" i="1"/>
  <c r="CT88" i="1"/>
  <c r="CI100" i="12"/>
  <c r="CC7" i="14" s="1"/>
  <c r="CC9" i="14" s="1"/>
  <c r="CT91" i="1"/>
  <c r="BN69" i="1"/>
  <c r="BN5" i="1" s="1"/>
  <c r="CT71" i="1"/>
  <c r="BZ74" i="1"/>
  <c r="CI12" i="12"/>
  <c r="CG12" i="12"/>
  <c r="CC53" i="12"/>
  <c r="BV6" i="14" s="1"/>
  <c r="BN74" i="1"/>
  <c r="CT79" i="1"/>
  <c r="CT48" i="12"/>
  <c r="DB47" i="12" s="1"/>
  <c r="BN66" i="12"/>
  <c r="CT94" i="1"/>
  <c r="BS43" i="21"/>
  <c r="CE4" i="12"/>
  <c r="CD100" i="1"/>
  <c r="CI6" i="12"/>
  <c r="CI53" i="12"/>
  <c r="CB6" i="14" s="1"/>
  <c r="CH53" i="12"/>
  <c r="CA6" i="14" s="1"/>
  <c r="CU48" i="12"/>
  <c r="DC47" i="12" s="1"/>
  <c r="CU95" i="1"/>
  <c r="BZ115" i="12"/>
  <c r="BZ4" i="12" s="1"/>
  <c r="BN43" i="21"/>
  <c r="CU94" i="1"/>
  <c r="BZ66" i="12"/>
  <c r="CU66" i="12" s="1"/>
  <c r="BL39" i="21"/>
  <c r="BL38" i="21" s="1"/>
  <c r="BR5" i="14" s="1"/>
  <c r="BM38" i="21"/>
  <c r="BS5" i="14" s="1"/>
  <c r="BN81" i="1"/>
  <c r="CT82" i="1"/>
  <c r="BZ94" i="12"/>
  <c r="CG6" i="12"/>
  <c r="CO5" i="13" s="1"/>
  <c r="CG53" i="12"/>
  <c r="BZ6" i="14" s="1"/>
  <c r="CB5" i="1"/>
  <c r="CB54" i="12"/>
  <c r="CT104" i="1"/>
  <c r="CJ12" i="1"/>
  <c r="CJ94" i="12"/>
  <c r="CJ93" i="12" s="1"/>
  <c r="CJ13" i="12" s="1"/>
  <c r="CR8" i="13" s="1"/>
  <c r="BZ81" i="1"/>
  <c r="BY10" i="1"/>
  <c r="BY14" i="1" s="1"/>
  <c r="BY18" i="1" s="1"/>
  <c r="BY25" i="1" s="1"/>
  <c r="BY64" i="12"/>
  <c r="BY63" i="12" s="1"/>
  <c r="CB12" i="1"/>
  <c r="CB94" i="12"/>
  <c r="CB93" i="12" s="1"/>
  <c r="CB13" i="12" s="1"/>
  <c r="CJ8" i="13" s="1"/>
  <c r="CK12" i="1"/>
  <c r="CK94" i="12"/>
  <c r="CK93" i="12" s="1"/>
  <c r="CK13" i="12" s="1"/>
  <c r="CS8" i="13" s="1"/>
  <c r="CH85" i="1"/>
  <c r="CL4" i="13"/>
  <c r="CT66" i="12"/>
  <c r="CT106" i="1"/>
  <c r="CJ53" i="12"/>
  <c r="CC6" i="14" s="1"/>
  <c r="BZ97" i="12"/>
  <c r="CC109" i="1"/>
  <c r="CC89" i="12"/>
  <c r="CC100" i="12" s="1"/>
  <c r="BW7" i="14" s="1"/>
  <c r="BW9" i="14" s="1"/>
  <c r="CP4" i="13"/>
  <c r="BN97" i="12"/>
  <c r="BN96" i="12" s="1"/>
  <c r="CT108" i="1"/>
  <c r="CJ109" i="1"/>
  <c r="CJ89" i="12"/>
  <c r="BZ69" i="1"/>
  <c r="CF5" i="1"/>
  <c r="CF7" i="1" s="1"/>
  <c r="CF54" i="12"/>
  <c r="CC12" i="12"/>
  <c r="CH12" i="12"/>
  <c r="BV38" i="21"/>
  <c r="CB5" i="14" s="1"/>
  <c r="BN93" i="12"/>
  <c r="BV4" i="13"/>
  <c r="BY8" i="1"/>
  <c r="CC85" i="1"/>
  <c r="CC73" i="1" s="1"/>
  <c r="CC98" i="1" s="1"/>
  <c r="CC120" i="1" s="1"/>
  <c r="CJ5" i="1"/>
  <c r="CJ7" i="1" s="1"/>
  <c r="CB109" i="1"/>
  <c r="CA82" i="1"/>
  <c r="CA81" i="1" s="1"/>
  <c r="CA61" i="12" s="1"/>
  <c r="CA60" i="12" s="1"/>
  <c r="CA71" i="1"/>
  <c r="CA69" i="1" s="1"/>
  <c r="CA106" i="1"/>
  <c r="CA94" i="12" s="1"/>
  <c r="CA93" i="12" s="1"/>
  <c r="CA87" i="1"/>
  <c r="CA108" i="1"/>
  <c r="CA97" i="12" s="1"/>
  <c r="CA96" i="12" s="1"/>
  <c r="CA90" i="1"/>
  <c r="CA79" i="1"/>
  <c r="CA74" i="1" s="1"/>
  <c r="CA58" i="12" s="1"/>
  <c r="CA57" i="12" s="1"/>
  <c r="CA88" i="1"/>
  <c r="CA91" i="1"/>
  <c r="CA104" i="1"/>
  <c r="CA89" i="12" s="1"/>
  <c r="CA4" i="1"/>
  <c r="CA86" i="1"/>
  <c r="CE108" i="1"/>
  <c r="CE97" i="12" s="1"/>
  <c r="CE96" i="12" s="1"/>
  <c r="CE90" i="1"/>
  <c r="CE88" i="1"/>
  <c r="CE82" i="1"/>
  <c r="CE81" i="1" s="1"/>
  <c r="CE61" i="12" s="1"/>
  <c r="CE60" i="12" s="1"/>
  <c r="CE91" i="1"/>
  <c r="CE79" i="1"/>
  <c r="CE74" i="1" s="1"/>
  <c r="CE58" i="12" s="1"/>
  <c r="CE57" i="12" s="1"/>
  <c r="CE87" i="1"/>
  <c r="CE104" i="1"/>
  <c r="CE89" i="12" s="1"/>
  <c r="CE4" i="1"/>
  <c r="CE86" i="1"/>
  <c r="CE106" i="1"/>
  <c r="CE94" i="12" s="1"/>
  <c r="CE93" i="12" s="1"/>
  <c r="CE71" i="1"/>
  <c r="CE69" i="1" s="1"/>
  <c r="CC11" i="1"/>
  <c r="CH73" i="1"/>
  <c r="CH98" i="1" s="1"/>
  <c r="CH120" i="1" s="1"/>
  <c r="CH11" i="1"/>
  <c r="BZ109" i="1"/>
  <c r="CI12" i="1"/>
  <c r="CE100" i="1"/>
  <c r="CB85" i="1"/>
  <c r="CB73" i="1" s="1"/>
  <c r="CB98" i="1" s="1"/>
  <c r="CB120" i="1" s="1"/>
  <c r="CJ85" i="1"/>
  <c r="CG109" i="1"/>
  <c r="CF11" i="1"/>
  <c r="CI85" i="1"/>
  <c r="CI73" i="1" s="1"/>
  <c r="CI98" i="1" s="1"/>
  <c r="CI120" i="1" s="1"/>
  <c r="CB11" i="1"/>
  <c r="CK11" i="1"/>
  <c r="CJ11" i="1"/>
  <c r="BZ85" i="1"/>
  <c r="CI109" i="1"/>
  <c r="CG85" i="1"/>
  <c r="CI11" i="1"/>
  <c r="CG11" i="1"/>
  <c r="CB7" i="1"/>
  <c r="CK109" i="1"/>
  <c r="CD87" i="1"/>
  <c r="CD90" i="1"/>
  <c r="CD91" i="1"/>
  <c r="CD86" i="1"/>
  <c r="CD106" i="1"/>
  <c r="CD88" i="1"/>
  <c r="CD79" i="1"/>
  <c r="CD74" i="1" s="1"/>
  <c r="CD58" i="12" s="1"/>
  <c r="CD57" i="12" s="1"/>
  <c r="CD108" i="1"/>
  <c r="CD97" i="12" s="1"/>
  <c r="CD96" i="12" s="1"/>
  <c r="CD4" i="1"/>
  <c r="CD104" i="1"/>
  <c r="CD89" i="12" s="1"/>
  <c r="CD82" i="1"/>
  <c r="CD81" i="1" s="1"/>
  <c r="CD61" i="12" s="1"/>
  <c r="CD60" i="12" s="1"/>
  <c r="CD71" i="1"/>
  <c r="CD69" i="1" s="1"/>
  <c r="CD54" i="12" s="1"/>
  <c r="CF109" i="1"/>
  <c r="CC5" i="1"/>
  <c r="CC7" i="1" s="1"/>
  <c r="CK85" i="1"/>
  <c r="CI5" i="1"/>
  <c r="CI7" i="1" s="1"/>
  <c r="CG12" i="1"/>
  <c r="CF85" i="1"/>
  <c r="CC12" i="1"/>
  <c r="CH12" i="1"/>
  <c r="BY73" i="1"/>
  <c r="BY98" i="1" s="1"/>
  <c r="BY120" i="1" s="1"/>
  <c r="BZ12" i="1"/>
  <c r="CG5" i="1"/>
  <c r="CG7" i="1" s="1"/>
  <c r="CH5" i="1"/>
  <c r="CH7" i="1" s="1"/>
  <c r="BN109" i="1"/>
  <c r="BB12" i="12"/>
  <c r="BN89" i="12"/>
  <c r="CV47" i="12"/>
  <c r="BN85" i="1"/>
  <c r="BI38" i="21"/>
  <c r="BO5" i="14" s="1"/>
  <c r="BS9" i="13"/>
  <c r="BS11" i="13" s="1"/>
  <c r="BS14" i="13" s="1"/>
  <c r="CS11" i="1"/>
  <c r="BT115" i="12"/>
  <c r="BT4" i="12" s="1"/>
  <c r="CB4" i="13" s="1"/>
  <c r="CS109" i="1"/>
  <c r="BE12" i="12"/>
  <c r="CS94" i="12"/>
  <c r="BH100" i="12"/>
  <c r="BB7" i="14" s="1"/>
  <c r="BB9" i="14" s="1"/>
  <c r="BE64" i="12"/>
  <c r="BE63" i="12" s="1"/>
  <c r="BE11" i="12" s="1"/>
  <c r="BE10" i="1"/>
  <c r="BE14" i="1" s="1"/>
  <c r="BE18" i="1" s="1"/>
  <c r="BE25" i="1" s="1"/>
  <c r="BE27" i="1" s="1"/>
  <c r="BE29" i="1" s="1"/>
  <c r="BE30" i="1" s="1"/>
  <c r="BB100" i="12"/>
  <c r="AV7" i="14" s="1"/>
  <c r="AV9" i="14" s="1"/>
  <c r="BF100" i="12"/>
  <c r="AZ7" i="14" s="1"/>
  <c r="AZ9" i="14" s="1"/>
  <c r="BE73" i="1"/>
  <c r="BE98" i="1" s="1"/>
  <c r="BE120" i="1" s="1"/>
  <c r="BM12" i="12"/>
  <c r="CS12" i="1"/>
  <c r="BW85" i="1"/>
  <c r="CS85" i="1"/>
  <c r="BQ85" i="1"/>
  <c r="BQ73" i="1" s="1"/>
  <c r="BQ98" i="1" s="1"/>
  <c r="BQ120" i="1" s="1"/>
  <c r="BJ12" i="12"/>
  <c r="BI100" i="12"/>
  <c r="BC7" i="14" s="1"/>
  <c r="BC9" i="14" s="1"/>
  <c r="BL100" i="12"/>
  <c r="BF7" i="14" s="1"/>
  <c r="BF9" i="14" s="1"/>
  <c r="BX109" i="1"/>
  <c r="BX89" i="12"/>
  <c r="BU54" i="12"/>
  <c r="BU5" i="1"/>
  <c r="BU7" i="1" s="1"/>
  <c r="BU8" i="1" s="1"/>
  <c r="BT85" i="1"/>
  <c r="BT73" i="1" s="1"/>
  <c r="BT98" i="1" s="1"/>
  <c r="BT120" i="1" s="1"/>
  <c r="BQ12" i="1"/>
  <c r="BQ94" i="12"/>
  <c r="BQ93" i="12" s="1"/>
  <c r="BQ13" i="12" s="1"/>
  <c r="BY8" i="13" s="1"/>
  <c r="BX5" i="1"/>
  <c r="BX7" i="1" s="1"/>
  <c r="BX8" i="1" s="1"/>
  <c r="BX54" i="12"/>
  <c r="BU12" i="1"/>
  <c r="BU94" i="12"/>
  <c r="BU93" i="12" s="1"/>
  <c r="BU13" i="12" s="1"/>
  <c r="CC8" i="13" s="1"/>
  <c r="BM53" i="12"/>
  <c r="BM6" i="12"/>
  <c r="BH6" i="12"/>
  <c r="BH53" i="12"/>
  <c r="BJ6" i="12"/>
  <c r="BJ53" i="12"/>
  <c r="BC6" i="14" s="1"/>
  <c r="BQ89" i="12"/>
  <c r="BQ109" i="1"/>
  <c r="BX11" i="1"/>
  <c r="BX58" i="12"/>
  <c r="BX57" i="12" s="1"/>
  <c r="CS89" i="12"/>
  <c r="BE53" i="12"/>
  <c r="AX6" i="14" s="1"/>
  <c r="BE6" i="12"/>
  <c r="BH8" i="1"/>
  <c r="BI12" i="12"/>
  <c r="BF73" i="1"/>
  <c r="BF98" i="1" s="1"/>
  <c r="BF120" i="1" s="1"/>
  <c r="BF10" i="1"/>
  <c r="BF14" i="1" s="1"/>
  <c r="BF18" i="1" s="1"/>
  <c r="BF25" i="1" s="1"/>
  <c r="BF27" i="1" s="1"/>
  <c r="BF29" i="1" s="1"/>
  <c r="BF30" i="1" s="1"/>
  <c r="BF64" i="12"/>
  <c r="BF63" i="12" s="1"/>
  <c r="BU109" i="1"/>
  <c r="BU89" i="12"/>
  <c r="BL53" i="12"/>
  <c r="BE6" i="14" s="1"/>
  <c r="BL6" i="12"/>
  <c r="BM73" i="1"/>
  <c r="BM98" i="1" s="1"/>
  <c r="BM120" i="1" s="1"/>
  <c r="BM10" i="1"/>
  <c r="BM14" i="1" s="1"/>
  <c r="BM18" i="1" s="1"/>
  <c r="BM25" i="1" s="1"/>
  <c r="BM27" i="1" s="1"/>
  <c r="BM29" i="1" s="1"/>
  <c r="BM30" i="1" s="1"/>
  <c r="BM64" i="12"/>
  <c r="BM63" i="12" s="1"/>
  <c r="BH10" i="1"/>
  <c r="BH14" i="1" s="1"/>
  <c r="BH18" i="1" s="1"/>
  <c r="BH25" i="1" s="1"/>
  <c r="BH27" i="1" s="1"/>
  <c r="BH29" i="1" s="1"/>
  <c r="BH30" i="1" s="1"/>
  <c r="BH64" i="12"/>
  <c r="BH63" i="12" s="1"/>
  <c r="BH11" i="12" s="1"/>
  <c r="BT11" i="1"/>
  <c r="BT58" i="12"/>
  <c r="BT57" i="12" s="1"/>
  <c r="BI10" i="1"/>
  <c r="BI14" i="1" s="1"/>
  <c r="BI18" i="1" s="1"/>
  <c r="BI25" i="1" s="1"/>
  <c r="BI27" i="1" s="1"/>
  <c r="BI29" i="1" s="1"/>
  <c r="BI30" i="1" s="1"/>
  <c r="BI64" i="12"/>
  <c r="BI63" i="12" s="1"/>
  <c r="BI73" i="1"/>
  <c r="BI98" i="1" s="1"/>
  <c r="BI120" i="1" s="1"/>
  <c r="BU58" i="12"/>
  <c r="BU57" i="12" s="1"/>
  <c r="BU11" i="1"/>
  <c r="BH73" i="1"/>
  <c r="BH98" i="1" s="1"/>
  <c r="BH120" i="1" s="1"/>
  <c r="BT12" i="1"/>
  <c r="BT94" i="12"/>
  <c r="BT93" i="12" s="1"/>
  <c r="BT13" i="12" s="1"/>
  <c r="CB8" i="13" s="1"/>
  <c r="BB6" i="12"/>
  <c r="BB53" i="12"/>
  <c r="AU6" i="14" s="1"/>
  <c r="BF6" i="12"/>
  <c r="BF53" i="12"/>
  <c r="AY6" i="14" s="1"/>
  <c r="BW58" i="12"/>
  <c r="BW57" i="12" s="1"/>
  <c r="BW11" i="1"/>
  <c r="BX12" i="1"/>
  <c r="BX94" i="12"/>
  <c r="BX93" i="12" s="1"/>
  <c r="BX13" i="12" s="1"/>
  <c r="CF8" i="13" s="1"/>
  <c r="BM100" i="12"/>
  <c r="BG7" i="14" s="1"/>
  <c r="BG9" i="14" s="1"/>
  <c r="BW12" i="1"/>
  <c r="BW94" i="12"/>
  <c r="BW93" i="12" s="1"/>
  <c r="BW13" i="12" s="1"/>
  <c r="CE8" i="13" s="1"/>
  <c r="BX85" i="1"/>
  <c r="BX73" i="1" s="1"/>
  <c r="BX98" i="1" s="1"/>
  <c r="BX120" i="1" s="1"/>
  <c r="BI53" i="12"/>
  <c r="BI6" i="12"/>
  <c r="BF12" i="12"/>
  <c r="BH12" i="12"/>
  <c r="BT54" i="12"/>
  <c r="BT5" i="1"/>
  <c r="BT7" i="1" s="1"/>
  <c r="BT8" i="1" s="1"/>
  <c r="BF38" i="21"/>
  <c r="BL5" i="14" s="1"/>
  <c r="BW109" i="1"/>
  <c r="BW89" i="12"/>
  <c r="BJ100" i="12"/>
  <c r="BD7" i="14" s="1"/>
  <c r="BD9" i="14" s="1"/>
  <c r="BQ5" i="1"/>
  <c r="BQ7" i="1" s="1"/>
  <c r="BQ8" i="1" s="1"/>
  <c r="BQ54" i="12"/>
  <c r="BL73" i="1"/>
  <c r="BL98" i="1" s="1"/>
  <c r="BL120" i="1" s="1"/>
  <c r="BL10" i="1"/>
  <c r="BL14" i="1" s="1"/>
  <c r="BL18" i="1" s="1"/>
  <c r="BL25" i="1" s="1"/>
  <c r="BL27" i="1" s="1"/>
  <c r="BL29" i="1" s="1"/>
  <c r="BL30" i="1" s="1"/>
  <c r="BL64" i="12"/>
  <c r="BL63" i="12" s="1"/>
  <c r="BB64" i="12"/>
  <c r="BB63" i="12" s="1"/>
  <c r="BB10" i="1"/>
  <c r="BB14" i="1" s="1"/>
  <c r="BB18" i="1" s="1"/>
  <c r="BB25" i="1" s="1"/>
  <c r="BB27" i="1" s="1"/>
  <c r="BB29" i="1" s="1"/>
  <c r="BB30" i="1" s="1"/>
  <c r="BT109" i="1"/>
  <c r="BT89" i="12"/>
  <c r="BJ73" i="1"/>
  <c r="BJ98" i="1" s="1"/>
  <c r="BJ120" i="1" s="1"/>
  <c r="BJ64" i="12"/>
  <c r="BJ63" i="12" s="1"/>
  <c r="BJ10" i="1"/>
  <c r="BJ14" i="1" s="1"/>
  <c r="BJ18" i="1" s="1"/>
  <c r="BJ25" i="1" s="1"/>
  <c r="BJ27" i="1" s="1"/>
  <c r="BJ29" i="1" s="1"/>
  <c r="BJ30" i="1" s="1"/>
  <c r="BE100" i="12"/>
  <c r="AY7" i="14" s="1"/>
  <c r="AY9" i="14" s="1"/>
  <c r="BW5" i="1"/>
  <c r="BW7" i="1" s="1"/>
  <c r="BW8" i="1" s="1"/>
  <c r="BW54" i="12"/>
  <c r="BQ11" i="1"/>
  <c r="BQ58" i="12"/>
  <c r="BQ57" i="12" s="1"/>
  <c r="BL12" i="12"/>
  <c r="BU85" i="1"/>
  <c r="BC100" i="12"/>
  <c r="AW7" i="14" s="1"/>
  <c r="AQ36" i="21"/>
  <c r="AQ7" i="21" s="1"/>
  <c r="BK9" i="12"/>
  <c r="BL6" i="13"/>
  <c r="BL9" i="13" s="1"/>
  <c r="BL11" i="13" s="1"/>
  <c r="BL14" i="13" s="1"/>
  <c r="BD8" i="12"/>
  <c r="BD15" i="12" s="1"/>
  <c r="BR100" i="12"/>
  <c r="BL7" i="14" s="1"/>
  <c r="BL9" i="14" s="1"/>
  <c r="BC41" i="21"/>
  <c r="BB39" i="21" s="1"/>
  <c r="BB38" i="21" s="1"/>
  <c r="BH5" i="14" s="1"/>
  <c r="BG56" i="12"/>
  <c r="AU56" i="21" s="1"/>
  <c r="AV54" i="21" s="1"/>
  <c r="BC98" i="1"/>
  <c r="BC120" i="1" s="1"/>
  <c r="BR53" i="12"/>
  <c r="BK6" i="14" s="1"/>
  <c r="BR6" i="12"/>
  <c r="BR64" i="12"/>
  <c r="BR63" i="12" s="1"/>
  <c r="BR11" i="12" s="1"/>
  <c r="BR73" i="1"/>
  <c r="BR98" i="1" s="1"/>
  <c r="BR120" i="1" s="1"/>
  <c r="BR10" i="1"/>
  <c r="BR14" i="1" s="1"/>
  <c r="BR18" i="1" s="1"/>
  <c r="BR25" i="1" s="1"/>
  <c r="AR39" i="21"/>
  <c r="AR38" i="21" s="1"/>
  <c r="AX5" i="14" s="1"/>
  <c r="BR12" i="12"/>
  <c r="AP13" i="22"/>
  <c r="AP8" i="21"/>
  <c r="AP9" i="21" s="1"/>
  <c r="BS8" i="1"/>
  <c r="BP8" i="1"/>
  <c r="BG27" i="1"/>
  <c r="BG29" i="1" s="1"/>
  <c r="BG30" i="1" s="1"/>
  <c r="BV8" i="1"/>
  <c r="H4" i="13"/>
  <c r="E27" i="15" s="1"/>
  <c r="BS6" i="12"/>
  <c r="CA5" i="13" s="1"/>
  <c r="BS53" i="12"/>
  <c r="BL6" i="14" s="1"/>
  <c r="AU39" i="21"/>
  <c r="AU38" i="21" s="1"/>
  <c r="BA5" i="14" s="1"/>
  <c r="AW6" i="14"/>
  <c r="BD82" i="12"/>
  <c r="BO7" i="13"/>
  <c r="BO64" i="12"/>
  <c r="BO10" i="1"/>
  <c r="BV53" i="12"/>
  <c r="BO6" i="14" s="1"/>
  <c r="BV6" i="12"/>
  <c r="CD5" i="13" s="1"/>
  <c r="AZ6" i="14"/>
  <c r="BP10" i="1"/>
  <c r="BP14" i="1" s="1"/>
  <c r="BP18" i="1" s="1"/>
  <c r="BP25" i="1" s="1"/>
  <c r="BP64" i="12"/>
  <c r="BP63" i="12" s="1"/>
  <c r="BP11" i="12" s="1"/>
  <c r="BV64" i="12"/>
  <c r="BV63" i="12" s="1"/>
  <c r="BV11" i="12" s="1"/>
  <c r="BV10" i="1"/>
  <c r="BV14" i="1" s="1"/>
  <c r="BV18" i="1" s="1"/>
  <c r="BV25" i="1" s="1"/>
  <c r="BK16" i="12"/>
  <c r="BK20" i="12"/>
  <c r="BK26" i="12" s="1"/>
  <c r="CE4" i="13"/>
  <c r="BO11" i="1"/>
  <c r="BO73" i="1"/>
  <c r="BO98" i="1" s="1"/>
  <c r="BO58" i="12"/>
  <c r="AS54" i="21"/>
  <c r="AR52" i="21" s="1"/>
  <c r="BK41" i="21"/>
  <c r="BJ39" i="21" s="1"/>
  <c r="BJ38" i="21" s="1"/>
  <c r="BP5" i="14" s="1"/>
  <c r="BA38" i="21"/>
  <c r="BG5" i="14" s="1"/>
  <c r="BO6" i="13"/>
  <c r="BV4" i="12"/>
  <c r="BC6" i="12"/>
  <c r="BC53" i="12"/>
  <c r="CS54" i="12"/>
  <c r="BP53" i="12"/>
  <c r="BP6" i="12"/>
  <c r="BX5" i="13" s="1"/>
  <c r="CS5" i="1"/>
  <c r="CS7" i="1" s="1"/>
  <c r="BC7" i="1"/>
  <c r="BS12" i="12"/>
  <c r="BG8" i="12"/>
  <c r="BH41" i="21"/>
  <c r="BH38" i="21" s="1"/>
  <c r="BN5" i="14" s="1"/>
  <c r="BV100" i="12"/>
  <c r="BP7" i="14" s="1"/>
  <c r="BP9" i="14" s="1"/>
  <c r="BO96" i="12"/>
  <c r="BC60" i="12"/>
  <c r="CS60" i="12" s="1"/>
  <c r="CS61" i="12"/>
  <c r="BK82" i="12"/>
  <c r="BO61" i="12"/>
  <c r="BO93" i="12"/>
  <c r="CA4" i="13"/>
  <c r="BS100" i="12"/>
  <c r="BM7" i="14" s="1"/>
  <c r="BM9" i="14" s="1"/>
  <c r="AZ54" i="21"/>
  <c r="AY52" i="21" s="1"/>
  <c r="BV12" i="12"/>
  <c r="BC13" i="12"/>
  <c r="CS93" i="12"/>
  <c r="BO5" i="1"/>
  <c r="BO54" i="12"/>
  <c r="BE41" i="21"/>
  <c r="BE38" i="21" s="1"/>
  <c r="BK5" i="14" s="1"/>
  <c r="CS5" i="12"/>
  <c r="BV73" i="1"/>
  <c r="BV98" i="1" s="1"/>
  <c r="BV120" i="1" s="1"/>
  <c r="BC63" i="12"/>
  <c r="BP73" i="1"/>
  <c r="BP98" i="1" s="1"/>
  <c r="BP120" i="1" s="1"/>
  <c r="BW4" i="13"/>
  <c r="BX4" i="13"/>
  <c r="BS10" i="1"/>
  <c r="BS14" i="1" s="1"/>
  <c r="BS18" i="1" s="1"/>
  <c r="BS25" i="1" s="1"/>
  <c r="BS64" i="12"/>
  <c r="BS63" i="12" s="1"/>
  <c r="BS11" i="12" s="1"/>
  <c r="BP12" i="12"/>
  <c r="BD41" i="21"/>
  <c r="BC39" i="21" s="1"/>
  <c r="BD27" i="1"/>
  <c r="BD29" i="1" s="1"/>
  <c r="BD30" i="1" s="1"/>
  <c r="BC57" i="12"/>
  <c r="CS58" i="12"/>
  <c r="BP100" i="12"/>
  <c r="BJ7" i="14" s="1"/>
  <c r="BJ9" i="14" s="1"/>
  <c r="BE28" i="13" l="1"/>
  <c r="BD29" i="13"/>
  <c r="CB100" i="12"/>
  <c r="BV7" i="14" s="1"/>
  <c r="BV9" i="14" s="1"/>
  <c r="CH6" i="12"/>
  <c r="BZ11" i="1"/>
  <c r="CF100" i="12"/>
  <c r="BZ7" i="14" s="1"/>
  <c r="BZ9" i="14" s="1"/>
  <c r="CF12" i="12"/>
  <c r="CU90" i="1"/>
  <c r="CU87" i="1"/>
  <c r="CT12" i="1"/>
  <c r="CU86" i="1"/>
  <c r="CU4" i="1"/>
  <c r="CJ100" i="12"/>
  <c r="CD7" i="14" s="1"/>
  <c r="CD9" i="14" s="1"/>
  <c r="CU91" i="1"/>
  <c r="CU88" i="1"/>
  <c r="BN13" i="12"/>
  <c r="CD12" i="1"/>
  <c r="CD94" i="12"/>
  <c r="CD93" i="12" s="1"/>
  <c r="CD13" i="12" s="1"/>
  <c r="CL8" i="13" s="1"/>
  <c r="CU74" i="1"/>
  <c r="BZ58" i="12"/>
  <c r="CJ6" i="12"/>
  <c r="CU82" i="1"/>
  <c r="BN61" i="12"/>
  <c r="BN60" i="12" s="1"/>
  <c r="CT81" i="1"/>
  <c r="CT109" i="1"/>
  <c r="CK10" i="1"/>
  <c r="CK14" i="1" s="1"/>
  <c r="CK18" i="1" s="1"/>
  <c r="CK25" i="1" s="1"/>
  <c r="CK27" i="1" s="1"/>
  <c r="CK29" i="1" s="1"/>
  <c r="CK30" i="1" s="1"/>
  <c r="CK64" i="12"/>
  <c r="CK63" i="12" s="1"/>
  <c r="CG10" i="1"/>
  <c r="CG64" i="12"/>
  <c r="CG63" i="12" s="1"/>
  <c r="CE13" i="12"/>
  <c r="CM8" i="13" s="1"/>
  <c r="BZ61" i="12"/>
  <c r="CU81" i="1"/>
  <c r="BN58" i="12"/>
  <c r="BN57" i="12" s="1"/>
  <c r="CT74" i="1"/>
  <c r="BN54" i="12"/>
  <c r="BN53" i="12" s="1"/>
  <c r="BG6" i="14" s="1"/>
  <c r="CT69" i="1"/>
  <c r="CA100" i="12"/>
  <c r="BU7" i="14" s="1"/>
  <c r="BU9" i="14" s="1"/>
  <c r="CC10" i="1"/>
  <c r="CC14" i="1" s="1"/>
  <c r="CC18" i="1" s="1"/>
  <c r="CC25" i="1" s="1"/>
  <c r="CC27" i="1" s="1"/>
  <c r="CC29" i="1" s="1"/>
  <c r="CC30" i="1" s="1"/>
  <c r="CC64" i="12"/>
  <c r="CC63" i="12" s="1"/>
  <c r="CQ5" i="13"/>
  <c r="CQ6" i="13" s="1"/>
  <c r="CI8" i="12"/>
  <c r="CU104" i="1"/>
  <c r="BZ10" i="1"/>
  <c r="BZ64" i="12"/>
  <c r="CJ10" i="1"/>
  <c r="CJ14" i="1" s="1"/>
  <c r="CJ18" i="1" s="1"/>
  <c r="CJ25" i="1" s="1"/>
  <c r="CJ64" i="12"/>
  <c r="CJ63" i="12" s="1"/>
  <c r="CU89" i="12"/>
  <c r="CK53" i="12"/>
  <c r="CD6" i="14" s="1"/>
  <c r="CK6" i="12"/>
  <c r="CD6" i="12"/>
  <c r="CD53" i="12"/>
  <c r="BW6" i="14" s="1"/>
  <c r="CJ73" i="1"/>
  <c r="CJ98" i="1" s="1"/>
  <c r="CJ120" i="1" s="1"/>
  <c r="CB10" i="1"/>
  <c r="CB64" i="12"/>
  <c r="CB63" i="12" s="1"/>
  <c r="CE100" i="12"/>
  <c r="BY7" i="14" s="1"/>
  <c r="BY9" i="14" s="1"/>
  <c r="CC6" i="12"/>
  <c r="CK100" i="12"/>
  <c r="CE7" i="14" s="1"/>
  <c r="CE9" i="14" s="1"/>
  <c r="CK12" i="12"/>
  <c r="CO6" i="13"/>
  <c r="BN7" i="1"/>
  <c r="BN8" i="1" s="1"/>
  <c r="CT5" i="1"/>
  <c r="CT7" i="1" s="1"/>
  <c r="CT8" i="1" s="1"/>
  <c r="CA12" i="12"/>
  <c r="CH10" i="1"/>
  <c r="CH64" i="12"/>
  <c r="CH63" i="12" s="1"/>
  <c r="CB6" i="12"/>
  <c r="CB53" i="12"/>
  <c r="BU6" i="14" s="1"/>
  <c r="CM4" i="13"/>
  <c r="CG8" i="12"/>
  <c r="CG9" i="12" s="1"/>
  <c r="CE5" i="1"/>
  <c r="CE7" i="1" s="1"/>
  <c r="CE54" i="12"/>
  <c r="AU4" i="14"/>
  <c r="AU31" i="14" s="1"/>
  <c r="AU34" i="14" s="1"/>
  <c r="AO11" i="21"/>
  <c r="AO14" i="22" s="1"/>
  <c r="BN73" i="1"/>
  <c r="CT85" i="1"/>
  <c r="CE12" i="12"/>
  <c r="CT4" i="12"/>
  <c r="CT5" i="12" s="1"/>
  <c r="BO41" i="21"/>
  <c r="BO38" i="21" s="1"/>
  <c r="BU5" i="14" s="1"/>
  <c r="BT41" i="21"/>
  <c r="BT38" i="21" s="1"/>
  <c r="BZ5" i="14" s="1"/>
  <c r="CB12" i="12"/>
  <c r="CF6" i="12"/>
  <c r="CF53" i="12"/>
  <c r="BY6" i="14" s="1"/>
  <c r="CH4" i="13"/>
  <c r="CU4" i="12"/>
  <c r="CJ12" i="12"/>
  <c r="CI10" i="1"/>
  <c r="CI14" i="1" s="1"/>
  <c r="CI18" i="1" s="1"/>
  <c r="CI25" i="1" s="1"/>
  <c r="CI27" i="1" s="1"/>
  <c r="CI29" i="1" s="1"/>
  <c r="CI30" i="1" s="1"/>
  <c r="CI64" i="12"/>
  <c r="CI63" i="12" s="1"/>
  <c r="CA13" i="12"/>
  <c r="CI8" i="13" s="1"/>
  <c r="CT97" i="12"/>
  <c r="CU71" i="1"/>
  <c r="CU108" i="1"/>
  <c r="CU106" i="1"/>
  <c r="DC46" i="12"/>
  <c r="DC41" i="12"/>
  <c r="DC42" i="12"/>
  <c r="DC48" i="12"/>
  <c r="DC43" i="12"/>
  <c r="DC44" i="12"/>
  <c r="DC45" i="12"/>
  <c r="BN11" i="1"/>
  <c r="CT11" i="1" s="1"/>
  <c r="CF10" i="1"/>
  <c r="CF14" i="1" s="1"/>
  <c r="CF18" i="1" s="1"/>
  <c r="CF25" i="1" s="1"/>
  <c r="CF27" i="1" s="1"/>
  <c r="CF29" i="1" s="1"/>
  <c r="CF30" i="1" s="1"/>
  <c r="CF64" i="12"/>
  <c r="CF63" i="12" s="1"/>
  <c r="BZ73" i="1"/>
  <c r="CA5" i="1"/>
  <c r="CA7" i="1" s="1"/>
  <c r="CA54" i="12"/>
  <c r="BZ5" i="1"/>
  <c r="CU69" i="1"/>
  <c r="BZ54" i="12"/>
  <c r="BZ96" i="12"/>
  <c r="CU97" i="12"/>
  <c r="BY11" i="12"/>
  <c r="CG7" i="13" s="1"/>
  <c r="CG9" i="13" s="1"/>
  <c r="CG11" i="13" s="1"/>
  <c r="CG14" i="13" s="1"/>
  <c r="BY56" i="12"/>
  <c r="BZ93" i="12"/>
  <c r="CU94" i="12"/>
  <c r="DB46" i="12"/>
  <c r="DB41" i="12"/>
  <c r="DB42" i="12"/>
  <c r="DB48" i="12"/>
  <c r="DB43" i="12"/>
  <c r="DB44" i="12"/>
  <c r="DB45" i="12"/>
  <c r="CU79" i="1"/>
  <c r="CT89" i="12"/>
  <c r="BV8" i="13"/>
  <c r="CT93" i="12"/>
  <c r="CT94" i="12"/>
  <c r="CT96" i="12"/>
  <c r="BN100" i="12"/>
  <c r="CG8" i="1"/>
  <c r="CG14" i="1"/>
  <c r="CG18" i="1" s="1"/>
  <c r="CG25" i="1" s="1"/>
  <c r="CI8" i="1"/>
  <c r="CD11" i="1"/>
  <c r="CE11" i="1"/>
  <c r="CH14" i="1"/>
  <c r="CH18" i="1" s="1"/>
  <c r="CH25" i="1" s="1"/>
  <c r="CH8" i="1"/>
  <c r="CD85" i="1"/>
  <c r="CD73" i="1" s="1"/>
  <c r="CD98" i="1" s="1"/>
  <c r="CD120" i="1" s="1"/>
  <c r="CA12" i="1"/>
  <c r="CJ8" i="1"/>
  <c r="CC8" i="1"/>
  <c r="CA85" i="1"/>
  <c r="CD5" i="1"/>
  <c r="CD7" i="1" s="1"/>
  <c r="CF73" i="1"/>
  <c r="CF98" i="1" s="1"/>
  <c r="CF120" i="1" s="1"/>
  <c r="CE12" i="1"/>
  <c r="CB8" i="1"/>
  <c r="CB14" i="1"/>
  <c r="CB18" i="1" s="1"/>
  <c r="CB25" i="1" s="1"/>
  <c r="CE85" i="1"/>
  <c r="CE73" i="1" s="1"/>
  <c r="CE98" i="1" s="1"/>
  <c r="CE120" i="1" s="1"/>
  <c r="CA109" i="1"/>
  <c r="CD109" i="1"/>
  <c r="CF8" i="1"/>
  <c r="CE109" i="1"/>
  <c r="BY27" i="1"/>
  <c r="BY29" i="1" s="1"/>
  <c r="BY30" i="1" s="1"/>
  <c r="CG73" i="1"/>
  <c r="CG98" i="1" s="1"/>
  <c r="CG120" i="1" s="1"/>
  <c r="CK73" i="1"/>
  <c r="CK98" i="1" s="1"/>
  <c r="CK120" i="1" s="1"/>
  <c r="CA11" i="1"/>
  <c r="BK116" i="12"/>
  <c r="BK118" i="12" s="1"/>
  <c r="BD116" i="12"/>
  <c r="BD118" i="12" s="1"/>
  <c r="BN64" i="12"/>
  <c r="BN10" i="1"/>
  <c r="BQ64" i="12"/>
  <c r="BQ63" i="12" s="1"/>
  <c r="BQ11" i="12" s="1"/>
  <c r="BQ10" i="1"/>
  <c r="BQ14" i="1" s="1"/>
  <c r="BQ18" i="1" s="1"/>
  <c r="BQ25" i="1" s="1"/>
  <c r="BQ27" i="1" s="1"/>
  <c r="BQ29" i="1" s="1"/>
  <c r="BQ30" i="1" s="1"/>
  <c r="CL6" i="14"/>
  <c r="CL4" i="14" s="1"/>
  <c r="BM7" i="13"/>
  <c r="BP56" i="12"/>
  <c r="BD56" i="21" s="1"/>
  <c r="BE54" i="21" s="1"/>
  <c r="BQ100" i="12"/>
  <c r="BK7" i="14" s="1"/>
  <c r="BK9" i="14" s="1"/>
  <c r="BE56" i="12"/>
  <c r="AS56" i="21" s="1"/>
  <c r="AT54" i="21" s="1"/>
  <c r="AS52" i="21" s="1"/>
  <c r="AS51" i="21" s="1"/>
  <c r="AY8" i="14" s="1"/>
  <c r="BT100" i="12"/>
  <c r="BN7" i="14" s="1"/>
  <c r="BN9" i="14" s="1"/>
  <c r="BD9" i="12"/>
  <c r="BU100" i="12"/>
  <c r="BO7" i="14" s="1"/>
  <c r="BO9" i="14" s="1"/>
  <c r="BX12" i="12"/>
  <c r="BW12" i="12"/>
  <c r="BW73" i="1"/>
  <c r="BW98" i="1" s="1"/>
  <c r="BW120" i="1" s="1"/>
  <c r="BW10" i="1"/>
  <c r="BW14" i="1" s="1"/>
  <c r="BW18" i="1" s="1"/>
  <c r="BW25" i="1" s="1"/>
  <c r="BW27" i="1" s="1"/>
  <c r="BW29" i="1" s="1"/>
  <c r="BW30" i="1" s="1"/>
  <c r="BW64" i="12"/>
  <c r="BW63" i="12" s="1"/>
  <c r="BU12" i="12"/>
  <c r="BC38" i="21"/>
  <c r="BI5" i="14" s="1"/>
  <c r="CS64" i="12"/>
  <c r="BX53" i="12"/>
  <c r="BQ6" i="14" s="1"/>
  <c r="BX6" i="12"/>
  <c r="BJ11" i="12"/>
  <c r="BR7" i="13" s="1"/>
  <c r="BJ56" i="12"/>
  <c r="BQ5" i="13"/>
  <c r="BQ6" i="13" s="1"/>
  <c r="BI8" i="12"/>
  <c r="BI11" i="12"/>
  <c r="BQ7" i="13" s="1"/>
  <c r="BI56" i="12"/>
  <c r="AW56" i="21" s="1"/>
  <c r="AX54" i="21" s="1"/>
  <c r="AW52" i="21" s="1"/>
  <c r="BB6" i="14"/>
  <c r="BJ5" i="13"/>
  <c r="BJ6" i="13" s="1"/>
  <c r="BB8" i="12"/>
  <c r="BQ53" i="12"/>
  <c r="BQ6" i="12"/>
  <c r="BN5" i="13"/>
  <c r="BN6" i="13" s="1"/>
  <c r="BF8" i="12"/>
  <c r="BW100" i="12"/>
  <c r="BQ7" i="14" s="1"/>
  <c r="BQ9" i="14" s="1"/>
  <c r="BX64" i="12"/>
  <c r="BX63" i="12" s="1"/>
  <c r="BX10" i="1"/>
  <c r="BX14" i="1" s="1"/>
  <c r="BX18" i="1" s="1"/>
  <c r="BX25" i="1" s="1"/>
  <c r="BX27" i="1" s="1"/>
  <c r="BX29" i="1" s="1"/>
  <c r="BX30" i="1" s="1"/>
  <c r="BT12" i="12"/>
  <c r="BT64" i="12"/>
  <c r="BT63" i="12" s="1"/>
  <c r="BT11" i="12" s="1"/>
  <c r="BT10" i="1"/>
  <c r="BT14" i="1" s="1"/>
  <c r="BT18" i="1" s="1"/>
  <c r="BT25" i="1" s="1"/>
  <c r="BT27" i="1" s="1"/>
  <c r="BT29" i="1" s="1"/>
  <c r="BT30" i="1" s="1"/>
  <c r="CS10" i="1"/>
  <c r="CS14" i="1" s="1"/>
  <c r="CS18" i="1" s="1"/>
  <c r="CS25" i="1" s="1"/>
  <c r="BU73" i="1"/>
  <c r="BU98" i="1" s="1"/>
  <c r="BU120" i="1" s="1"/>
  <c r="BU10" i="1"/>
  <c r="BU14" i="1" s="1"/>
  <c r="BU18" i="1" s="1"/>
  <c r="BU25" i="1" s="1"/>
  <c r="BU27" i="1" s="1"/>
  <c r="BU29" i="1" s="1"/>
  <c r="BU30" i="1" s="1"/>
  <c r="BU64" i="12"/>
  <c r="BU63" i="12" s="1"/>
  <c r="BT5" i="13"/>
  <c r="BT6" i="13" s="1"/>
  <c r="BL8" i="12"/>
  <c r="BR5" i="13"/>
  <c r="BR6" i="13" s="1"/>
  <c r="BJ8" i="12"/>
  <c r="BA6" i="14"/>
  <c r="BU53" i="12"/>
  <c r="BN6" i="14" s="1"/>
  <c r="BU6" i="12"/>
  <c r="BM5" i="13"/>
  <c r="BM6" i="13" s="1"/>
  <c r="BE8" i="12"/>
  <c r="BP5" i="13"/>
  <c r="BP6" i="13" s="1"/>
  <c r="BH8" i="12"/>
  <c r="BX100" i="12"/>
  <c r="BR7" i="14" s="1"/>
  <c r="BR9" i="14" s="1"/>
  <c r="BB11" i="12"/>
  <c r="BJ7" i="13" s="1"/>
  <c r="BB56" i="12"/>
  <c r="BQ12" i="12"/>
  <c r="BL11" i="12"/>
  <c r="BT7" i="13" s="1"/>
  <c r="BL56" i="12"/>
  <c r="BT53" i="12"/>
  <c r="BT6" i="12"/>
  <c r="BU5" i="13"/>
  <c r="BU6" i="13" s="1"/>
  <c r="BM8" i="12"/>
  <c r="BH56" i="12"/>
  <c r="AV56" i="21" s="1"/>
  <c r="AW54" i="21" s="1"/>
  <c r="AV52" i="21" s="1"/>
  <c r="AV51" i="21" s="1"/>
  <c r="BB8" i="14" s="1"/>
  <c r="BF11" i="12"/>
  <c r="BN7" i="13" s="1"/>
  <c r="BF56" i="12"/>
  <c r="CS73" i="1"/>
  <c r="BF6" i="14"/>
  <c r="CS100" i="12"/>
  <c r="BW53" i="12"/>
  <c r="BP6" i="14" s="1"/>
  <c r="BW6" i="12"/>
  <c r="BP7" i="13"/>
  <c r="BM11" i="12"/>
  <c r="BU7" i="13" s="1"/>
  <c r="BM56" i="12"/>
  <c r="BA56" i="21" s="1"/>
  <c r="BB54" i="21" s="1"/>
  <c r="BA52" i="21" s="1"/>
  <c r="BV56" i="12"/>
  <c r="BJ56" i="21" s="1"/>
  <c r="BK54" i="21" s="1"/>
  <c r="BJ52" i="21" s="1"/>
  <c r="CA6" i="13"/>
  <c r="CA7" i="13"/>
  <c r="BS8" i="12"/>
  <c r="BS9" i="12" s="1"/>
  <c r="BP8" i="12"/>
  <c r="BP9" i="12" s="1"/>
  <c r="BO100" i="12"/>
  <c r="BI7" i="14" s="1"/>
  <c r="BG82" i="12"/>
  <c r="AU52" i="21"/>
  <c r="BG39" i="21"/>
  <c r="BG38" i="21" s="1"/>
  <c r="BM5" i="14" s="1"/>
  <c r="CM5" i="14"/>
  <c r="BR56" i="12"/>
  <c r="BF56" i="21" s="1"/>
  <c r="BG54" i="21" s="1"/>
  <c r="BF52" i="21" s="1"/>
  <c r="BR27" i="1"/>
  <c r="BR29" i="1" s="1"/>
  <c r="BR30" i="1" s="1"/>
  <c r="BZ7" i="13"/>
  <c r="BZ5" i="13"/>
  <c r="BZ6" i="13" s="1"/>
  <c r="BR8" i="12"/>
  <c r="BO9" i="13"/>
  <c r="BO11" i="13" s="1"/>
  <c r="BO14" i="13" s="1"/>
  <c r="CS98" i="1"/>
  <c r="BV27" i="1"/>
  <c r="BV29" i="1" s="1"/>
  <c r="BV30" i="1" s="1"/>
  <c r="BS27" i="1"/>
  <c r="BS29" i="1" s="1"/>
  <c r="BS30" i="1" s="1"/>
  <c r="BC8" i="1"/>
  <c r="BC14" i="1"/>
  <c r="BC18" i="1" s="1"/>
  <c r="BC25" i="1" s="1"/>
  <c r="AQ13" i="22"/>
  <c r="AQ8" i="21"/>
  <c r="CS8" i="1"/>
  <c r="BP27" i="1"/>
  <c r="BP29" i="1" s="1"/>
  <c r="BP30" i="1" s="1"/>
  <c r="BO120" i="1"/>
  <c r="BD16" i="12"/>
  <c r="BD20" i="12"/>
  <c r="BD26" i="12" s="1"/>
  <c r="BO7" i="1"/>
  <c r="BO13" i="12"/>
  <c r="CT13" i="12" s="1"/>
  <c r="BI6" i="14"/>
  <c r="BV8" i="12"/>
  <c r="CD4" i="13"/>
  <c r="CD6" i="13" s="1"/>
  <c r="AW9" i="14"/>
  <c r="CM9" i="14" s="1"/>
  <c r="CM7" i="14"/>
  <c r="CD7" i="13"/>
  <c r="BO63" i="12"/>
  <c r="BC11" i="12"/>
  <c r="CS63" i="12"/>
  <c r="BO57" i="12"/>
  <c r="BK28" i="12"/>
  <c r="BS15" i="13" s="1"/>
  <c r="BS16" i="13" s="1"/>
  <c r="BS19" i="13" s="1"/>
  <c r="BS22" i="13" s="1"/>
  <c r="BX7" i="13"/>
  <c r="BO60" i="12"/>
  <c r="BG9" i="12"/>
  <c r="BG15" i="12"/>
  <c r="AV6" i="14"/>
  <c r="CS53" i="12"/>
  <c r="BK38" i="21"/>
  <c r="BQ5" i="14" s="1"/>
  <c r="BS56" i="12"/>
  <c r="BG56" i="21" s="1"/>
  <c r="BK5" i="13"/>
  <c r="BC8" i="12"/>
  <c r="CS6" i="12"/>
  <c r="CS8" i="12" s="1"/>
  <c r="BO6" i="12"/>
  <c r="BO53" i="12"/>
  <c r="BC56" i="12"/>
  <c r="BC12" i="12"/>
  <c r="CS12" i="12" s="1"/>
  <c r="CS57" i="12"/>
  <c r="BX6" i="13"/>
  <c r="BD39" i="21"/>
  <c r="BD38" i="21" s="1"/>
  <c r="BJ5" i="14" s="1"/>
  <c r="BK8" i="13"/>
  <c r="H8" i="13" s="1"/>
  <c r="CS13" i="12"/>
  <c r="AR36" i="21"/>
  <c r="BF28" i="13" l="1"/>
  <c r="BE29" i="13"/>
  <c r="CU5" i="12"/>
  <c r="CT54" i="12"/>
  <c r="BN39" i="21"/>
  <c r="BN38" i="21" s="1"/>
  <c r="BT5" i="14" s="1"/>
  <c r="CL31" i="14"/>
  <c r="CT60" i="12"/>
  <c r="CD100" i="12"/>
  <c r="BX7" i="14" s="1"/>
  <c r="BX9" i="14" s="1"/>
  <c r="CT57" i="12"/>
  <c r="CU11" i="1"/>
  <c r="BN6" i="12"/>
  <c r="BN8" i="12" s="1"/>
  <c r="BN9" i="12" s="1"/>
  <c r="BN12" i="12"/>
  <c r="CT61" i="12"/>
  <c r="CU85" i="1"/>
  <c r="CU12" i="1"/>
  <c r="CP5" i="13"/>
  <c r="CP6" i="13" s="1"/>
  <c r="CH8" i="12"/>
  <c r="CH9" i="12" s="1"/>
  <c r="BY15" i="12"/>
  <c r="BY16" i="12" s="1"/>
  <c r="CU109" i="1"/>
  <c r="CA53" i="12"/>
  <c r="BT6" i="14" s="1"/>
  <c r="CA6" i="12"/>
  <c r="AP11" i="21"/>
  <c r="AQ11" i="21" s="1"/>
  <c r="AR11" i="21" s="1"/>
  <c r="AS11" i="21" s="1"/>
  <c r="AT11" i="21" s="1"/>
  <c r="AU11" i="21" s="1"/>
  <c r="AV11" i="21" s="1"/>
  <c r="AW11" i="21" s="1"/>
  <c r="AX11" i="21" s="1"/>
  <c r="AY11" i="21" s="1"/>
  <c r="AZ11" i="21" s="1"/>
  <c r="BA11" i="21" s="1"/>
  <c r="CT53" i="12"/>
  <c r="BM6" i="14"/>
  <c r="BS39" i="21"/>
  <c r="BS38" i="21" s="1"/>
  <c r="BY5" i="14" s="1"/>
  <c r="CB11" i="12"/>
  <c r="CJ7" i="13" s="1"/>
  <c r="CB56" i="12"/>
  <c r="BZ63" i="12"/>
  <c r="BZ11" i="12" s="1"/>
  <c r="CA10" i="1"/>
  <c r="CA14" i="1" s="1"/>
  <c r="CA18" i="1" s="1"/>
  <c r="CA25" i="1" s="1"/>
  <c r="CA27" i="1" s="1"/>
  <c r="CA29" i="1" s="1"/>
  <c r="CA30" i="1" s="1"/>
  <c r="CA64" i="12"/>
  <c r="CA63" i="12" s="1"/>
  <c r="BZ98" i="1"/>
  <c r="CE6" i="12"/>
  <c r="CE53" i="12"/>
  <c r="BX6" i="14" s="1"/>
  <c r="BZ60" i="12"/>
  <c r="CU60" i="12" s="1"/>
  <c r="CU61" i="12"/>
  <c r="BN14" i="1"/>
  <c r="BN18" i="1" s="1"/>
  <c r="BN25" i="1" s="1"/>
  <c r="BN27" i="1" s="1"/>
  <c r="CT10" i="1"/>
  <c r="CT14" i="1" s="1"/>
  <c r="CT18" i="1" s="1"/>
  <c r="CT25" i="1" s="1"/>
  <c r="CF11" i="12"/>
  <c r="CN7" i="13" s="1"/>
  <c r="CF56" i="12"/>
  <c r="CR5" i="13"/>
  <c r="CR6" i="13" s="1"/>
  <c r="CJ8" i="12"/>
  <c r="CJ9" i="12" s="1"/>
  <c r="BZ13" i="12"/>
  <c r="CU93" i="12"/>
  <c r="J4" i="13"/>
  <c r="CI9" i="12"/>
  <c r="CG11" i="12"/>
  <c r="CG56" i="12"/>
  <c r="BZ57" i="12"/>
  <c r="CU58" i="12"/>
  <c r="BY82" i="12"/>
  <c r="BY116" i="12" s="1"/>
  <c r="BY118" i="12" s="1"/>
  <c r="BM56" i="21"/>
  <c r="CL5" i="13"/>
  <c r="CL6" i="13" s="1"/>
  <c r="CD8" i="12"/>
  <c r="CD9" i="12" s="1"/>
  <c r="CN5" i="13"/>
  <c r="CN6" i="13" s="1"/>
  <c r="CF8" i="12"/>
  <c r="CS5" i="13"/>
  <c r="CS6" i="13" s="1"/>
  <c r="CK8" i="12"/>
  <c r="CK9" i="12" s="1"/>
  <c r="CC56" i="12"/>
  <c r="CC11" i="12"/>
  <c r="CK7" i="13" s="1"/>
  <c r="CK11" i="12"/>
  <c r="CS7" i="13" s="1"/>
  <c r="CK56" i="12"/>
  <c r="I4" i="13"/>
  <c r="CU5" i="1"/>
  <c r="CU7" i="1" s="1"/>
  <c r="BZ7" i="1"/>
  <c r="CU96" i="12"/>
  <c r="CI56" i="12"/>
  <c r="CI11" i="12"/>
  <c r="CQ7" i="13" s="1"/>
  <c r="CQ9" i="13" s="1"/>
  <c r="CQ11" i="13" s="1"/>
  <c r="CQ14" i="13" s="1"/>
  <c r="CT58" i="12"/>
  <c r="CJ5" i="13"/>
  <c r="CJ6" i="13" s="1"/>
  <c r="CB8" i="12"/>
  <c r="CB9" i="12" s="1"/>
  <c r="BN98" i="1"/>
  <c r="CT73" i="1"/>
  <c r="BZ6" i="12"/>
  <c r="BZ53" i="12"/>
  <c r="CU54" i="12"/>
  <c r="CH56" i="12"/>
  <c r="CH11" i="12"/>
  <c r="CK5" i="13"/>
  <c r="CK6" i="13" s="1"/>
  <c r="CC8" i="12"/>
  <c r="BZ100" i="12"/>
  <c r="CE10" i="1"/>
  <c r="CE14" i="1" s="1"/>
  <c r="CE18" i="1" s="1"/>
  <c r="CE25" i="1" s="1"/>
  <c r="CE64" i="12"/>
  <c r="CE63" i="12" s="1"/>
  <c r="CD10" i="1"/>
  <c r="CD14" i="1" s="1"/>
  <c r="CD18" i="1" s="1"/>
  <c r="CD25" i="1" s="1"/>
  <c r="CD64" i="12"/>
  <c r="CD63" i="12" s="1"/>
  <c r="CD12" i="12"/>
  <c r="CJ11" i="12"/>
  <c r="CR7" i="13" s="1"/>
  <c r="CJ56" i="12"/>
  <c r="BN63" i="12"/>
  <c r="BN11" i="12" s="1"/>
  <c r="CT64" i="12"/>
  <c r="BH7" i="14"/>
  <c r="BH9" i="14" s="1"/>
  <c r="CT100" i="12"/>
  <c r="CA8" i="1"/>
  <c r="BQ56" i="12"/>
  <c r="BE56" i="21" s="1"/>
  <c r="BF54" i="21" s="1"/>
  <c r="BE52" i="21" s="1"/>
  <c r="BE51" i="21" s="1"/>
  <c r="BK8" i="14" s="1"/>
  <c r="CD8" i="1"/>
  <c r="CH27" i="1"/>
  <c r="CH29" i="1" s="1"/>
  <c r="CH30" i="1" s="1"/>
  <c r="BY7" i="13"/>
  <c r="CE8" i="1"/>
  <c r="CA73" i="1"/>
  <c r="CA98" i="1" s="1"/>
  <c r="CA120" i="1" s="1"/>
  <c r="CJ27" i="1"/>
  <c r="CJ29" i="1" s="1"/>
  <c r="CJ30" i="1" s="1"/>
  <c r="CB27" i="1"/>
  <c r="CB29" i="1" s="1"/>
  <c r="CB30" i="1" s="1"/>
  <c r="CG27" i="1"/>
  <c r="CG29" i="1" s="1"/>
  <c r="CG30" i="1" s="1"/>
  <c r="BM9" i="13"/>
  <c r="BM11" i="13" s="1"/>
  <c r="BM14" i="13" s="1"/>
  <c r="BG116" i="12"/>
  <c r="BG118" i="12" s="1"/>
  <c r="BQ9" i="13"/>
  <c r="BQ11" i="13" s="1"/>
  <c r="BQ14" i="13" s="1"/>
  <c r="AO5" i="21"/>
  <c r="AO21" i="21" s="1"/>
  <c r="AO25" i="21" s="1"/>
  <c r="CC25" i="21" s="1"/>
  <c r="CC11" i="21"/>
  <c r="AO12" i="21"/>
  <c r="AO13" i="21" s="1"/>
  <c r="AP12" i="21"/>
  <c r="BE82" i="12"/>
  <c r="BP82" i="12"/>
  <c r="BS15" i="12"/>
  <c r="BS20" i="12" s="1"/>
  <c r="BS26" i="12" s="1"/>
  <c r="BJ9" i="13"/>
  <c r="BJ11" i="13" s="1"/>
  <c r="BJ14" i="13" s="1"/>
  <c r="BP15" i="12"/>
  <c r="BP16" i="12" s="1"/>
  <c r="CB7" i="13"/>
  <c r="BV82" i="12"/>
  <c r="BW11" i="12"/>
  <c r="CE7" i="13" s="1"/>
  <c r="BW56" i="12"/>
  <c r="BP9" i="13"/>
  <c r="BP11" i="13" s="1"/>
  <c r="BP14" i="13" s="1"/>
  <c r="BM82" i="12"/>
  <c r="CB5" i="13"/>
  <c r="CB6" i="13" s="1"/>
  <c r="BT8" i="12"/>
  <c r="BN9" i="13"/>
  <c r="BN11" i="13" s="1"/>
  <c r="BN14" i="13" s="1"/>
  <c r="AW51" i="21"/>
  <c r="BC8" i="14" s="1"/>
  <c r="BY5" i="13"/>
  <c r="BY6" i="13" s="1"/>
  <c r="BQ8" i="12"/>
  <c r="BI9" i="12"/>
  <c r="BI15" i="12"/>
  <c r="BH82" i="12"/>
  <c r="AT56" i="21"/>
  <c r="AU54" i="21" s="1"/>
  <c r="AT52" i="21" s="1"/>
  <c r="AT51" i="21" s="1"/>
  <c r="AZ8" i="14" s="1"/>
  <c r="BF82" i="12"/>
  <c r="AX56" i="21"/>
  <c r="AY54" i="21" s="1"/>
  <c r="BJ82" i="12"/>
  <c r="BJ15" i="12"/>
  <c r="BJ9" i="12"/>
  <c r="AP56" i="21"/>
  <c r="AQ54" i="21" s="1"/>
  <c r="AP52" i="21" s="1"/>
  <c r="AP51" i="21" s="1"/>
  <c r="AV8" i="14" s="1"/>
  <c r="BB82" i="12"/>
  <c r="BR9" i="13"/>
  <c r="BR11" i="13" s="1"/>
  <c r="BR14" i="13" s="1"/>
  <c r="CF5" i="13"/>
  <c r="CF6" i="13" s="1"/>
  <c r="BX8" i="12"/>
  <c r="AZ56" i="21"/>
  <c r="BL82" i="12"/>
  <c r="BL15" i="12"/>
  <c r="BL9" i="12"/>
  <c r="BB15" i="12"/>
  <c r="BB9" i="12"/>
  <c r="BJ6" i="14"/>
  <c r="BT9" i="13"/>
  <c r="BT11" i="13" s="1"/>
  <c r="BT14" i="13" s="1"/>
  <c r="BX11" i="12"/>
  <c r="CF7" i="13" s="1"/>
  <c r="BX56" i="12"/>
  <c r="BL56" i="21" s="1"/>
  <c r="BM9" i="12"/>
  <c r="BM15" i="12"/>
  <c r="BH15" i="12"/>
  <c r="BH9" i="12"/>
  <c r="BU11" i="12"/>
  <c r="CC7" i="13" s="1"/>
  <c r="BU56" i="12"/>
  <c r="BT56" i="12"/>
  <c r="BH56" i="21" s="1"/>
  <c r="BI54" i="21" s="1"/>
  <c r="BH52" i="21" s="1"/>
  <c r="CE5" i="13"/>
  <c r="CE6" i="13" s="1"/>
  <c r="BW8" i="12"/>
  <c r="BU9" i="13"/>
  <c r="BU11" i="13" s="1"/>
  <c r="BU14" i="13" s="1"/>
  <c r="BI82" i="12"/>
  <c r="CC5" i="13"/>
  <c r="CC6" i="13" s="1"/>
  <c r="BU8" i="12"/>
  <c r="BE9" i="12"/>
  <c r="BE15" i="12"/>
  <c r="BF15" i="12"/>
  <c r="BF9" i="12"/>
  <c r="CA9" i="13"/>
  <c r="CA11" i="13" s="1"/>
  <c r="CA14" i="13" s="1"/>
  <c r="BK30" i="12"/>
  <c r="BK31" i="12" s="1"/>
  <c r="BS82" i="12"/>
  <c r="BR82" i="12"/>
  <c r="BX9" i="13"/>
  <c r="BX11" i="13" s="1"/>
  <c r="BX14" i="13" s="1"/>
  <c r="BZ9" i="13"/>
  <c r="BZ11" i="13" s="1"/>
  <c r="BZ14" i="13" s="1"/>
  <c r="BR9" i="12"/>
  <c r="BR15" i="12"/>
  <c r="CN5" i="14"/>
  <c r="BK7" i="13"/>
  <c r="H7" i="13" s="1"/>
  <c r="CS11" i="12"/>
  <c r="CS15" i="12" s="1"/>
  <c r="AQ56" i="21"/>
  <c r="CS56" i="12"/>
  <c r="BG16" i="12"/>
  <c r="BG20" i="12"/>
  <c r="BG26" i="12" s="1"/>
  <c r="BO8" i="1"/>
  <c r="BO14" i="1"/>
  <c r="BO18" i="1" s="1"/>
  <c r="BO25" i="1" s="1"/>
  <c r="BD52" i="21"/>
  <c r="BI9" i="14"/>
  <c r="BH6" i="14"/>
  <c r="BD28" i="12"/>
  <c r="BL15" i="13" s="1"/>
  <c r="BL16" i="13" s="1"/>
  <c r="BL19" i="13" s="1"/>
  <c r="BL22" i="13" s="1"/>
  <c r="BW5" i="13"/>
  <c r="BO8" i="12"/>
  <c r="AR7" i="21"/>
  <c r="AS36" i="21"/>
  <c r="BO11" i="12"/>
  <c r="BS27" i="13"/>
  <c r="CD9" i="13"/>
  <c r="CD11" i="13" s="1"/>
  <c r="CD14" i="13" s="1"/>
  <c r="BV9" i="12"/>
  <c r="BV15" i="12"/>
  <c r="AQ9" i="21"/>
  <c r="DA55" i="12"/>
  <c r="CS9" i="12"/>
  <c r="BO56" i="12"/>
  <c r="BO12" i="12"/>
  <c r="CM6" i="14"/>
  <c r="BC82" i="12"/>
  <c r="BC116" i="12" s="1"/>
  <c r="BC9" i="12"/>
  <c r="BC15" i="12"/>
  <c r="DA54" i="12"/>
  <c r="BC27" i="1"/>
  <c r="CS27" i="1" s="1"/>
  <c r="CS29" i="1" s="1"/>
  <c r="CS30" i="1" s="1"/>
  <c r="BK6" i="13"/>
  <c r="H5" i="13"/>
  <c r="AO11" i="22"/>
  <c r="AV33" i="14"/>
  <c r="BH54" i="21"/>
  <c r="BW8" i="13"/>
  <c r="BG28" i="13" l="1"/>
  <c r="BF29" i="13"/>
  <c r="CT12" i="12"/>
  <c r="BV5" i="13"/>
  <c r="CK9" i="13"/>
  <c r="CK11" i="13" s="1"/>
  <c r="CK14" i="13" s="1"/>
  <c r="BV7" i="13"/>
  <c r="CT6" i="12"/>
  <c r="CT8" i="12" s="1"/>
  <c r="DB54" i="12" s="1"/>
  <c r="BN29" i="1"/>
  <c r="BN30" i="1" s="1"/>
  <c r="CB15" i="12"/>
  <c r="CB20" i="12" s="1"/>
  <c r="CB26" i="12" s="1"/>
  <c r="CJ9" i="13"/>
  <c r="CJ11" i="13" s="1"/>
  <c r="CJ14" i="13" s="1"/>
  <c r="BY20" i="12"/>
  <c r="BY26" i="12" s="1"/>
  <c r="BY28" i="12" s="1"/>
  <c r="CG15" i="13" s="1"/>
  <c r="CG16" i="13" s="1"/>
  <c r="CG19" i="13" s="1"/>
  <c r="CG22" i="13" s="1"/>
  <c r="CG27" i="13" s="1"/>
  <c r="CU10" i="1"/>
  <c r="CU14" i="1" s="1"/>
  <c r="CU18" i="1" s="1"/>
  <c r="CU25" i="1" s="1"/>
  <c r="CS9" i="13"/>
  <c r="CS11" i="13" s="1"/>
  <c r="CS14" i="13" s="1"/>
  <c r="CB82" i="12"/>
  <c r="CB116" i="12" s="1"/>
  <c r="CB118" i="12" s="1"/>
  <c r="BP56" i="21"/>
  <c r="G27" i="15"/>
  <c r="G30" i="15" s="1"/>
  <c r="BN120" i="1"/>
  <c r="CT98" i="1"/>
  <c r="BV6" i="13"/>
  <c r="I5" i="13"/>
  <c r="I6" i="13" s="1"/>
  <c r="CK82" i="12"/>
  <c r="CK116" i="12" s="1"/>
  <c r="CK118" i="12" s="1"/>
  <c r="BY56" i="21"/>
  <c r="BY52" i="21" s="1"/>
  <c r="CM5" i="13"/>
  <c r="CM6" i="13" s="1"/>
  <c r="CE8" i="12"/>
  <c r="CH8" i="13"/>
  <c r="J8" i="13" s="1"/>
  <c r="CU13" i="12"/>
  <c r="CJ15" i="12"/>
  <c r="BT7" i="14"/>
  <c r="BT9" i="14" s="1"/>
  <c r="CU100" i="12"/>
  <c r="BN54" i="21"/>
  <c r="BM52" i="21" s="1"/>
  <c r="CC9" i="12"/>
  <c r="CC15" i="12"/>
  <c r="CC82" i="12"/>
  <c r="CC116" i="12" s="1"/>
  <c r="CC118" i="12" s="1"/>
  <c r="BQ56" i="21"/>
  <c r="BR54" i="21" s="1"/>
  <c r="BQ52" i="21" s="1"/>
  <c r="CR9" i="13"/>
  <c r="CR11" i="13" s="1"/>
  <c r="CR14" i="13" s="1"/>
  <c r="CU73" i="1"/>
  <c r="CI82" i="12"/>
  <c r="CI116" i="12" s="1"/>
  <c r="CI118" i="12" s="1"/>
  <c r="BW56" i="21"/>
  <c r="CF82" i="12"/>
  <c r="CF116" i="12" s="1"/>
  <c r="CF118" i="12" s="1"/>
  <c r="BT56" i="21"/>
  <c r="BZ120" i="1"/>
  <c r="CU98" i="1"/>
  <c r="BB11" i="21"/>
  <c r="BC11" i="21" s="1"/>
  <c r="BD11" i="21" s="1"/>
  <c r="BE11" i="21" s="1"/>
  <c r="BF11" i="21" s="1"/>
  <c r="BG11" i="21" s="1"/>
  <c r="BH11" i="21" s="1"/>
  <c r="BI11" i="21" s="1"/>
  <c r="BJ11" i="21" s="1"/>
  <c r="BK11" i="21" s="1"/>
  <c r="BL11" i="21" s="1"/>
  <c r="CE11" i="12"/>
  <c r="CM7" i="13" s="1"/>
  <c r="CE56" i="12"/>
  <c r="BZ56" i="12"/>
  <c r="BZ12" i="12"/>
  <c r="CU12" i="12" s="1"/>
  <c r="CU57" i="12"/>
  <c r="I8" i="13"/>
  <c r="CN7" i="14"/>
  <c r="CH82" i="12"/>
  <c r="CH116" i="12" s="1"/>
  <c r="CH118" i="12" s="1"/>
  <c r="BV56" i="21"/>
  <c r="CG82" i="12"/>
  <c r="CG116" i="12" s="1"/>
  <c r="CG118" i="12" s="1"/>
  <c r="BU56" i="21"/>
  <c r="CA11" i="12"/>
  <c r="CI7" i="13" s="1"/>
  <c r="CA56" i="12"/>
  <c r="CJ82" i="12"/>
  <c r="CJ116" i="12" s="1"/>
  <c r="CJ118" i="12" s="1"/>
  <c r="BX56" i="21"/>
  <c r="CP7" i="13"/>
  <c r="CP9" i="13" s="1"/>
  <c r="CP11" i="13" s="1"/>
  <c r="CP14" i="13" s="1"/>
  <c r="CH15" i="12"/>
  <c r="BM54" i="21"/>
  <c r="BL52" i="21" s="1"/>
  <c r="BZ8" i="1"/>
  <c r="BZ14" i="1"/>
  <c r="BZ18" i="1" s="1"/>
  <c r="BZ25" i="1" s="1"/>
  <c r="CF9" i="12"/>
  <c r="CF15" i="12"/>
  <c r="CO7" i="13"/>
  <c r="CO9" i="13" s="1"/>
  <c r="CO11" i="13" s="1"/>
  <c r="CO14" i="13" s="1"/>
  <c r="CG15" i="12"/>
  <c r="CI5" i="13"/>
  <c r="CI6" i="13" s="1"/>
  <c r="CA8" i="12"/>
  <c r="CD11" i="12"/>
  <c r="CL7" i="13" s="1"/>
  <c r="CL9" i="13" s="1"/>
  <c r="CL11" i="13" s="1"/>
  <c r="CL14" i="13" s="1"/>
  <c r="CD56" i="12"/>
  <c r="BS6" i="14"/>
  <c r="CN6" i="14" s="1"/>
  <c r="CU53" i="12"/>
  <c r="CU8" i="1"/>
  <c r="CN9" i="13"/>
  <c r="CN11" i="13" s="1"/>
  <c r="CN14" i="13" s="1"/>
  <c r="CI15" i="12"/>
  <c r="CU64" i="12"/>
  <c r="F27" i="15"/>
  <c r="F30" i="15" s="1"/>
  <c r="CH5" i="13"/>
  <c r="CU6" i="12"/>
  <c r="CU8" i="12" s="1"/>
  <c r="DC54" i="12" s="1"/>
  <c r="BZ8" i="12"/>
  <c r="CK15" i="12"/>
  <c r="CU63" i="12"/>
  <c r="DB55" i="12"/>
  <c r="CN9" i="14"/>
  <c r="CT11" i="12"/>
  <c r="BN15" i="12"/>
  <c r="BN16" i="12" s="1"/>
  <c r="BN56" i="12"/>
  <c r="CT63" i="12"/>
  <c r="BQ82" i="12"/>
  <c r="BQ116" i="12" s="1"/>
  <c r="BQ118" i="12" s="1"/>
  <c r="CC5" i="21"/>
  <c r="CC21" i="21" s="1"/>
  <c r="BF51" i="21"/>
  <c r="BL8" i="14" s="1"/>
  <c r="BY9" i="13"/>
  <c r="BY11" i="13" s="1"/>
  <c r="BY14" i="13" s="1"/>
  <c r="CE27" i="1"/>
  <c r="CE29" i="1" s="1"/>
  <c r="CE30" i="1" s="1"/>
  <c r="CD27" i="1"/>
  <c r="CD29" i="1" s="1"/>
  <c r="CD30" i="1" s="1"/>
  <c r="AP14" i="22"/>
  <c r="BV116" i="12"/>
  <c r="BV118" i="12" s="1"/>
  <c r="AP5" i="21"/>
  <c r="BH116" i="12"/>
  <c r="BH118" i="12" s="1"/>
  <c r="BS116" i="12"/>
  <c r="BS118" i="12" s="1"/>
  <c r="BE116" i="12"/>
  <c r="BE118" i="12" s="1"/>
  <c r="BJ116" i="12"/>
  <c r="BJ118" i="12" s="1"/>
  <c r="BI116" i="12"/>
  <c r="BI118" i="12" s="1"/>
  <c r="BP116" i="12"/>
  <c r="BP118" i="12" s="1"/>
  <c r="BL116" i="12"/>
  <c r="BL118" i="12" s="1"/>
  <c r="BM116" i="12"/>
  <c r="BM118" i="12" s="1"/>
  <c r="BB116" i="12"/>
  <c r="BB118" i="12" s="1"/>
  <c r="BB119" i="12" s="1"/>
  <c r="BR116" i="12"/>
  <c r="BR118" i="12" s="1"/>
  <c r="BF116" i="12"/>
  <c r="BF118" i="12" s="1"/>
  <c r="AQ5" i="21"/>
  <c r="BP20" i="12"/>
  <c r="BP26" i="12" s="1"/>
  <c r="BP28" i="12" s="1"/>
  <c r="BX15" i="13" s="1"/>
  <c r="BX16" i="13" s="1"/>
  <c r="BX19" i="13" s="1"/>
  <c r="BX22" i="13" s="1"/>
  <c r="CC12" i="21"/>
  <c r="CC13" i="21" s="1"/>
  <c r="BS16" i="12"/>
  <c r="CE9" i="13"/>
  <c r="CE11" i="13" s="1"/>
  <c r="CE14" i="13" s="1"/>
  <c r="BH51" i="21"/>
  <c r="BN8" i="14" s="1"/>
  <c r="CB9" i="13"/>
  <c r="CB11" i="13" s="1"/>
  <c r="CB14" i="13" s="1"/>
  <c r="AU51" i="21"/>
  <c r="BA8" i="14" s="1"/>
  <c r="BT82" i="12"/>
  <c r="BK9" i="13"/>
  <c r="BK11" i="13" s="1"/>
  <c r="BK14" i="13" s="1"/>
  <c r="BK56" i="21"/>
  <c r="BW82" i="12"/>
  <c r="BF16" i="12"/>
  <c r="BF20" i="12"/>
  <c r="BF26" i="12" s="1"/>
  <c r="BF28" i="12" s="1"/>
  <c r="BN15" i="13" s="1"/>
  <c r="BN16" i="13" s="1"/>
  <c r="BN19" i="13" s="1"/>
  <c r="BN22" i="13" s="1"/>
  <c r="BN27" i="13" s="1"/>
  <c r="BE16" i="12"/>
  <c r="BE20" i="12"/>
  <c r="BE26" i="12" s="1"/>
  <c r="BE28" i="12" s="1"/>
  <c r="BM15" i="13" s="1"/>
  <c r="BM16" i="13" s="1"/>
  <c r="BM19" i="13" s="1"/>
  <c r="BM22" i="13" s="1"/>
  <c r="BM27" i="13" s="1"/>
  <c r="BI56" i="21"/>
  <c r="BJ54" i="21" s="1"/>
  <c r="BU82" i="12"/>
  <c r="BI20" i="12"/>
  <c r="BI26" i="12" s="1"/>
  <c r="BI16" i="12"/>
  <c r="BU9" i="12"/>
  <c r="BU15" i="12"/>
  <c r="BH16" i="12"/>
  <c r="BH20" i="12"/>
  <c r="BH26" i="12" s="1"/>
  <c r="BH28" i="12" s="1"/>
  <c r="BP15" i="13" s="1"/>
  <c r="BP16" i="13" s="1"/>
  <c r="BP19" i="13" s="1"/>
  <c r="BP22" i="13" s="1"/>
  <c r="BP27" i="13" s="1"/>
  <c r="BB20" i="12"/>
  <c r="BB26" i="12" s="1"/>
  <c r="BB28" i="12" s="1"/>
  <c r="BB30" i="12" s="1"/>
  <c r="BB31" i="12" s="1"/>
  <c r="BB16" i="12"/>
  <c r="BJ20" i="12"/>
  <c r="BJ26" i="12" s="1"/>
  <c r="BJ16" i="12"/>
  <c r="CC9" i="13"/>
  <c r="CC11" i="13" s="1"/>
  <c r="CC14" i="13" s="1"/>
  <c r="BM20" i="12"/>
  <c r="BM26" i="12" s="1"/>
  <c r="BM28" i="12" s="1"/>
  <c r="BU15" i="13" s="1"/>
  <c r="BU16" i="13" s="1"/>
  <c r="BU19" i="13" s="1"/>
  <c r="BU22" i="13" s="1"/>
  <c r="BU27" i="13" s="1"/>
  <c r="BM16" i="12"/>
  <c r="BQ9" i="12"/>
  <c r="BQ15" i="12"/>
  <c r="AX52" i="21"/>
  <c r="AX51" i="21" s="1"/>
  <c r="BD8" i="14" s="1"/>
  <c r="AY51" i="21"/>
  <c r="BE8" i="14" s="1"/>
  <c r="AP49" i="21"/>
  <c r="AP17" i="21" s="1"/>
  <c r="AP28" i="22" s="1"/>
  <c r="BA54" i="21"/>
  <c r="BA51" i="21" s="1"/>
  <c r="BG8" i="14" s="1"/>
  <c r="BL16" i="12"/>
  <c r="BL20" i="12"/>
  <c r="BL26" i="12" s="1"/>
  <c r="BL28" i="12" s="1"/>
  <c r="BT15" i="13" s="1"/>
  <c r="BT16" i="13" s="1"/>
  <c r="BT19" i="13" s="1"/>
  <c r="BT22" i="13" s="1"/>
  <c r="BT27" i="13" s="1"/>
  <c r="BX9" i="12"/>
  <c r="BX15" i="12"/>
  <c r="BT15" i="12"/>
  <c r="BT9" i="12"/>
  <c r="BW15" i="12"/>
  <c r="BW9" i="12"/>
  <c r="BX82" i="12"/>
  <c r="CF9" i="13"/>
  <c r="CF11" i="13" s="1"/>
  <c r="CF14" i="13" s="1"/>
  <c r="K4" i="13"/>
  <c r="BC29" i="1"/>
  <c r="BC30" i="1" s="1"/>
  <c r="BR16" i="12"/>
  <c r="BR20" i="12"/>
  <c r="BR26" i="12" s="1"/>
  <c r="CS16" i="12"/>
  <c r="CS20" i="12"/>
  <c r="CS26" i="12" s="1"/>
  <c r="BO9" i="12"/>
  <c r="BO15" i="12"/>
  <c r="BG28" i="12"/>
  <c r="BO15" i="13" s="1"/>
  <c r="BO16" i="13" s="1"/>
  <c r="BO19" i="13" s="1"/>
  <c r="BO22" i="13" s="1"/>
  <c r="AO29" i="22"/>
  <c r="AO26" i="22" s="1"/>
  <c r="AO30" i="22" s="1"/>
  <c r="AO16" i="22" s="1"/>
  <c r="AO10" i="22" s="1"/>
  <c r="AO17" i="22" s="1"/>
  <c r="AO32" i="22" s="1"/>
  <c r="BV16" i="12"/>
  <c r="BV20" i="12"/>
  <c r="BV26" i="12" s="1"/>
  <c r="BW6" i="13"/>
  <c r="BC16" i="12"/>
  <c r="BC20" i="12"/>
  <c r="BC26" i="12" s="1"/>
  <c r="BL27" i="13"/>
  <c r="AR54" i="21"/>
  <c r="AR51" i="21" s="1"/>
  <c r="AX8" i="14" s="1"/>
  <c r="BD30" i="12"/>
  <c r="BC56" i="21"/>
  <c r="BC118" i="12"/>
  <c r="CS82" i="12"/>
  <c r="BW7" i="13"/>
  <c r="H6" i="13"/>
  <c r="BO27" i="1"/>
  <c r="CT27" i="1" s="1"/>
  <c r="CT29" i="1" s="1"/>
  <c r="CT30" i="1" s="1"/>
  <c r="BO82" i="12"/>
  <c r="BO116" i="12" s="1"/>
  <c r="AP13" i="21"/>
  <c r="AS7" i="21"/>
  <c r="AT36" i="21"/>
  <c r="BG52" i="21"/>
  <c r="BG51" i="21" s="1"/>
  <c r="BM8" i="14" s="1"/>
  <c r="BS28" i="12"/>
  <c r="CA15" i="13" s="1"/>
  <c r="CA16" i="13" s="1"/>
  <c r="CA19" i="13" s="1"/>
  <c r="CA22" i="13" s="1"/>
  <c r="AR8" i="21"/>
  <c r="AR13" i="22"/>
  <c r="BH28" i="13" l="1"/>
  <c r="BG29" i="13"/>
  <c r="BV9" i="13"/>
  <c r="BV11" i="13" s="1"/>
  <c r="BV14" i="13" s="1"/>
  <c r="CB16" i="12"/>
  <c r="CI9" i="13"/>
  <c r="CI11" i="13" s="1"/>
  <c r="CI14" i="13" s="1"/>
  <c r="K8" i="13"/>
  <c r="BM51" i="21"/>
  <c r="BS8" i="14" s="1"/>
  <c r="CT9" i="12"/>
  <c r="CT15" i="12"/>
  <c r="CT20" i="12" s="1"/>
  <c r="CT26" i="12" s="1"/>
  <c r="CH7" i="13"/>
  <c r="BN20" i="12"/>
  <c r="BN26" i="12" s="1"/>
  <c r="BN28" i="12" s="1"/>
  <c r="BV15" i="13" s="1"/>
  <c r="J7" i="13"/>
  <c r="CD15" i="12"/>
  <c r="CD20" i="12" s="1"/>
  <c r="CD26" i="12" s="1"/>
  <c r="BY54" i="21"/>
  <c r="BX52" i="21" s="1"/>
  <c r="BU54" i="21"/>
  <c r="BT52" i="21" s="1"/>
  <c r="CB28" i="12"/>
  <c r="CJ15" i="13" s="1"/>
  <c r="CJ16" i="13" s="1"/>
  <c r="CJ19" i="13" s="1"/>
  <c r="CJ22" i="13" s="1"/>
  <c r="CJ27" i="13" s="1"/>
  <c r="BL54" i="21"/>
  <c r="BL51" i="21" s="1"/>
  <c r="BR8" i="14" s="1"/>
  <c r="CG16" i="12"/>
  <c r="CG20" i="12"/>
  <c r="CG26" i="12" s="1"/>
  <c r="CI16" i="12"/>
  <c r="CI20" i="12"/>
  <c r="CI26" i="12" s="1"/>
  <c r="CA82" i="12"/>
  <c r="CA116" i="12" s="1"/>
  <c r="CA118" i="12" s="1"/>
  <c r="BO56" i="21"/>
  <c r="BX54" i="21"/>
  <c r="BW52" i="21" s="1"/>
  <c r="CF16" i="12"/>
  <c r="CF20" i="12"/>
  <c r="CF26" i="12" s="1"/>
  <c r="CJ16" i="12"/>
  <c r="CJ20" i="12"/>
  <c r="CJ26" i="12" s="1"/>
  <c r="BV54" i="21"/>
  <c r="BU52" i="21" s="1"/>
  <c r="BZ82" i="12"/>
  <c r="BN56" i="21"/>
  <c r="CU56" i="12"/>
  <c r="BZ27" i="1"/>
  <c r="BZ29" i="1" s="1"/>
  <c r="BZ30" i="1" s="1"/>
  <c r="CU11" i="12"/>
  <c r="CU15" i="12" s="1"/>
  <c r="CE82" i="12"/>
  <c r="CE116" i="12" s="1"/>
  <c r="CE118" i="12" s="1"/>
  <c r="BS56" i="21"/>
  <c r="CE9" i="12"/>
  <c r="CE15" i="12"/>
  <c r="BZ9" i="12"/>
  <c r="BZ15" i="12"/>
  <c r="BW54" i="21"/>
  <c r="BV52" i="21" s="1"/>
  <c r="CM9" i="13"/>
  <c r="CM11" i="13" s="1"/>
  <c r="CM14" i="13" s="1"/>
  <c r="BQ54" i="21"/>
  <c r="BP52" i="21" s="1"/>
  <c r="DC55" i="12"/>
  <c r="CU9" i="12"/>
  <c r="CD82" i="12"/>
  <c r="CD116" i="12" s="1"/>
  <c r="CD118" i="12" s="1"/>
  <c r="BR56" i="21"/>
  <c r="BM11" i="21"/>
  <c r="BN11" i="21" s="1"/>
  <c r="BO11" i="21" s="1"/>
  <c r="BP11" i="21" s="1"/>
  <c r="BQ11" i="21" s="1"/>
  <c r="BR11" i="21" s="1"/>
  <c r="BS11" i="21" s="1"/>
  <c r="BT11" i="21" s="1"/>
  <c r="BU11" i="21" s="1"/>
  <c r="BV11" i="21" s="1"/>
  <c r="BW11" i="21" s="1"/>
  <c r="BX11" i="21" s="1"/>
  <c r="BY11" i="21" s="1"/>
  <c r="CC16" i="12"/>
  <c r="CC20" i="12"/>
  <c r="CC26" i="12" s="1"/>
  <c r="CK16" i="12"/>
  <c r="CK20" i="12"/>
  <c r="CK26" i="12" s="1"/>
  <c r="CK28" i="12" s="1"/>
  <c r="J5" i="13"/>
  <c r="J6" i="13" s="1"/>
  <c r="CH6" i="13"/>
  <c r="CH16" i="12"/>
  <c r="CH20" i="12"/>
  <c r="CH26" i="12" s="1"/>
  <c r="I7" i="13"/>
  <c r="I9" i="13" s="1"/>
  <c r="I11" i="13" s="1"/>
  <c r="I14" i="13" s="1"/>
  <c r="CA9" i="12"/>
  <c r="CA15" i="12"/>
  <c r="BY30" i="12"/>
  <c r="BY31" i="12" s="1"/>
  <c r="BN82" i="12"/>
  <c r="CT56" i="12"/>
  <c r="BB56" i="21"/>
  <c r="BC54" i="21" s="1"/>
  <c r="BB52" i="21" s="1"/>
  <c r="BB51" i="21" s="1"/>
  <c r="BH8" i="14" s="1"/>
  <c r="AQ12" i="21"/>
  <c r="AQ13" i="21" s="1"/>
  <c r="AR5" i="21"/>
  <c r="AQ14" i="22"/>
  <c r="AP12" i="22"/>
  <c r="BB120" i="12"/>
  <c r="AV10" i="14" s="1"/>
  <c r="AV4" i="14" s="1"/>
  <c r="AV31" i="14" s="1"/>
  <c r="AV34" i="14" s="1"/>
  <c r="BX116" i="12"/>
  <c r="BX118" i="12" s="1"/>
  <c r="BW116" i="12"/>
  <c r="BW118" i="12" s="1"/>
  <c r="BT116" i="12"/>
  <c r="BT118" i="12" s="1"/>
  <c r="BU116" i="12"/>
  <c r="BU118" i="12" s="1"/>
  <c r="BC119" i="12"/>
  <c r="AQ12" i="22" s="1"/>
  <c r="BF30" i="12"/>
  <c r="BF31" i="12" s="1"/>
  <c r="BB35" i="12"/>
  <c r="AP22" i="22" s="1"/>
  <c r="AP18" i="22" s="1"/>
  <c r="AZ52" i="21"/>
  <c r="AZ51" i="21" s="1"/>
  <c r="BF8" i="14" s="1"/>
  <c r="BE30" i="12"/>
  <c r="BE31" i="12" s="1"/>
  <c r="BJ15" i="13"/>
  <c r="BJ16" i="13" s="1"/>
  <c r="BJ19" i="13" s="1"/>
  <c r="BJ22" i="13" s="1"/>
  <c r="AP15" i="21"/>
  <c r="AP21" i="21" s="1"/>
  <c r="AP25" i="21" s="1"/>
  <c r="BH30" i="12"/>
  <c r="BH31" i="12" s="1"/>
  <c r="BM30" i="12"/>
  <c r="BM31" i="12" s="1"/>
  <c r="BU16" i="12"/>
  <c r="BU20" i="12"/>
  <c r="BU26" i="12" s="1"/>
  <c r="BU28" i="12" s="1"/>
  <c r="CC15" i="13" s="1"/>
  <c r="CC16" i="13" s="1"/>
  <c r="CC19" i="13" s="1"/>
  <c r="CC22" i="13" s="1"/>
  <c r="CC27" i="13" s="1"/>
  <c r="BW20" i="12"/>
  <c r="BW26" i="12" s="1"/>
  <c r="BW28" i="12" s="1"/>
  <c r="CE15" i="13" s="1"/>
  <c r="CE16" i="13" s="1"/>
  <c r="CE19" i="13" s="1"/>
  <c r="CE22" i="13" s="1"/>
  <c r="CE27" i="13" s="1"/>
  <c r="BW16" i="12"/>
  <c r="BQ20" i="12"/>
  <c r="BQ26" i="12" s="1"/>
  <c r="BQ16" i="12"/>
  <c r="BT20" i="12"/>
  <c r="BT26" i="12" s="1"/>
  <c r="BT16" i="12"/>
  <c r="BX16" i="12"/>
  <c r="BX20" i="12"/>
  <c r="BX26" i="12" s="1"/>
  <c r="BX28" i="12" s="1"/>
  <c r="CF15" i="13" s="1"/>
  <c r="CF16" i="13" s="1"/>
  <c r="CF19" i="13" s="1"/>
  <c r="CF22" i="13" s="1"/>
  <c r="CF27" i="13" s="1"/>
  <c r="BI28" i="12"/>
  <c r="BQ15" i="13" s="1"/>
  <c r="BQ16" i="13" s="1"/>
  <c r="BQ19" i="13" s="1"/>
  <c r="BQ22" i="13" s="1"/>
  <c r="BQ27" i="13" s="1"/>
  <c r="BI52" i="21"/>
  <c r="BI51" i="21" s="1"/>
  <c r="BO8" i="14" s="1"/>
  <c r="BJ51" i="21"/>
  <c r="BP8" i="14" s="1"/>
  <c r="BJ28" i="12"/>
  <c r="BR15" i="13" s="1"/>
  <c r="BR16" i="13" s="1"/>
  <c r="BR19" i="13" s="1"/>
  <c r="BR22" i="13" s="1"/>
  <c r="BR27" i="13" s="1"/>
  <c r="BL30" i="12"/>
  <c r="BL31" i="12" s="1"/>
  <c r="BP30" i="12"/>
  <c r="BP31" i="12" s="1"/>
  <c r="BS30" i="12"/>
  <c r="BS31" i="12" s="1"/>
  <c r="BG30" i="12"/>
  <c r="BG31" i="12" s="1"/>
  <c r="BR28" i="12"/>
  <c r="BZ15" i="13" s="1"/>
  <c r="BZ16" i="13" s="1"/>
  <c r="BZ19" i="13" s="1"/>
  <c r="BZ22" i="13" s="1"/>
  <c r="BZ27" i="13" s="1"/>
  <c r="BD54" i="21"/>
  <c r="BD51" i="21" s="1"/>
  <c r="BJ8" i="14" s="1"/>
  <c r="BO16" i="12"/>
  <c r="BO20" i="12"/>
  <c r="BO26" i="12" s="1"/>
  <c r="AQ52" i="21"/>
  <c r="AQ51" i="21" s="1"/>
  <c r="BX27" i="13"/>
  <c r="AT7" i="21"/>
  <c r="AU36" i="21"/>
  <c r="BO118" i="12"/>
  <c r="AR9" i="21"/>
  <c r="H9" i="13"/>
  <c r="BW9" i="13"/>
  <c r="BW11" i="13" s="1"/>
  <c r="BW14" i="13" s="1"/>
  <c r="CA27" i="13"/>
  <c r="BV28" i="12"/>
  <c r="CD15" i="13" s="1"/>
  <c r="CD16" i="13" s="1"/>
  <c r="CD19" i="13" s="1"/>
  <c r="CD22" i="13" s="1"/>
  <c r="BO27" i="13"/>
  <c r="AS8" i="21"/>
  <c r="AS9" i="21" s="1"/>
  <c r="AS13" i="22"/>
  <c r="BO29" i="1"/>
  <c r="BO30" i="1" s="1"/>
  <c r="BD31" i="12"/>
  <c r="BC28" i="12"/>
  <c r="BI28" i="13" l="1"/>
  <c r="BI29" i="13" s="1"/>
  <c r="BH29" i="13"/>
  <c r="F31" i="15"/>
  <c r="BN30" i="12"/>
  <c r="BN31" i="12" s="1"/>
  <c r="CT16" i="12"/>
  <c r="BU51" i="21"/>
  <c r="CA8" i="14" s="1"/>
  <c r="CH9" i="13"/>
  <c r="CH11" i="13" s="1"/>
  <c r="CH14" i="13" s="1"/>
  <c r="BY51" i="21"/>
  <c r="CE8" i="14" s="1"/>
  <c r="CD16" i="12"/>
  <c r="J9" i="13"/>
  <c r="J11" i="13" s="1"/>
  <c r="J14" i="13" s="1"/>
  <c r="CU27" i="1"/>
  <c r="CU29" i="1" s="1"/>
  <c r="CU30" i="1" s="1"/>
  <c r="BW51" i="21"/>
  <c r="CC8" i="14" s="1"/>
  <c r="K6" i="13"/>
  <c r="BK52" i="21"/>
  <c r="BK51" i="21" s="1"/>
  <c r="BQ8" i="14" s="1"/>
  <c r="BX51" i="21"/>
  <c r="CD8" i="14" s="1"/>
  <c r="BV51" i="21"/>
  <c r="CB8" i="14" s="1"/>
  <c r="K7" i="13"/>
  <c r="G31" i="15"/>
  <c r="CU20" i="12"/>
  <c r="CU26" i="12" s="1"/>
  <c r="CU16" i="12"/>
  <c r="CH28" i="12"/>
  <c r="CP15" i="13" s="1"/>
  <c r="CP16" i="13" s="1"/>
  <c r="CP19" i="13" s="1"/>
  <c r="CP22" i="13" s="1"/>
  <c r="CP27" i="13" s="1"/>
  <c r="CG28" i="12"/>
  <c r="CO15" i="13" s="1"/>
  <c r="CO16" i="13" s="1"/>
  <c r="CO19" i="13" s="1"/>
  <c r="CO22" i="13" s="1"/>
  <c r="CO27" i="13" s="1"/>
  <c r="BQ51" i="21"/>
  <c r="BW8" i="14" s="1"/>
  <c r="BT54" i="21"/>
  <c r="BS52" i="21" s="1"/>
  <c r="CJ28" i="12"/>
  <c r="CR15" i="13" s="1"/>
  <c r="CR16" i="13" s="1"/>
  <c r="CR19" i="13" s="1"/>
  <c r="CR22" i="13" s="1"/>
  <c r="CR27" i="13" s="1"/>
  <c r="CK30" i="12"/>
  <c r="CK31" i="12" s="1"/>
  <c r="CS15" i="13"/>
  <c r="CS16" i="13" s="1"/>
  <c r="CS19" i="13" s="1"/>
  <c r="CS22" i="13" s="1"/>
  <c r="CS27" i="13" s="1"/>
  <c r="CD28" i="12"/>
  <c r="CL15" i="13" s="1"/>
  <c r="CL16" i="13" s="1"/>
  <c r="CL19" i="13" s="1"/>
  <c r="CL22" i="13" s="1"/>
  <c r="CL27" i="13" s="1"/>
  <c r="CF28" i="12"/>
  <c r="CN15" i="13" s="1"/>
  <c r="CN16" i="13" s="1"/>
  <c r="CN19" i="13" s="1"/>
  <c r="CN22" i="13" s="1"/>
  <c r="CN27" i="13" s="1"/>
  <c r="CB30" i="12"/>
  <c r="CB31" i="12" s="1"/>
  <c r="CC28" i="12"/>
  <c r="CK15" i="13" s="1"/>
  <c r="CK16" i="13" s="1"/>
  <c r="CK19" i="13" s="1"/>
  <c r="CK22" i="13" s="1"/>
  <c r="CK27" i="13" s="1"/>
  <c r="BP54" i="21"/>
  <c r="BO52" i="21" s="1"/>
  <c r="CA16" i="12"/>
  <c r="CA20" i="12"/>
  <c r="CA26" i="12" s="1"/>
  <c r="BZ20" i="12"/>
  <c r="BZ26" i="12" s="1"/>
  <c r="BZ16" i="12"/>
  <c r="BO54" i="21"/>
  <c r="BN52" i="21" s="1"/>
  <c r="BN51" i="21" s="1"/>
  <c r="BT8" i="14" s="1"/>
  <c r="CI28" i="12"/>
  <c r="CQ15" i="13" s="1"/>
  <c r="CQ16" i="13" s="1"/>
  <c r="CQ19" i="13" s="1"/>
  <c r="CQ22" i="13" s="1"/>
  <c r="CQ27" i="13" s="1"/>
  <c r="K5" i="13"/>
  <c r="BS54" i="21"/>
  <c r="BR52" i="21" s="1"/>
  <c r="BR51" i="21" s="1"/>
  <c r="BX8" i="14" s="1"/>
  <c r="CE16" i="12"/>
  <c r="CE20" i="12"/>
  <c r="CE26" i="12" s="1"/>
  <c r="BZ116" i="12"/>
  <c r="BZ118" i="12" s="1"/>
  <c r="CU82" i="12"/>
  <c r="E30" i="15"/>
  <c r="E31" i="15"/>
  <c r="AS5" i="21"/>
  <c r="AR14" i="22"/>
  <c r="BN116" i="12"/>
  <c r="BN118" i="12" s="1"/>
  <c r="CT82" i="12"/>
  <c r="AR12" i="21"/>
  <c r="AR13" i="21" s="1"/>
  <c r="BD119" i="12"/>
  <c r="AR12" i="22" s="1"/>
  <c r="BC120" i="12"/>
  <c r="AW10" i="14" s="1"/>
  <c r="BJ30" i="12"/>
  <c r="BJ31" i="12" s="1"/>
  <c r="BU30" i="12"/>
  <c r="BU31" i="12" s="1"/>
  <c r="BW30" i="12"/>
  <c r="BW31" i="12" s="1"/>
  <c r="BI30" i="12"/>
  <c r="BI31" i="12" s="1"/>
  <c r="BX30" i="12"/>
  <c r="BX31" i="12" s="1"/>
  <c r="BT28" i="12"/>
  <c r="CB15" i="13" s="1"/>
  <c r="CB16" i="13" s="1"/>
  <c r="CB19" i="13" s="1"/>
  <c r="CB22" i="13" s="1"/>
  <c r="CB27" i="13" s="1"/>
  <c r="BQ28" i="12"/>
  <c r="BY15" i="13" s="1"/>
  <c r="BY16" i="13" s="1"/>
  <c r="BY19" i="13" s="1"/>
  <c r="BY22" i="13" s="1"/>
  <c r="BY27" i="13" s="1"/>
  <c r="BR30" i="12"/>
  <c r="BR31" i="12" s="1"/>
  <c r="BC52" i="21"/>
  <c r="BC51" i="21" s="1"/>
  <c r="BI8" i="14" s="1"/>
  <c r="BV16" i="13"/>
  <c r="BV19" i="13" s="1"/>
  <c r="BV22" i="13" s="1"/>
  <c r="AW33" i="14"/>
  <c r="AP11" i="22"/>
  <c r="CD27" i="13"/>
  <c r="AT8" i="21"/>
  <c r="AT13" i="22"/>
  <c r="BO28" i="12"/>
  <c r="BV30" i="12"/>
  <c r="AU7" i="21"/>
  <c r="AV36" i="21"/>
  <c r="BK15" i="13"/>
  <c r="CS28" i="12"/>
  <c r="CS30" i="12" s="1"/>
  <c r="BJ27" i="13"/>
  <c r="BJ23" i="13"/>
  <c r="BJ24" i="13" s="1"/>
  <c r="H11" i="13"/>
  <c r="AS14" i="22"/>
  <c r="AS12" i="21"/>
  <c r="AT5" i="21"/>
  <c r="BC30" i="12"/>
  <c r="AW8" i="14"/>
  <c r="AQ49" i="21"/>
  <c r="CJ30" i="12" l="1"/>
  <c r="CJ31" i="12" s="1"/>
  <c r="K9" i="13"/>
  <c r="BT51" i="21"/>
  <c r="BZ8" i="14" s="1"/>
  <c r="BP51" i="21"/>
  <c r="BV8" i="14" s="1"/>
  <c r="BO51" i="21"/>
  <c r="BU8" i="14" s="1"/>
  <c r="CH30" i="12"/>
  <c r="CH31" i="12" s="1"/>
  <c r="CI30" i="12"/>
  <c r="CI31" i="12" s="1"/>
  <c r="BS51" i="21"/>
  <c r="BY8" i="14" s="1"/>
  <c r="CF30" i="12"/>
  <c r="CF31" i="12" s="1"/>
  <c r="CG30" i="12"/>
  <c r="CG31" i="12" s="1"/>
  <c r="BZ28" i="12"/>
  <c r="BZ30" i="12" s="1"/>
  <c r="BZ31" i="12" s="1"/>
  <c r="CD30" i="12"/>
  <c r="CD31" i="12" s="1"/>
  <c r="CE28" i="12"/>
  <c r="CM15" i="13" s="1"/>
  <c r="CM16" i="13" s="1"/>
  <c r="CM19" i="13" s="1"/>
  <c r="CM22" i="13" s="1"/>
  <c r="CM27" i="13" s="1"/>
  <c r="CA28" i="12"/>
  <c r="CI15" i="13" s="1"/>
  <c r="CI16" i="13" s="1"/>
  <c r="CI19" i="13" s="1"/>
  <c r="CI22" i="13" s="1"/>
  <c r="CI27" i="13" s="1"/>
  <c r="CC30" i="12"/>
  <c r="CC31" i="12" s="1"/>
  <c r="BO30" i="12"/>
  <c r="BO31" i="12" s="1"/>
  <c r="CT28" i="12"/>
  <c r="CT30" i="12" s="1"/>
  <c r="BD120" i="12"/>
  <c r="AX10" i="14" s="1"/>
  <c r="AX4" i="14" s="1"/>
  <c r="AX31" i="14" s="1"/>
  <c r="BE119" i="12"/>
  <c r="BE120" i="12" s="1"/>
  <c r="AY10" i="14" s="1"/>
  <c r="CN8" i="14"/>
  <c r="BQ30" i="12"/>
  <c r="BQ31" i="12" s="1"/>
  <c r="BT30" i="12"/>
  <c r="BT31" i="12" s="1"/>
  <c r="AS13" i="21"/>
  <c r="AV7" i="21"/>
  <c r="AW36" i="21"/>
  <c r="AT14" i="22"/>
  <c r="AT12" i="21"/>
  <c r="AT13" i="21" s="1"/>
  <c r="AU5" i="21"/>
  <c r="AU13" i="22"/>
  <c r="AU8" i="21"/>
  <c r="AU9" i="21" s="1"/>
  <c r="AT9" i="21"/>
  <c r="K11" i="13"/>
  <c r="H14" i="13"/>
  <c r="AQ17" i="21"/>
  <c r="AR49" i="21"/>
  <c r="AW4" i="14"/>
  <c r="AW31" i="14" s="1"/>
  <c r="CM8" i="14"/>
  <c r="CS32" i="12"/>
  <c r="E29" i="15" s="1"/>
  <c r="CS31" i="12"/>
  <c r="AP29" i="22"/>
  <c r="AP26" i="22" s="1"/>
  <c r="AP30" i="22" s="1"/>
  <c r="AP16" i="22" s="1"/>
  <c r="AP10" i="22" s="1"/>
  <c r="AP17" i="22" s="1"/>
  <c r="AP32" i="22" s="1"/>
  <c r="BV31" i="12"/>
  <c r="BC31" i="12"/>
  <c r="BC35" i="12"/>
  <c r="BV27" i="13"/>
  <c r="BK16" i="13"/>
  <c r="BK19" i="13" s="1"/>
  <c r="BK22" i="13" s="1"/>
  <c r="H15" i="13"/>
  <c r="BJ28" i="13"/>
  <c r="BJ29" i="13" s="1"/>
  <c r="BW15" i="13"/>
  <c r="I15" i="13" s="1"/>
  <c r="I16" i="13" s="1"/>
  <c r="I19" i="13" s="1"/>
  <c r="I22" i="13" s="1"/>
  <c r="I46" i="13" s="1"/>
  <c r="I48" i="13" s="1"/>
  <c r="I50" i="13" s="1"/>
  <c r="CA30" i="12" l="1"/>
  <c r="CA31" i="12" s="1"/>
  <c r="CE30" i="12"/>
  <c r="CE31" i="12" s="1"/>
  <c r="CH15" i="13"/>
  <c r="CU28" i="12"/>
  <c r="CU30" i="12" s="1"/>
  <c r="AS12" i="22"/>
  <c r="BY32" i="12"/>
  <c r="BS29" i="14" s="1"/>
  <c r="BS18" i="14" s="1"/>
  <c r="BR32" i="12"/>
  <c r="BL29" i="14" s="1"/>
  <c r="BL18" i="14" s="1"/>
  <c r="CT31" i="12"/>
  <c r="CT32" i="12"/>
  <c r="F29" i="15" s="1"/>
  <c r="BF119" i="12"/>
  <c r="BF120" i="12" s="1"/>
  <c r="AZ10" i="14" s="1"/>
  <c r="AZ4" i="14" s="1"/>
  <c r="AZ31" i="14" s="1"/>
  <c r="AU12" i="21"/>
  <c r="AU13" i="21" s="1"/>
  <c r="AU14" i="22"/>
  <c r="AV5" i="21"/>
  <c r="AW34" i="14"/>
  <c r="BW16" i="13"/>
  <c r="BW19" i="13" s="1"/>
  <c r="BW22" i="13" s="1"/>
  <c r="AW7" i="21"/>
  <c r="AX36" i="21"/>
  <c r="AQ22" i="22"/>
  <c r="AQ18" i="22" s="1"/>
  <c r="BD35" i="12"/>
  <c r="AR17" i="21"/>
  <c r="AS49" i="21"/>
  <c r="BK23" i="13"/>
  <c r="BK27" i="13"/>
  <c r="AQ28" i="22"/>
  <c r="AQ15" i="21"/>
  <c r="AV13" i="22"/>
  <c r="AV8" i="21"/>
  <c r="AY4" i="14"/>
  <c r="AY31" i="14" s="1"/>
  <c r="H16" i="13"/>
  <c r="K14" i="13"/>
  <c r="CU31" i="12" l="1"/>
  <c r="CU32" i="12"/>
  <c r="G29" i="15" s="1"/>
  <c r="J15" i="13"/>
  <c r="J16" i="13" s="1"/>
  <c r="J19" i="13" s="1"/>
  <c r="J22" i="13" s="1"/>
  <c r="J46" i="13" s="1"/>
  <c r="CH16" i="13"/>
  <c r="CH19" i="13" s="1"/>
  <c r="CH22" i="13" s="1"/>
  <c r="CH27" i="13" s="1"/>
  <c r="J27" i="13" s="1"/>
  <c r="BG119" i="12"/>
  <c r="BG120" i="12" s="1"/>
  <c r="BA10" i="14" s="1"/>
  <c r="BA4" i="14" s="1"/>
  <c r="BA31" i="14" s="1"/>
  <c r="AT12" i="22"/>
  <c r="CK32" i="12"/>
  <c r="CE29" i="14" s="1"/>
  <c r="CE18" i="14" s="1"/>
  <c r="CD32" i="12"/>
  <c r="BX29" i="14" s="1"/>
  <c r="BX18" i="14" s="1"/>
  <c r="BW27" i="13"/>
  <c r="I27" i="13" s="1"/>
  <c r="AX33" i="14"/>
  <c r="AX34" i="14" s="1"/>
  <c r="AQ11" i="22"/>
  <c r="AR15" i="21"/>
  <c r="AR21" i="21" s="1"/>
  <c r="AR28" i="22"/>
  <c r="AQ21" i="21"/>
  <c r="AQ25" i="21" s="1"/>
  <c r="AV14" i="22"/>
  <c r="AV12" i="21"/>
  <c r="AW5" i="21"/>
  <c r="AX7" i="21"/>
  <c r="AY36" i="21"/>
  <c r="BK24" i="13"/>
  <c r="BL23" i="13"/>
  <c r="AR22" i="22"/>
  <c r="AR18" i="22" s="1"/>
  <c r="BE35" i="12"/>
  <c r="H19" i="13"/>
  <c r="AW8" i="21"/>
  <c r="AW9" i="21" s="1"/>
  <c r="AW13" i="22"/>
  <c r="AS17" i="21"/>
  <c r="AT49" i="21"/>
  <c r="AV9" i="21"/>
  <c r="BK28" i="13"/>
  <c r="H27" i="13"/>
  <c r="CN29" i="14"/>
  <c r="CN18" i="14" s="1"/>
  <c r="D36" i="13" l="1"/>
  <c r="J47" i="13" s="1"/>
  <c r="J48" i="13" s="1"/>
  <c r="J50" i="13" s="1"/>
  <c r="K16" i="13"/>
  <c r="K15" i="13"/>
  <c r="AU12" i="22"/>
  <c r="BH119" i="12"/>
  <c r="BH120" i="12" s="1"/>
  <c r="BB10" i="14" s="1"/>
  <c r="BB4" i="14" s="1"/>
  <c r="BB31" i="14" s="1"/>
  <c r="AT17" i="21"/>
  <c r="AU49" i="21"/>
  <c r="AS15" i="21"/>
  <c r="AS28" i="22"/>
  <c r="AY7" i="21"/>
  <c r="AZ36" i="21"/>
  <c r="AV13" i="21"/>
  <c r="AY33" i="14"/>
  <c r="AY34" i="14" s="1"/>
  <c r="AR11" i="22"/>
  <c r="H28" i="13"/>
  <c r="I28" i="13" s="1"/>
  <c r="J28" i="13" s="1"/>
  <c r="AW12" i="21"/>
  <c r="AW13" i="21" s="1"/>
  <c r="AW14" i="22"/>
  <c r="AS22" i="22"/>
  <c r="AS18" i="22" s="1"/>
  <c r="BF35" i="12"/>
  <c r="BL24" i="13"/>
  <c r="BM23" i="13"/>
  <c r="AR25" i="21"/>
  <c r="AX13" i="22"/>
  <c r="AX5" i="21"/>
  <c r="AX8" i="21"/>
  <c r="AX9" i="21" s="1"/>
  <c r="BK29" i="13"/>
  <c r="BL28" i="13"/>
  <c r="AQ29" i="22"/>
  <c r="AQ26" i="22" s="1"/>
  <c r="AQ30" i="22" s="1"/>
  <c r="AQ16" i="22" s="1"/>
  <c r="AQ10" i="22" s="1"/>
  <c r="AQ17" i="22" s="1"/>
  <c r="AQ32" i="22" s="1"/>
  <c r="H22" i="13"/>
  <c r="K19" i="13"/>
  <c r="BI119" i="12" l="1"/>
  <c r="BJ119" i="12" s="1"/>
  <c r="AV12" i="22"/>
  <c r="AY13" i="22"/>
  <c r="AY8" i="21"/>
  <c r="AY9" i="21" s="1"/>
  <c r="AS21" i="21"/>
  <c r="AS25" i="21" s="1"/>
  <c r="AZ7" i="21"/>
  <c r="BA36" i="21"/>
  <c r="K22" i="13"/>
  <c r="H46" i="13"/>
  <c r="H48" i="13" s="1"/>
  <c r="H50" i="13" s="1"/>
  <c r="H23" i="13"/>
  <c r="I23" i="13" s="1"/>
  <c r="J23" i="13" s="1"/>
  <c r="AU17" i="21"/>
  <c r="AV49" i="21"/>
  <c r="BL29" i="13"/>
  <c r="BM28" i="13"/>
  <c r="AX12" i="21"/>
  <c r="AX13" i="21" s="1"/>
  <c r="AX14" i="22"/>
  <c r="AY5" i="21"/>
  <c r="AT22" i="22"/>
  <c r="AT18" i="22" s="1"/>
  <c r="BG35" i="12"/>
  <c r="AR29" i="22"/>
  <c r="AR26" i="22" s="1"/>
  <c r="AR30" i="22" s="1"/>
  <c r="AR16" i="22" s="1"/>
  <c r="AR10" i="22" s="1"/>
  <c r="AR17" i="22" s="1"/>
  <c r="AR32" i="22" s="1"/>
  <c r="AT28" i="22"/>
  <c r="AT15" i="21"/>
  <c r="AT21" i="21" s="1"/>
  <c r="AZ33" i="14"/>
  <c r="AZ34" i="14" s="1"/>
  <c r="AS11" i="22"/>
  <c r="K27" i="13"/>
  <c r="BM24" i="13"/>
  <c r="BN23" i="13"/>
  <c r="AW12" i="22" l="1"/>
  <c r="BI120" i="12"/>
  <c r="BC10" i="14" s="1"/>
  <c r="BC4" i="14" s="1"/>
  <c r="BC31" i="14" s="1"/>
  <c r="F54" i="13"/>
  <c r="BN24" i="13"/>
  <c r="BO23" i="13"/>
  <c r="AU22" i="22"/>
  <c r="AU18" i="22" s="1"/>
  <c r="BH35" i="12"/>
  <c r="BA7" i="21"/>
  <c r="BB36" i="21"/>
  <c r="BJ120" i="12"/>
  <c r="BD10" i="14" s="1"/>
  <c r="BD4" i="14" s="1"/>
  <c r="BD31" i="14" s="1"/>
  <c r="AX12" i="22"/>
  <c r="BK119" i="12"/>
  <c r="AT25" i="21"/>
  <c r="AZ13" i="22"/>
  <c r="AZ8" i="21"/>
  <c r="AZ9" i="21" s="1"/>
  <c r="AY14" i="22"/>
  <c r="AY12" i="21"/>
  <c r="AY13" i="21" s="1"/>
  <c r="BM29" i="13"/>
  <c r="BN28" i="13"/>
  <c r="BA33" i="14"/>
  <c r="BA34" i="14" s="1"/>
  <c r="AT11" i="22"/>
  <c r="AS29" i="22"/>
  <c r="AS26" i="22" s="1"/>
  <c r="AS30" i="22" s="1"/>
  <c r="AS16" i="22" s="1"/>
  <c r="AS10" i="22" s="1"/>
  <c r="AS17" i="22" s="1"/>
  <c r="AS32" i="22" s="1"/>
  <c r="AW49" i="21"/>
  <c r="AV17" i="21"/>
  <c r="AU15" i="21"/>
  <c r="AU28" i="22"/>
  <c r="F58" i="13" l="1"/>
  <c r="C27" i="15" s="1"/>
  <c r="C31" i="15"/>
  <c r="C30" i="15"/>
  <c r="C4" i="15"/>
  <c r="C28" i="15" s="1"/>
  <c r="BK120" i="12"/>
  <c r="BE10" i="14" s="1"/>
  <c r="BE4" i="14" s="1"/>
  <c r="BE31" i="14" s="1"/>
  <c r="AY12" i="22"/>
  <c r="BL119" i="12"/>
  <c r="AT29" i="22"/>
  <c r="AT26" i="22" s="1"/>
  <c r="AT30" i="22" s="1"/>
  <c r="AT16" i="22" s="1"/>
  <c r="AT10" i="22" s="1"/>
  <c r="AT17" i="22" s="1"/>
  <c r="AT32" i="22" s="1"/>
  <c r="BA8" i="21"/>
  <c r="BA9" i="21" s="1"/>
  <c r="BA13" i="22"/>
  <c r="AZ14" i="22"/>
  <c r="BA5" i="21"/>
  <c r="AZ12" i="21"/>
  <c r="AZ13" i="21" s="1"/>
  <c r="AU21" i="21"/>
  <c r="AU25" i="21" s="1"/>
  <c r="AW17" i="21"/>
  <c r="AX49" i="21"/>
  <c r="BO24" i="13"/>
  <c r="BP23" i="13"/>
  <c r="BC36" i="21"/>
  <c r="BB7" i="21"/>
  <c r="AV22" i="22"/>
  <c r="AV18" i="22" s="1"/>
  <c r="BI35" i="12"/>
  <c r="AV28" i="22"/>
  <c r="AV15" i="21"/>
  <c r="AV21" i="21" s="1"/>
  <c r="BB33" i="14"/>
  <c r="BB34" i="14" s="1"/>
  <c r="AU11" i="22"/>
  <c r="BN29" i="13"/>
  <c r="BO28" i="13"/>
  <c r="AZ5" i="21"/>
  <c r="C7" i="15" l="1"/>
  <c r="D4" i="15"/>
  <c r="BB13" i="22"/>
  <c r="BB8" i="21"/>
  <c r="BC7" i="21"/>
  <c r="BD36" i="21"/>
  <c r="AX17" i="21"/>
  <c r="AY49" i="21"/>
  <c r="AW15" i="21"/>
  <c r="AW21" i="21" s="1"/>
  <c r="AW25" i="21" s="1"/>
  <c r="AW28" i="22"/>
  <c r="BO29" i="13"/>
  <c r="BP28" i="13"/>
  <c r="BC33" i="14"/>
  <c r="BC34" i="14" s="1"/>
  <c r="AV11" i="22"/>
  <c r="AV25" i="21"/>
  <c r="AZ12" i="22"/>
  <c r="BM119" i="12"/>
  <c r="BL120" i="12"/>
  <c r="BF10" i="14" s="1"/>
  <c r="BF4" i="14" s="1"/>
  <c r="BF31" i="14" s="1"/>
  <c r="BA12" i="21"/>
  <c r="BA13" i="21" s="1"/>
  <c r="BA14" i="22"/>
  <c r="BP24" i="13"/>
  <c r="BQ23" i="13"/>
  <c r="AU29" i="22"/>
  <c r="AU26" i="22" s="1"/>
  <c r="AU30" i="22" s="1"/>
  <c r="AU16" i="22" s="1"/>
  <c r="AU10" i="22" s="1"/>
  <c r="AU17" i="22" s="1"/>
  <c r="AU32" i="22" s="1"/>
  <c r="AW22" i="22"/>
  <c r="AW18" i="22" s="1"/>
  <c r="BJ35" i="12"/>
  <c r="D7" i="15" l="1"/>
  <c r="D28" i="15"/>
  <c r="C5" i="15"/>
  <c r="C8" i="15" s="1"/>
  <c r="E4" i="15"/>
  <c r="BB5" i="21"/>
  <c r="BC13" i="22"/>
  <c r="BC8" i="21"/>
  <c r="BC9" i="21" s="1"/>
  <c r="BM120" i="12"/>
  <c r="BG10" i="14" s="1"/>
  <c r="BG4" i="14" s="1"/>
  <c r="BG31" i="14" s="1"/>
  <c r="BA12" i="22"/>
  <c r="BN119" i="12"/>
  <c r="BD33" i="14"/>
  <c r="BD34" i="14" s="1"/>
  <c r="AW11" i="22"/>
  <c r="AY17" i="21"/>
  <c r="AZ49" i="21"/>
  <c r="BD7" i="21"/>
  <c r="BE36" i="21"/>
  <c r="AX28" i="22"/>
  <c r="AX15" i="21"/>
  <c r="AX21" i="21" s="1"/>
  <c r="AX25" i="21" s="1"/>
  <c r="BP29" i="13"/>
  <c r="BQ28" i="13"/>
  <c r="D5" i="15"/>
  <c r="D8" i="15" s="1"/>
  <c r="BB9" i="21"/>
  <c r="BB14" i="22"/>
  <c r="BB12" i="21"/>
  <c r="BQ24" i="13"/>
  <c r="BR23" i="13"/>
  <c r="AV29" i="22"/>
  <c r="AV26" i="22" s="1"/>
  <c r="AV30" i="22" s="1"/>
  <c r="AV16" i="22" s="1"/>
  <c r="AV10" i="22" s="1"/>
  <c r="AV17" i="22" s="1"/>
  <c r="AV32" i="22" s="1"/>
  <c r="AX22" i="22"/>
  <c r="AX18" i="22" s="1"/>
  <c r="BK35" i="12"/>
  <c r="F4" i="15" l="1"/>
  <c r="E28" i="15"/>
  <c r="G4" i="15"/>
  <c r="E7" i="15"/>
  <c r="AX11" i="22"/>
  <c r="BE33" i="14"/>
  <c r="BE34" i="14" s="1"/>
  <c r="AW29" i="22"/>
  <c r="AW26" i="22" s="1"/>
  <c r="AW30" i="22" s="1"/>
  <c r="AW16" i="22" s="1"/>
  <c r="AW10" i="22" s="1"/>
  <c r="AW17" i="22" s="1"/>
  <c r="AW32" i="22" s="1"/>
  <c r="BB12" i="22"/>
  <c r="BN120" i="12"/>
  <c r="BH10" i="14" s="1"/>
  <c r="BO119" i="12"/>
  <c r="AY15" i="21"/>
  <c r="AY21" i="21" s="1"/>
  <c r="AY25" i="21" s="1"/>
  <c r="AY28" i="22"/>
  <c r="BC14" i="22"/>
  <c r="BC12" i="21"/>
  <c r="BC13" i="21" s="1"/>
  <c r="BC5" i="21"/>
  <c r="BB13" i="21"/>
  <c r="D11" i="15"/>
  <c r="BE7" i="21"/>
  <c r="BF36" i="21"/>
  <c r="BR24" i="13"/>
  <c r="BS23" i="13"/>
  <c r="AY22" i="22"/>
  <c r="AY18" i="22" s="1"/>
  <c r="BL35" i="12"/>
  <c r="BD13" i="22"/>
  <c r="BD8" i="21"/>
  <c r="BQ29" i="13"/>
  <c r="BR28" i="13"/>
  <c r="AZ17" i="21"/>
  <c r="BA49" i="21"/>
  <c r="C11" i="15"/>
  <c r="C12" i="15"/>
  <c r="D12" i="15" s="1"/>
  <c r="G6" i="15" l="1"/>
  <c r="G28" i="15"/>
  <c r="F7" i="15"/>
  <c r="F5" i="15" s="1"/>
  <c r="F8" i="15" s="1"/>
  <c r="F28" i="15"/>
  <c r="E5" i="15"/>
  <c r="E8" i="15" s="1"/>
  <c r="G7" i="15"/>
  <c r="F11" i="15"/>
  <c r="BD12" i="21"/>
  <c r="BD14" i="22"/>
  <c r="BE5" i="21"/>
  <c r="BO120" i="12"/>
  <c r="BI10" i="14" s="1"/>
  <c r="BI4" i="14" s="1"/>
  <c r="BI31" i="14" s="1"/>
  <c r="BC12" i="22"/>
  <c r="BP119" i="12"/>
  <c r="BH4" i="14"/>
  <c r="BH31" i="14" s="1"/>
  <c r="C13" i="15"/>
  <c r="D13" i="15" s="1"/>
  <c r="BE8" i="21"/>
  <c r="BE9" i="21" s="1"/>
  <c r="BE13" i="22"/>
  <c r="AZ22" i="22"/>
  <c r="AZ18" i="22" s="1"/>
  <c r="BM35" i="12"/>
  <c r="BA17" i="21"/>
  <c r="BB49" i="21"/>
  <c r="BF33" i="14"/>
  <c r="BF34" i="14" s="1"/>
  <c r="AY11" i="22"/>
  <c r="BD9" i="21"/>
  <c r="BD5" i="21"/>
  <c r="BS24" i="13"/>
  <c r="BT23" i="13"/>
  <c r="AZ15" i="21"/>
  <c r="AZ21" i="21" s="1"/>
  <c r="AZ25" i="21" s="1"/>
  <c r="AZ28" i="22"/>
  <c r="BR29" i="13"/>
  <c r="BS28" i="13"/>
  <c r="BF7" i="21"/>
  <c r="BG36" i="21"/>
  <c r="AX29" i="22"/>
  <c r="AX26" i="22" s="1"/>
  <c r="AX30" i="22" s="1"/>
  <c r="AX16" i="22" s="1"/>
  <c r="AX10" i="22" s="1"/>
  <c r="AX17" i="22" s="1"/>
  <c r="AX32" i="22" s="1"/>
  <c r="C24" i="15" l="1"/>
  <c r="C22" i="15"/>
  <c r="G5" i="15"/>
  <c r="G8" i="15" s="1"/>
  <c r="C23" i="15" s="1"/>
  <c r="BD13" i="21"/>
  <c r="BT24" i="13"/>
  <c r="BU23" i="13"/>
  <c r="BD12" i="22"/>
  <c r="BQ119" i="12"/>
  <c r="BP120" i="12"/>
  <c r="BJ10" i="14" s="1"/>
  <c r="BJ4" i="14" s="1"/>
  <c r="BJ31" i="14" s="1"/>
  <c r="BA22" i="22"/>
  <c r="BA18" i="22" s="1"/>
  <c r="BN35" i="12"/>
  <c r="BB17" i="21"/>
  <c r="BC49" i="21"/>
  <c r="AZ11" i="22"/>
  <c r="BG33" i="14"/>
  <c r="BG34" i="14" s="1"/>
  <c r="BA28" i="22"/>
  <c r="BA15" i="21"/>
  <c r="BA21" i="21" s="1"/>
  <c r="BA25" i="21" s="1"/>
  <c r="BF5" i="21"/>
  <c r="BE12" i="21"/>
  <c r="BE14" i="22"/>
  <c r="BG7" i="21"/>
  <c r="BH36" i="21"/>
  <c r="AY29" i="22"/>
  <c r="AY26" i="22" s="1"/>
  <c r="AY30" i="22" s="1"/>
  <c r="AY16" i="22" s="1"/>
  <c r="AY10" i="22" s="1"/>
  <c r="AY17" i="22" s="1"/>
  <c r="AY32" i="22" s="1"/>
  <c r="BF8" i="21"/>
  <c r="BF13" i="22"/>
  <c r="BS29" i="13"/>
  <c r="BT28" i="13"/>
  <c r="E11" i="15"/>
  <c r="E13" i="15" s="1"/>
  <c r="F13" i="15" s="1"/>
  <c r="E12" i="15"/>
  <c r="F12" i="15" s="1"/>
  <c r="G11" i="15" l="1"/>
  <c r="C19" i="15" s="1"/>
  <c r="C17" i="15"/>
  <c r="C21" i="15"/>
  <c r="G12" i="15"/>
  <c r="C16" i="15"/>
  <c r="G13" i="15"/>
  <c r="BB22" i="22"/>
  <c r="BB18" i="22" s="1"/>
  <c r="BO35" i="12"/>
  <c r="BT29" i="13"/>
  <c r="BU28" i="13"/>
  <c r="BG8" i="21"/>
  <c r="BG9" i="21" s="1"/>
  <c r="BG13" i="22"/>
  <c r="BR119" i="12"/>
  <c r="BQ120" i="12"/>
  <c r="BK10" i="14" s="1"/>
  <c r="BK4" i="14" s="1"/>
  <c r="BK31" i="14" s="1"/>
  <c r="BE12" i="22"/>
  <c r="BH7" i="21"/>
  <c r="BI36" i="21"/>
  <c r="BE13" i="21"/>
  <c r="BF9" i="21"/>
  <c r="AZ29" i="22"/>
  <c r="AZ26" i="22" s="1"/>
  <c r="AZ30" i="22" s="1"/>
  <c r="AZ16" i="22" s="1"/>
  <c r="AZ10" i="22" s="1"/>
  <c r="AZ17" i="22" s="1"/>
  <c r="AZ32" i="22" s="1"/>
  <c r="BC17" i="21"/>
  <c r="BD49" i="21"/>
  <c r="BU24" i="13"/>
  <c r="BV23" i="13"/>
  <c r="BB28" i="22"/>
  <c r="BB15" i="21"/>
  <c r="BG5" i="21"/>
  <c r="BF14" i="22"/>
  <c r="BF12" i="21"/>
  <c r="BF13" i="21" s="1"/>
  <c r="BH33" i="14"/>
  <c r="BH34" i="14" s="1"/>
  <c r="BA11" i="22"/>
  <c r="C20" i="15"/>
  <c r="C18" i="15" l="1"/>
  <c r="BB21" i="21"/>
  <c r="BB25" i="21" s="1"/>
  <c r="BC15" i="21"/>
  <c r="BC21" i="21" s="1"/>
  <c r="BC28" i="22"/>
  <c r="BI7" i="21"/>
  <c r="BJ36" i="21"/>
  <c r="BK36" i="21" s="1"/>
  <c r="BL36" i="21" s="1"/>
  <c r="BM36" i="21" s="1"/>
  <c r="BN36" i="21" s="1"/>
  <c r="BO36" i="21" s="1"/>
  <c r="BP36" i="21" s="1"/>
  <c r="BQ36" i="21" s="1"/>
  <c r="BR36" i="21" s="1"/>
  <c r="BS36" i="21" s="1"/>
  <c r="BT36" i="21" s="1"/>
  <c r="BU36" i="21" s="1"/>
  <c r="BV36" i="21" s="1"/>
  <c r="BW36" i="21" s="1"/>
  <c r="BX36" i="21" s="1"/>
  <c r="BY36" i="21" s="1"/>
  <c r="BU29" i="13"/>
  <c r="BV28" i="13"/>
  <c r="BV24" i="13"/>
  <c r="BW23" i="13"/>
  <c r="BC22" i="22"/>
  <c r="BC18" i="22" s="1"/>
  <c r="BP35" i="12"/>
  <c r="BG14" i="22"/>
  <c r="BH5" i="21"/>
  <c r="BG12" i="21"/>
  <c r="BH13" i="22"/>
  <c r="BH8" i="21"/>
  <c r="BA29" i="22"/>
  <c r="BA26" i="22" s="1"/>
  <c r="BA30" i="22" s="1"/>
  <c r="BA16" i="22" s="1"/>
  <c r="BA10" i="22" s="1"/>
  <c r="BA17" i="22" s="1"/>
  <c r="BA32" i="22" s="1"/>
  <c r="BB11" i="22"/>
  <c r="BI33" i="14"/>
  <c r="BI34" i="14" s="1"/>
  <c r="BD17" i="21"/>
  <c r="BE49" i="21"/>
  <c r="BF12" i="22"/>
  <c r="BS119" i="12"/>
  <c r="BR120" i="12"/>
  <c r="BL10" i="14" s="1"/>
  <c r="BL4" i="14" s="1"/>
  <c r="BL31" i="14" s="1"/>
  <c r="BC25" i="21" l="1"/>
  <c r="BH9" i="21"/>
  <c r="BH14" i="22"/>
  <c r="BH12" i="21"/>
  <c r="BH13" i="21" s="1"/>
  <c r="BJ7" i="21"/>
  <c r="BV29" i="13"/>
  <c r="BW28" i="13"/>
  <c r="BI5" i="21"/>
  <c r="BI8" i="21"/>
  <c r="BI9" i="21" s="1"/>
  <c r="BI13" i="22"/>
  <c r="BG12" i="22"/>
  <c r="BT119" i="12"/>
  <c r="BS120" i="12"/>
  <c r="BM10" i="14" s="1"/>
  <c r="BM4" i="14" s="1"/>
  <c r="BM31" i="14" s="1"/>
  <c r="BD15" i="21"/>
  <c r="BD21" i="21" s="1"/>
  <c r="BD25" i="21" s="1"/>
  <c r="BD28" i="22"/>
  <c r="BB29" i="22"/>
  <c r="BB26" i="22" s="1"/>
  <c r="BB30" i="22" s="1"/>
  <c r="BB16" i="22" s="1"/>
  <c r="BB10" i="22" s="1"/>
  <c r="BB17" i="22" s="1"/>
  <c r="BB32" i="22" s="1"/>
  <c r="BD22" i="22"/>
  <c r="BD18" i="22" s="1"/>
  <c r="BQ35" i="12"/>
  <c r="BG13" i="21"/>
  <c r="BE17" i="21"/>
  <c r="BF49" i="21"/>
  <c r="BC11" i="22"/>
  <c r="BJ33" i="14"/>
  <c r="BJ34" i="14" s="1"/>
  <c r="BK33" i="14" s="1"/>
  <c r="BK34" i="14" s="1"/>
  <c r="BL33" i="14" s="1"/>
  <c r="BL34" i="14" s="1"/>
  <c r="BM33" i="14" s="1"/>
  <c r="BW24" i="13"/>
  <c r="BX23" i="13"/>
  <c r="BM34" i="14" l="1"/>
  <c r="BN33" i="14" s="1"/>
  <c r="BW29" i="13"/>
  <c r="BX28" i="13"/>
  <c r="BK7" i="21"/>
  <c r="BE28" i="22"/>
  <c r="BE15" i="21"/>
  <c r="BE21" i="21" s="1"/>
  <c r="BE25" i="21" s="1"/>
  <c r="BJ8" i="21"/>
  <c r="BJ9" i="21" s="1"/>
  <c r="BJ13" i="22"/>
  <c r="BC29" i="22"/>
  <c r="BC26" i="22" s="1"/>
  <c r="BC30" i="22" s="1"/>
  <c r="BC16" i="22" s="1"/>
  <c r="BC10" i="22" s="1"/>
  <c r="BC17" i="22" s="1"/>
  <c r="BC32" i="22" s="1"/>
  <c r="BG49" i="21"/>
  <c r="BF17" i="21"/>
  <c r="BI12" i="21"/>
  <c r="BI14" i="22"/>
  <c r="BH12" i="22"/>
  <c r="BT120" i="12"/>
  <c r="BN10" i="14" s="1"/>
  <c r="BN4" i="14" s="1"/>
  <c r="BN31" i="14" s="1"/>
  <c r="BU119" i="12"/>
  <c r="BD11" i="22"/>
  <c r="BX24" i="13"/>
  <c r="BY23" i="13"/>
  <c r="BE22" i="22"/>
  <c r="BE18" i="22" s="1"/>
  <c r="BR35" i="12"/>
  <c r="BN34" i="14" l="1"/>
  <c r="BO33" i="14" s="1"/>
  <c r="BM7" i="21"/>
  <c r="BM13" i="22" s="1"/>
  <c r="BY24" i="13"/>
  <c r="BZ23" i="13"/>
  <c r="BI13" i="21"/>
  <c r="BK13" i="22"/>
  <c r="BK8" i="21"/>
  <c r="BG17" i="21"/>
  <c r="BH49" i="21"/>
  <c r="BF15" i="21"/>
  <c r="BF21" i="21" s="1"/>
  <c r="BF25" i="21" s="1"/>
  <c r="BF28" i="22"/>
  <c r="BJ12" i="21"/>
  <c r="BJ13" i="21" s="1"/>
  <c r="BJ14" i="22"/>
  <c r="BK5" i="21"/>
  <c r="BL7" i="21"/>
  <c r="CE7" i="21" s="1"/>
  <c r="BD29" i="22"/>
  <c r="BD26" i="22" s="1"/>
  <c r="BD30" i="22" s="1"/>
  <c r="BD16" i="22" s="1"/>
  <c r="BD10" i="22" s="1"/>
  <c r="BD17" i="22" s="1"/>
  <c r="BD32" i="22" s="1"/>
  <c r="BU120" i="12"/>
  <c r="BO10" i="14" s="1"/>
  <c r="BO4" i="14" s="1"/>
  <c r="BO31" i="14" s="1"/>
  <c r="BV119" i="12"/>
  <c r="BI12" i="22"/>
  <c r="BX29" i="13"/>
  <c r="BY28" i="13"/>
  <c r="BE11" i="22"/>
  <c r="BF22" i="22"/>
  <c r="BF18" i="22" s="1"/>
  <c r="BS35" i="12"/>
  <c r="BJ5" i="21"/>
  <c r="BO34" i="14" l="1"/>
  <c r="BP33" i="14" s="1"/>
  <c r="BK9" i="21"/>
  <c r="BN7" i="21"/>
  <c r="BN13" i="22" s="1"/>
  <c r="BM8" i="21"/>
  <c r="BM9" i="21" s="1"/>
  <c r="BG22" i="22"/>
  <c r="BG18" i="22" s="1"/>
  <c r="BT35" i="12"/>
  <c r="BG28" i="22"/>
  <c r="BG15" i="21"/>
  <c r="BL13" i="22"/>
  <c r="BL8" i="21"/>
  <c r="BL9" i="21" s="1"/>
  <c r="CD7" i="21"/>
  <c r="BE29" i="22"/>
  <c r="BE26" i="22" s="1"/>
  <c r="BE30" i="22" s="1"/>
  <c r="BE16" i="22" s="1"/>
  <c r="BE10" i="22" s="1"/>
  <c r="BE17" i="22" s="1"/>
  <c r="BE32" i="22" s="1"/>
  <c r="BK14" i="22"/>
  <c r="BK12" i="21"/>
  <c r="BK13" i="21" s="1"/>
  <c r="BZ24" i="13"/>
  <c r="CA23" i="13"/>
  <c r="BV120" i="12"/>
  <c r="BP10" i="14" s="1"/>
  <c r="BP4" i="14" s="1"/>
  <c r="BP31" i="14" s="1"/>
  <c r="BJ12" i="22"/>
  <c r="BW119" i="12"/>
  <c r="BF11" i="22"/>
  <c r="BY29" i="13"/>
  <c r="BZ28" i="13"/>
  <c r="BH17" i="21"/>
  <c r="BI49" i="21"/>
  <c r="BP34" i="14" l="1"/>
  <c r="BQ33" i="14" s="1"/>
  <c r="BM5" i="21"/>
  <c r="BM14" i="22"/>
  <c r="CE8" i="21"/>
  <c r="CE9" i="21" s="1"/>
  <c r="BN14" i="22"/>
  <c r="BM12" i="21"/>
  <c r="BM13" i="21" s="1"/>
  <c r="BN5" i="21"/>
  <c r="BN8" i="21"/>
  <c r="BO7" i="21"/>
  <c r="BO13" i="22" s="1"/>
  <c r="CD8" i="21"/>
  <c r="CD9" i="21" s="1"/>
  <c r="BL12" i="21"/>
  <c r="BL13" i="21" s="1"/>
  <c r="BL14" i="22"/>
  <c r="BG21" i="21"/>
  <c r="BG25" i="21" s="1"/>
  <c r="BF29" i="22"/>
  <c r="BF26" i="22" s="1"/>
  <c r="BF30" i="22" s="1"/>
  <c r="BF16" i="22" s="1"/>
  <c r="BF10" i="22" s="1"/>
  <c r="BF17" i="22" s="1"/>
  <c r="BF32" i="22" s="1"/>
  <c r="BH22" i="22"/>
  <c r="BH18" i="22" s="1"/>
  <c r="BU35" i="12"/>
  <c r="BG11" i="22"/>
  <c r="BL5" i="21"/>
  <c r="BJ49" i="21"/>
  <c r="BI17" i="21"/>
  <c r="BH15" i="21"/>
  <c r="BH21" i="21" s="1"/>
  <c r="BH28" i="22"/>
  <c r="BZ29" i="13"/>
  <c r="CA28" i="13"/>
  <c r="CA24" i="13"/>
  <c r="CB23" i="13"/>
  <c r="BW120" i="12"/>
  <c r="BQ10" i="14" s="1"/>
  <c r="BQ4" i="14" s="1"/>
  <c r="BQ31" i="14" s="1"/>
  <c r="BX119" i="12"/>
  <c r="BY119" i="12" s="1"/>
  <c r="BM12" i="22" s="1"/>
  <c r="BK12" i="22"/>
  <c r="BQ34" i="14" l="1"/>
  <c r="BR33" i="14" s="1"/>
  <c r="BN9" i="21"/>
  <c r="BO14" i="22"/>
  <c r="BN12" i="21"/>
  <c r="BP7" i="21"/>
  <c r="BP13" i="22" s="1"/>
  <c r="BO8" i="21"/>
  <c r="BO9" i="21" s="1"/>
  <c r="BO5" i="21"/>
  <c r="BZ119" i="12"/>
  <c r="BN12" i="22" s="1"/>
  <c r="BY120" i="12"/>
  <c r="BS10" i="14" s="1"/>
  <c r="BS4" i="14" s="1"/>
  <c r="BS31" i="14" s="1"/>
  <c r="BH25" i="21"/>
  <c r="BI15" i="21"/>
  <c r="BI21" i="21" s="1"/>
  <c r="BI25" i="21" s="1"/>
  <c r="BI28" i="22"/>
  <c r="CD11" i="21"/>
  <c r="BJ17" i="21"/>
  <c r="BK49" i="21"/>
  <c r="BL49" i="21" s="1"/>
  <c r="BM49" i="21" s="1"/>
  <c r="BN49" i="21" s="1"/>
  <c r="BO49" i="21" s="1"/>
  <c r="BP49" i="21" s="1"/>
  <c r="BQ49" i="21" s="1"/>
  <c r="BR49" i="21" s="1"/>
  <c r="BS49" i="21" s="1"/>
  <c r="BT49" i="21" s="1"/>
  <c r="BU49" i="21" s="1"/>
  <c r="BV49" i="21" s="1"/>
  <c r="BW49" i="21" s="1"/>
  <c r="BX49" i="21" s="1"/>
  <c r="BY49" i="21" s="1"/>
  <c r="BL12" i="22"/>
  <c r="BX120" i="12"/>
  <c r="BR10" i="14" s="1"/>
  <c r="BR4" i="14" s="1"/>
  <c r="BR31" i="14" s="1"/>
  <c r="BH11" i="22"/>
  <c r="CB24" i="13"/>
  <c r="CC23" i="13"/>
  <c r="BG29" i="22"/>
  <c r="BG26" i="22" s="1"/>
  <c r="BG30" i="22" s="1"/>
  <c r="BG16" i="22" s="1"/>
  <c r="BG10" i="22" s="1"/>
  <c r="BG17" i="22" s="1"/>
  <c r="BG32" i="22" s="1"/>
  <c r="BI22" i="22"/>
  <c r="BI18" i="22" s="1"/>
  <c r="BV35" i="12"/>
  <c r="CA29" i="13"/>
  <c r="CB28" i="13"/>
  <c r="BR34" i="14" l="1"/>
  <c r="BS33" i="14" s="1"/>
  <c r="BS34" i="14" s="1"/>
  <c r="BM11" i="22" s="1"/>
  <c r="BN13" i="21"/>
  <c r="BP14" i="22"/>
  <c r="BO12" i="21"/>
  <c r="BO13" i="21" s="1"/>
  <c r="BQ7" i="21"/>
  <c r="BQ13" i="22" s="1"/>
  <c r="BP5" i="21"/>
  <c r="BP8" i="21"/>
  <c r="CA119" i="12"/>
  <c r="BO12" i="22" s="1"/>
  <c r="BZ120" i="12"/>
  <c r="BT10" i="14" s="1"/>
  <c r="BT4" i="14" s="1"/>
  <c r="BT31" i="14" s="1"/>
  <c r="BK17" i="21"/>
  <c r="CC24" i="13"/>
  <c r="CD23" i="13"/>
  <c r="BH29" i="22"/>
  <c r="BH26" i="22" s="1"/>
  <c r="BH30" i="22" s="1"/>
  <c r="BH16" i="22" s="1"/>
  <c r="BH10" i="22" s="1"/>
  <c r="BH17" i="22" s="1"/>
  <c r="BH32" i="22" s="1"/>
  <c r="BI11" i="22"/>
  <c r="CD12" i="21"/>
  <c r="CD13" i="21" s="1"/>
  <c r="BJ15" i="21"/>
  <c r="BJ21" i="21" s="1"/>
  <c r="BJ25" i="21" s="1"/>
  <c r="BJ28" i="22"/>
  <c r="CD5" i="21"/>
  <c r="CB29" i="13"/>
  <c r="CC28" i="13"/>
  <c r="BJ22" i="22"/>
  <c r="BJ18" i="22" s="1"/>
  <c r="BW35" i="12"/>
  <c r="BT33" i="14" l="1"/>
  <c r="BT34" i="14" s="1"/>
  <c r="BP9" i="21"/>
  <c r="BQ14" i="22"/>
  <c r="BP12" i="21"/>
  <c r="BP13" i="21" s="1"/>
  <c r="BM17" i="21"/>
  <c r="BQ5" i="21"/>
  <c r="BQ8" i="21"/>
  <c r="BQ9" i="21" s="1"/>
  <c r="BR7" i="21"/>
  <c r="BR13" i="22" s="1"/>
  <c r="CA120" i="12"/>
  <c r="BU10" i="14" s="1"/>
  <c r="BU4" i="14" s="1"/>
  <c r="BU31" i="14" s="1"/>
  <c r="CB119" i="12"/>
  <c r="BP12" i="22" s="1"/>
  <c r="CC29" i="13"/>
  <c r="CD28" i="13"/>
  <c r="CM10" i="14"/>
  <c r="CM4" i="14" s="1"/>
  <c r="CN10" i="14"/>
  <c r="CN4" i="14" s="1"/>
  <c r="BI29" i="22"/>
  <c r="BI26" i="22" s="1"/>
  <c r="BI30" i="22" s="1"/>
  <c r="BI16" i="22" s="1"/>
  <c r="BI10" i="22" s="1"/>
  <c r="BI17" i="22" s="1"/>
  <c r="BI32" i="22" s="1"/>
  <c r="CD24" i="13"/>
  <c r="CE23" i="13"/>
  <c r="BK15" i="21"/>
  <c r="BK28" i="22"/>
  <c r="BJ11" i="22"/>
  <c r="BK22" i="22"/>
  <c r="BK18" i="22" s="1"/>
  <c r="BX35" i="12"/>
  <c r="BY35" i="12" s="1"/>
  <c r="BL17" i="21"/>
  <c r="CE17" i="21" s="1"/>
  <c r="BM15" i="21" l="1"/>
  <c r="BM21" i="21" s="1"/>
  <c r="BM28" i="22"/>
  <c r="BN11" i="22"/>
  <c r="BU33" i="14"/>
  <c r="BU34" i="14" s="1"/>
  <c r="BZ35" i="12"/>
  <c r="BM22" i="22"/>
  <c r="BM18" i="22" s="1"/>
  <c r="BM29" i="22" s="1"/>
  <c r="BM26" i="22" s="1"/>
  <c r="BM30" i="22" s="1"/>
  <c r="BM16" i="22" s="1"/>
  <c r="BM10" i="22" s="1"/>
  <c r="BM17" i="22" s="1"/>
  <c r="BM32" i="22" s="1"/>
  <c r="BK21" i="21"/>
  <c r="BK25" i="21" s="1"/>
  <c r="CE15" i="21"/>
  <c r="BR14" i="22"/>
  <c r="BQ12" i="21"/>
  <c r="BR8" i="21"/>
  <c r="BR9" i="21" s="1"/>
  <c r="BS7" i="21"/>
  <c r="BS13" i="22" s="1"/>
  <c r="BN17" i="21"/>
  <c r="BN28" i="22" s="1"/>
  <c r="CB120" i="12"/>
  <c r="BV10" i="14" s="1"/>
  <c r="BV4" i="14" s="1"/>
  <c r="BV31" i="14" s="1"/>
  <c r="CC119" i="12"/>
  <c r="BQ12" i="22" s="1"/>
  <c r="CE24" i="13"/>
  <c r="CF23" i="13"/>
  <c r="CG23" i="13" s="1"/>
  <c r="BL15" i="21"/>
  <c r="BL21" i="21" s="1"/>
  <c r="BM25" i="21" s="1"/>
  <c r="BL28" i="22"/>
  <c r="CD17" i="21"/>
  <c r="BL22" i="22"/>
  <c r="BL18" i="22" s="1"/>
  <c r="BK11" i="22"/>
  <c r="CM31" i="14"/>
  <c r="CN31" i="14"/>
  <c r="BJ29" i="22"/>
  <c r="BJ26" i="22" s="1"/>
  <c r="BJ30" i="22" s="1"/>
  <c r="BJ16" i="22" s="1"/>
  <c r="BJ10" i="22" s="1"/>
  <c r="BJ17" i="22" s="1"/>
  <c r="BJ32" i="22" s="1"/>
  <c r="CD29" i="13"/>
  <c r="CE28" i="13"/>
  <c r="BL25" i="21" l="1"/>
  <c r="BV33" i="14"/>
  <c r="BV34" i="14" s="1"/>
  <c r="BO11" i="22"/>
  <c r="CA35" i="12"/>
  <c r="BN22" i="22"/>
  <c r="BN18" i="22" s="1"/>
  <c r="BN29" i="22" s="1"/>
  <c r="BN26" i="22" s="1"/>
  <c r="BN30" i="22" s="1"/>
  <c r="BN16" i="22" s="1"/>
  <c r="BN10" i="22" s="1"/>
  <c r="BN17" i="22" s="1"/>
  <c r="BN32" i="22" s="1"/>
  <c r="BR5" i="21"/>
  <c r="CG24" i="13"/>
  <c r="CH23" i="13"/>
  <c r="BN15" i="21"/>
  <c r="BQ13" i="21"/>
  <c r="BR12" i="21"/>
  <c r="BR13" i="21" s="1"/>
  <c r="BT7" i="21"/>
  <c r="BT13" i="22" s="1"/>
  <c r="BS8" i="21"/>
  <c r="BS9" i="21" s="1"/>
  <c r="BO17" i="21"/>
  <c r="CD119" i="12"/>
  <c r="BR12" i="22" s="1"/>
  <c r="CC120" i="12"/>
  <c r="BW10" i="14" s="1"/>
  <c r="BW4" i="14" s="1"/>
  <c r="BW31" i="14" s="1"/>
  <c r="CE29" i="13"/>
  <c r="CF28" i="13"/>
  <c r="CG28" i="13" s="1"/>
  <c r="CF24" i="13"/>
  <c r="BK29" i="22"/>
  <c r="BK26" i="22" s="1"/>
  <c r="BK30" i="22" s="1"/>
  <c r="BK16" i="22" s="1"/>
  <c r="BK10" i="22" s="1"/>
  <c r="BK17" i="22" s="1"/>
  <c r="BK32" i="22" s="1"/>
  <c r="CD15" i="21"/>
  <c r="CD21" i="21" s="1"/>
  <c r="BL11" i="22"/>
  <c r="BO15" i="21" l="1"/>
  <c r="BO21" i="21" s="1"/>
  <c r="BO28" i="22"/>
  <c r="BW33" i="14"/>
  <c r="BW34" i="14" s="1"/>
  <c r="BP11" i="22"/>
  <c r="CB35" i="12"/>
  <c r="BO22" i="22"/>
  <c r="BO18" i="22" s="1"/>
  <c r="BS5" i="21"/>
  <c r="BS14" i="22"/>
  <c r="CH24" i="13"/>
  <c r="CI23" i="13"/>
  <c r="CG29" i="13"/>
  <c r="CH28" i="13"/>
  <c r="BN21" i="21"/>
  <c r="BN25" i="21" s="1"/>
  <c r="BT14" i="22"/>
  <c r="BS12" i="21"/>
  <c r="BT8" i="21"/>
  <c r="BT9" i="21" s="1"/>
  <c r="BP17" i="21"/>
  <c r="BU7" i="21"/>
  <c r="BU13" i="22" s="1"/>
  <c r="CD120" i="12"/>
  <c r="BX10" i="14" s="1"/>
  <c r="BX4" i="14" s="1"/>
  <c r="BX31" i="14" s="1"/>
  <c r="CE119" i="12"/>
  <c r="BS12" i="22" s="1"/>
  <c r="BL29" i="22"/>
  <c r="BL26" i="22" s="1"/>
  <c r="BL30" i="22" s="1"/>
  <c r="BL16" i="22" s="1"/>
  <c r="BL10" i="22" s="1"/>
  <c r="BL17" i="22" s="1"/>
  <c r="BL32" i="22" s="1"/>
  <c r="CD25" i="21"/>
  <c r="H24" i="13"/>
  <c r="CF29" i="13"/>
  <c r="BO29" i="22" l="1"/>
  <c r="BO26" i="22" s="1"/>
  <c r="BO30" i="22" s="1"/>
  <c r="BO16" i="22" s="1"/>
  <c r="BO10" i="22" s="1"/>
  <c r="BO17" i="22" s="1"/>
  <c r="BO32" i="22" s="1"/>
  <c r="BP15" i="21"/>
  <c r="BP21" i="21" s="1"/>
  <c r="BP25" i="21" s="1"/>
  <c r="BP28" i="22"/>
  <c r="BT5" i="21"/>
  <c r="BQ11" i="22"/>
  <c r="BX33" i="14"/>
  <c r="BX34" i="14" s="1"/>
  <c r="CC35" i="12"/>
  <c r="BP22" i="22"/>
  <c r="BP18" i="22" s="1"/>
  <c r="CI24" i="13"/>
  <c r="CJ23" i="13"/>
  <c r="CH29" i="13"/>
  <c r="CI28" i="13"/>
  <c r="BO25" i="21"/>
  <c r="BS13" i="21"/>
  <c r="BU14" i="22"/>
  <c r="BT12" i="21"/>
  <c r="BT13" i="21" s="1"/>
  <c r="BV7" i="21"/>
  <c r="BV13" i="22" s="1"/>
  <c r="BQ17" i="21"/>
  <c r="BU8" i="21"/>
  <c r="BU9" i="21" s="1"/>
  <c r="CF119" i="12"/>
  <c r="BT12" i="22" s="1"/>
  <c r="CE120" i="12"/>
  <c r="BY10" i="14" s="1"/>
  <c r="BY4" i="14" s="1"/>
  <c r="BY31" i="14" s="1"/>
  <c r="H29" i="13"/>
  <c r="BP29" i="22" l="1"/>
  <c r="BP26" i="22" s="1"/>
  <c r="BP30" i="22" s="1"/>
  <c r="BP16" i="22" s="1"/>
  <c r="BP10" i="22" s="1"/>
  <c r="BP17" i="22" s="1"/>
  <c r="BP32" i="22" s="1"/>
  <c r="BQ15" i="21"/>
  <c r="BQ21" i="21" s="1"/>
  <c r="BQ25" i="21" s="1"/>
  <c r="BQ28" i="22"/>
  <c r="BY33" i="14"/>
  <c r="BY34" i="14" s="1"/>
  <c r="BR11" i="22"/>
  <c r="CD35" i="12"/>
  <c r="BQ22" i="22"/>
  <c r="BQ18" i="22" s="1"/>
  <c r="BQ29" i="22" s="1"/>
  <c r="BQ26" i="22" s="1"/>
  <c r="BQ30" i="22" s="1"/>
  <c r="BQ16" i="22" s="1"/>
  <c r="BQ10" i="22" s="1"/>
  <c r="BQ17" i="22" s="1"/>
  <c r="BQ32" i="22" s="1"/>
  <c r="BU5" i="21"/>
  <c r="CI29" i="13"/>
  <c r="CJ28" i="13"/>
  <c r="CJ24" i="13"/>
  <c r="CK23" i="13"/>
  <c r="BV14" i="22"/>
  <c r="BU12" i="21"/>
  <c r="BU13" i="21" s="1"/>
  <c r="BR17" i="21"/>
  <c r="BR28" i="22" s="1"/>
  <c r="BV8" i="21"/>
  <c r="BV9" i="21" s="1"/>
  <c r="BW7" i="21"/>
  <c r="BW13" i="22" s="1"/>
  <c r="CG119" i="12"/>
  <c r="BU12" i="22" s="1"/>
  <c r="CF120" i="12"/>
  <c r="BZ10" i="14" s="1"/>
  <c r="BZ4" i="14" s="1"/>
  <c r="BZ31" i="14" s="1"/>
  <c r="BV5" i="21" l="1"/>
  <c r="BS11" i="22"/>
  <c r="BZ33" i="14"/>
  <c r="BZ34" i="14" s="1"/>
  <c r="CE35" i="12"/>
  <c r="BR22" i="22"/>
  <c r="BR18" i="22" s="1"/>
  <c r="BR29" i="22" s="1"/>
  <c r="BR26" i="22" s="1"/>
  <c r="BR30" i="22" s="1"/>
  <c r="BR16" i="22" s="1"/>
  <c r="BR10" i="22" s="1"/>
  <c r="BR17" i="22" s="1"/>
  <c r="BR32" i="22" s="1"/>
  <c r="CK24" i="13"/>
  <c r="CL23" i="13"/>
  <c r="CJ29" i="13"/>
  <c r="CK28" i="13"/>
  <c r="BR15" i="21"/>
  <c r="BV12" i="21"/>
  <c r="BV13" i="21" s="1"/>
  <c r="BX7" i="21"/>
  <c r="BX13" i="22" s="1"/>
  <c r="BY7" i="21"/>
  <c r="BS17" i="21"/>
  <c r="BW8" i="21"/>
  <c r="BW9" i="21" s="1"/>
  <c r="CH119" i="12"/>
  <c r="BV12" i="22" s="1"/>
  <c r="CG120" i="12"/>
  <c r="CA10" i="14" s="1"/>
  <c r="CA4" i="14" s="1"/>
  <c r="CA31" i="14" s="1"/>
  <c r="BS15" i="21" l="1"/>
  <c r="BS21" i="21" s="1"/>
  <c r="BS28" i="22"/>
  <c r="CF7" i="21"/>
  <c r="BY13" i="22"/>
  <c r="BT11" i="22"/>
  <c r="CA33" i="14"/>
  <c r="CA34" i="14" s="1"/>
  <c r="CF35" i="12"/>
  <c r="BS22" i="22"/>
  <c r="BS18" i="22" s="1"/>
  <c r="BS29" i="22" s="1"/>
  <c r="BS26" i="22" s="1"/>
  <c r="BS30" i="22" s="1"/>
  <c r="BS16" i="22" s="1"/>
  <c r="BS10" i="22" s="1"/>
  <c r="BS17" i="22" s="1"/>
  <c r="BS32" i="22" s="1"/>
  <c r="BW5" i="21"/>
  <c r="BW14" i="22"/>
  <c r="CK29" i="13"/>
  <c r="CL28" i="13"/>
  <c r="CL24" i="13"/>
  <c r="CM23" i="13"/>
  <c r="BR21" i="21"/>
  <c r="BR25" i="21" s="1"/>
  <c r="BW12" i="21"/>
  <c r="BW13" i="21" s="1"/>
  <c r="BT17" i="21"/>
  <c r="BT28" i="22" s="1"/>
  <c r="BY8" i="21"/>
  <c r="BX8" i="21"/>
  <c r="BX9" i="21" s="1"/>
  <c r="CI119" i="12"/>
  <c r="BW12" i="22" s="1"/>
  <c r="CH120" i="12"/>
  <c r="CB10" i="14" s="1"/>
  <c r="CB4" i="14" s="1"/>
  <c r="CB31" i="14" s="1"/>
  <c r="BU11" i="22" l="1"/>
  <c r="CB33" i="14"/>
  <c r="CB34" i="14" s="1"/>
  <c r="CG35" i="12"/>
  <c r="BT22" i="22"/>
  <c r="BT18" i="22" s="1"/>
  <c r="BT29" i="22" s="1"/>
  <c r="BT26" i="22" s="1"/>
  <c r="BT30" i="22" s="1"/>
  <c r="BT16" i="22" s="1"/>
  <c r="BT10" i="22" s="1"/>
  <c r="BT17" i="22" s="1"/>
  <c r="BT32" i="22" s="1"/>
  <c r="BX5" i="21"/>
  <c r="BX14" i="22"/>
  <c r="CM24" i="13"/>
  <c r="CN23" i="13"/>
  <c r="CL29" i="13"/>
  <c r="CM28" i="13"/>
  <c r="BT15" i="21"/>
  <c r="BS25" i="21"/>
  <c r="BY9" i="21"/>
  <c r="CF8" i="21"/>
  <c r="CF9" i="21" s="1"/>
  <c r="BX12" i="21"/>
  <c r="BX13" i="21" s="1"/>
  <c r="BY14" i="22"/>
  <c r="BU17" i="21"/>
  <c r="CJ119" i="12"/>
  <c r="BX12" i="22" s="1"/>
  <c r="CI120" i="12"/>
  <c r="CC10" i="14" s="1"/>
  <c r="CC4" i="14" s="1"/>
  <c r="CC31" i="14" s="1"/>
  <c r="BU15" i="21" l="1"/>
  <c r="BU21" i="21" s="1"/>
  <c r="BU28" i="22"/>
  <c r="BV11" i="22"/>
  <c r="CC33" i="14"/>
  <c r="CC34" i="14" s="1"/>
  <c r="CH35" i="12"/>
  <c r="BU22" i="22"/>
  <c r="BU18" i="22" s="1"/>
  <c r="CM29" i="13"/>
  <c r="CN28" i="13"/>
  <c r="CN24" i="13"/>
  <c r="CO23" i="13"/>
  <c r="BT21" i="21"/>
  <c r="BT25" i="21" s="1"/>
  <c r="CE11" i="21"/>
  <c r="CF11" i="21"/>
  <c r="BY12" i="21"/>
  <c r="BY5" i="21"/>
  <c r="BV17" i="21"/>
  <c r="CK119" i="12"/>
  <c r="BY12" i="22" s="1"/>
  <c r="CJ120" i="12"/>
  <c r="CD10" i="14" s="1"/>
  <c r="CD4" i="14" s="1"/>
  <c r="CD31" i="14" s="1"/>
  <c r="BU29" i="22" l="1"/>
  <c r="BU26" i="22" s="1"/>
  <c r="BU30" i="22" s="1"/>
  <c r="BU16" i="22" s="1"/>
  <c r="BU10" i="22" s="1"/>
  <c r="BU17" i="22" s="1"/>
  <c r="BU32" i="22" s="1"/>
  <c r="BV15" i="21"/>
  <c r="BV21" i="21" s="1"/>
  <c r="BV25" i="21" s="1"/>
  <c r="BV28" i="22"/>
  <c r="BW11" i="22"/>
  <c r="CD33" i="14"/>
  <c r="CD34" i="14" s="1"/>
  <c r="CI35" i="12"/>
  <c r="BV22" i="22"/>
  <c r="BV18" i="22" s="1"/>
  <c r="BV29" i="22" s="1"/>
  <c r="BV26" i="22" s="1"/>
  <c r="BV30" i="22" s="1"/>
  <c r="BV16" i="22" s="1"/>
  <c r="BV10" i="22" s="1"/>
  <c r="BV17" i="22" s="1"/>
  <c r="BV32" i="22" s="1"/>
  <c r="CO24" i="13"/>
  <c r="CP23" i="13"/>
  <c r="CN29" i="13"/>
  <c r="CO28" i="13"/>
  <c r="BU25" i="21"/>
  <c r="CE5" i="21"/>
  <c r="CE21" i="21" s="1"/>
  <c r="CF5" i="21"/>
  <c r="BY13" i="21"/>
  <c r="CE12" i="21"/>
  <c r="CE13" i="21" s="1"/>
  <c r="CF12" i="21"/>
  <c r="CF13" i="21" s="1"/>
  <c r="BW17" i="21"/>
  <c r="CK120" i="12"/>
  <c r="CE10" i="14" s="1"/>
  <c r="CE4" i="14" s="1"/>
  <c r="CE31" i="14" s="1"/>
  <c r="BW15" i="21" l="1"/>
  <c r="BW28" i="22"/>
  <c r="BX11" i="22"/>
  <c r="CE33" i="14"/>
  <c r="CE34" i="14" s="1"/>
  <c r="BY11" i="22" s="1"/>
  <c r="CJ35" i="12"/>
  <c r="BW22" i="22"/>
  <c r="BW18" i="22" s="1"/>
  <c r="CO29" i="13"/>
  <c r="CP28" i="13"/>
  <c r="CP24" i="13"/>
  <c r="CQ23" i="13"/>
  <c r="BW21" i="21"/>
  <c r="BW25" i="21" s="1"/>
  <c r="BX17" i="21"/>
  <c r="BY17" i="21"/>
  <c r="BW29" i="22" l="1"/>
  <c r="BW26" i="22" s="1"/>
  <c r="BW30" i="22" s="1"/>
  <c r="BW16" i="22" s="1"/>
  <c r="BW10" i="22" s="1"/>
  <c r="BW17" i="22" s="1"/>
  <c r="BW32" i="22" s="1"/>
  <c r="BX15" i="21"/>
  <c r="BX21" i="21" s="1"/>
  <c r="BX25" i="21" s="1"/>
  <c r="BX28" i="22"/>
  <c r="CF17" i="21"/>
  <c r="BY28" i="22"/>
  <c r="CK35" i="12"/>
  <c r="BY22" i="22" s="1"/>
  <c r="BY18" i="22" s="1"/>
  <c r="BY29" i="22" s="1"/>
  <c r="BY26" i="22" s="1"/>
  <c r="BY30" i="22" s="1"/>
  <c r="BY16" i="22" s="1"/>
  <c r="BY10" i="22" s="1"/>
  <c r="BY17" i="22" s="1"/>
  <c r="BY32" i="22" s="1"/>
  <c r="BX22" i="22"/>
  <c r="BX18" i="22" s="1"/>
  <c r="BX29" i="22" s="1"/>
  <c r="BX26" i="22" s="1"/>
  <c r="BX30" i="22" s="1"/>
  <c r="BX16" i="22" s="1"/>
  <c r="BX10" i="22" s="1"/>
  <c r="BX17" i="22" s="1"/>
  <c r="BX32" i="22" s="1"/>
  <c r="CQ24" i="13"/>
  <c r="CR23" i="13"/>
  <c r="CP29" i="13"/>
  <c r="CQ28" i="13"/>
  <c r="BY15" i="21"/>
  <c r="CQ29" i="13" l="1"/>
  <c r="CR28" i="13"/>
  <c r="CR24" i="13"/>
  <c r="CS23" i="13"/>
  <c r="CS24" i="13" s="1"/>
  <c r="BY21" i="21"/>
  <c r="BY25" i="21" s="1"/>
  <c r="CF15" i="21"/>
  <c r="CF21" i="21" s="1"/>
  <c r="CE25" i="21"/>
  <c r="CF25" i="21"/>
  <c r="I24" i="13" l="1"/>
  <c r="J24" i="13"/>
  <c r="CR29" i="13"/>
  <c r="CS28" i="13"/>
  <c r="CS29" i="13" s="1"/>
  <c r="E29" i="13" l="1"/>
  <c r="G29" i="13"/>
  <c r="I29" i="13"/>
  <c r="J29" i="13"/>
  <c r="K24" i="13"/>
  <c r="K29"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marina A</author>
  </authors>
  <commentList>
    <comment ref="W27" authorId="0" shapeId="0" xr:uid="{30EFF533-C603-4E1D-8AB7-DC10B2CB539B}">
      <text>
        <r>
          <rPr>
            <b/>
            <sz val="9"/>
            <color indexed="81"/>
            <rFont val="Tahoma"/>
            <family val="2"/>
            <charset val="204"/>
          </rPr>
          <t>marina A:</t>
        </r>
        <r>
          <rPr>
            <sz val="9"/>
            <color indexed="81"/>
            <rFont val="Tahoma"/>
            <family val="2"/>
            <charset val="204"/>
          </rPr>
          <t xml:space="preserve">
поступило на АО</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marina A</author>
  </authors>
  <commentList>
    <comment ref="AP50" authorId="0" shapeId="0" xr:uid="{00000000-0006-0000-0900-000001000000}">
      <text>
        <r>
          <rPr>
            <b/>
            <sz val="9"/>
            <color indexed="81"/>
            <rFont val="Tahoma"/>
            <family val="2"/>
            <charset val="204"/>
          </rPr>
          <t>источник</t>
        </r>
        <r>
          <rPr>
            <sz val="9"/>
            <color indexed="81"/>
            <rFont val="Tahoma"/>
            <family val="2"/>
            <charset val="204"/>
          </rPr>
          <t xml:space="preserve">
https://www.economy.gov.ru/material/directions/makroec/prognozy_socialno_ekonomicheskogo_razvitiya/pismo_minekonomrazvitiya_rossii_ot_30_sentyabrya_2025_g_n_37099_pkd03i.html?ysclid=mgf64ucmqr494682290</t>
        </r>
      </text>
    </comment>
    <comment ref="AP62" authorId="0" shapeId="0" xr:uid="{00000000-0006-0000-0900-000002000000}">
      <text>
        <r>
          <rPr>
            <b/>
            <sz val="9"/>
            <color indexed="81"/>
            <rFont val="Tahoma"/>
            <family val="2"/>
            <charset val="204"/>
          </rPr>
          <t>источник</t>
        </r>
        <r>
          <rPr>
            <sz val="9"/>
            <color indexed="81"/>
            <rFont val="Tahoma"/>
            <family val="2"/>
            <charset val="204"/>
          </rPr>
          <t xml:space="preserve">
https://www.economy.gov.ru/material/directions/makroec/prognozy_socialno_ekonomicheskogo_razvitiya/pismo_minekonomrazvitiya_rossii_ot_30_sentyabrya_2025_g_n_37099_pkd03i.html?ysclid=mgf64ucmqr494682290</t>
        </r>
      </text>
    </comment>
  </commentList>
</comments>
</file>

<file path=xl/sharedStrings.xml><?xml version="1.0" encoding="utf-8"?>
<sst xmlns="http://schemas.openxmlformats.org/spreadsheetml/2006/main" count="1759" uniqueCount="475">
  <si>
    <t>Выручка</t>
  </si>
  <si>
    <t>Наименование</t>
  </si>
  <si>
    <t>Ед. изм.</t>
  </si>
  <si>
    <t>Ритейл</t>
  </si>
  <si>
    <t>тыс. руб.</t>
  </si>
  <si>
    <t>Хорека</t>
  </si>
  <si>
    <t>ИТОГО</t>
  </si>
  <si>
    <t>Прямые расходы</t>
  </si>
  <si>
    <t>Сырье</t>
  </si>
  <si>
    <t>Коммунальные расходы (электроэнергия)</t>
  </si>
  <si>
    <t>Накладные расходы</t>
  </si>
  <si>
    <t>Аренда производственная</t>
  </si>
  <si>
    <t>Сертификация и разрешения</t>
  </si>
  <si>
    <t>ТО,текущий ремонт оборудования, ОС</t>
  </si>
  <si>
    <t>Оборудование и инвентарь/хозка</t>
  </si>
  <si>
    <t>Командировки</t>
  </si>
  <si>
    <t>Производство</t>
  </si>
  <si>
    <t>Логистика</t>
  </si>
  <si>
    <t>Страхование груза</t>
  </si>
  <si>
    <t>Коммерческие</t>
  </si>
  <si>
    <t>Бонусы</t>
  </si>
  <si>
    <t>Продвижение товара/представительские расходы</t>
  </si>
  <si>
    <t>Маркетинговые расходы</t>
  </si>
  <si>
    <t>Образцы</t>
  </si>
  <si>
    <t>Прочие коммерческие расходы</t>
  </si>
  <si>
    <t>Административные</t>
  </si>
  <si>
    <t>Аренда офиса</t>
  </si>
  <si>
    <t>Расходы на ремонт зданий и сооружений</t>
  </si>
  <si>
    <t>Услуги связи</t>
  </si>
  <si>
    <t>Служебное питание, вода</t>
  </si>
  <si>
    <t>Офисное оборудование и инвентарь</t>
  </si>
  <si>
    <t>Обслуживание сервера, интернет,IT</t>
  </si>
  <si>
    <t>Почтовые услуги/услуги курьера</t>
  </si>
  <si>
    <t>Услуги юриста, страхование, оценка, консалтинг, аудит</t>
  </si>
  <si>
    <t>Расходы на транспорт для собственных нужд,компенсация гсм, стоянка, ремонт, страховка и тд</t>
  </si>
  <si>
    <t>Расходы на подбор, обучение персонала, пр.расход</t>
  </si>
  <si>
    <t>Проведение культурно-массовх мероприятий</t>
  </si>
  <si>
    <t>Прочие административно-хозяйственные расходы</t>
  </si>
  <si>
    <t>Значение</t>
  </si>
  <si>
    <t>% от выручки</t>
  </si>
  <si>
    <t>Транспортно - экспедиторские расходы</t>
  </si>
  <si>
    <t>Складские расходы(хранение+стикерование)</t>
  </si>
  <si>
    <t>ФОТ</t>
  </si>
  <si>
    <t>Производственный персонал</t>
  </si>
  <si>
    <t>АУП</t>
  </si>
  <si>
    <t>Коммерческий персонал</t>
  </si>
  <si>
    <t>Ветеринары, лабораторные исследования, сертификация</t>
  </si>
  <si>
    <t>Приобретение ОС, в т.ч. лизинг</t>
  </si>
  <si>
    <t>Модернизация автоматизации учета и бизнес процессов</t>
  </si>
  <si>
    <t>Отчет о финансовых результатах</t>
  </si>
  <si>
    <t>Себестоимость</t>
  </si>
  <si>
    <t>Валовая прибыль</t>
  </si>
  <si>
    <t>Коммерческие расходы</t>
  </si>
  <si>
    <t>Управленческие расходы</t>
  </si>
  <si>
    <t>EBITDA</t>
  </si>
  <si>
    <t>Амортизация</t>
  </si>
  <si>
    <t>Налоговые отчисления</t>
  </si>
  <si>
    <t>Чистая прибыль</t>
  </si>
  <si>
    <t>Валовая рентабельность</t>
  </si>
  <si>
    <t>%</t>
  </si>
  <si>
    <t>Налог на прибыль</t>
  </si>
  <si>
    <t>EBIT</t>
  </si>
  <si>
    <t>Прибыль до налогообложения</t>
  </si>
  <si>
    <t>Проценты к уплате</t>
  </si>
  <si>
    <t>Рентабельность</t>
  </si>
  <si>
    <t>Выручка с НДС</t>
  </si>
  <si>
    <t>Текущие расходы с НДС</t>
  </si>
  <si>
    <t>Инвестиции с НДС</t>
  </si>
  <si>
    <t>Отчет о движении денежных средств</t>
  </si>
  <si>
    <t>Операционная деятельность</t>
  </si>
  <si>
    <t>Поступления от продаж</t>
  </si>
  <si>
    <t xml:space="preserve">Затраты на сырье и материалы </t>
  </si>
  <si>
    <t>Зарплата</t>
  </si>
  <si>
    <t>Общие затраты</t>
  </si>
  <si>
    <t>Налоги (не включая НДС)</t>
  </si>
  <si>
    <t>НДС</t>
  </si>
  <si>
    <t>Выплата процентов по кредитам</t>
  </si>
  <si>
    <t>Инвестиционная деятельность</t>
  </si>
  <si>
    <t>Инвестиционные затраты</t>
  </si>
  <si>
    <t>Инвестиции в оборотный капитал</t>
  </si>
  <si>
    <t>Финансовая деятельность</t>
  </si>
  <si>
    <t>Привлечение кредитов и займов</t>
  </si>
  <si>
    <t>Целевое финансирование/возврат</t>
  </si>
  <si>
    <t>Возмещение НДС по капитальным затратам</t>
  </si>
  <si>
    <t>Выплата дивидендов</t>
  </si>
  <si>
    <t>Чистый приток (отток) денежных средств</t>
  </si>
  <si>
    <t>Денежные средства на начало периода</t>
  </si>
  <si>
    <t>Денежные средства на конец периода</t>
  </si>
  <si>
    <t>Расчет НДС к уплате</t>
  </si>
  <si>
    <t>Прогнозные данные</t>
  </si>
  <si>
    <t>Мясо</t>
  </si>
  <si>
    <t>Административные (общие для всех направлений)</t>
  </si>
  <si>
    <t>Офис (общие расходы)</t>
  </si>
  <si>
    <t>Производственный персонал (Мясо)</t>
  </si>
  <si>
    <t>Модернизация автоматизации учета и бизнес процессов (мясо)</t>
  </si>
  <si>
    <t>Факторинг</t>
  </si>
  <si>
    <t>ФИНАНСОВЫЙ АНАЛИЗ ПРОЕКТА</t>
  </si>
  <si>
    <t>Итого</t>
  </si>
  <si>
    <t>Себестоимость продукции и услуг</t>
  </si>
  <si>
    <t xml:space="preserve">Валовая прибыль </t>
  </si>
  <si>
    <t>Коммерческие и управленческие расходы</t>
  </si>
  <si>
    <t>Налоговые платежи</t>
  </si>
  <si>
    <t>Амортизация основных средств</t>
  </si>
  <si>
    <t>Выплата процентов</t>
  </si>
  <si>
    <t>Корректировка на величину оборотного капитала</t>
  </si>
  <si>
    <t>Чистый денежный поток, FCF</t>
  </si>
  <si>
    <t>Кумулятивный FCF</t>
  </si>
  <si>
    <t>расчет периода окупаемости</t>
  </si>
  <si>
    <t>Период дисконтирования</t>
  </si>
  <si>
    <t>Коэффициент дисконтирования</t>
  </si>
  <si>
    <t>Дисконтированный NCF</t>
  </si>
  <si>
    <t>Кумулятивный дисконтированный NCF</t>
  </si>
  <si>
    <t>расчет дисконтированного периода окупаемости</t>
  </si>
  <si>
    <t>Оценочная стоимость компании, тыс. руб.</t>
  </si>
  <si>
    <t>Терминальная стоимость</t>
  </si>
  <si>
    <t>РАСЧЕТ СТАВКИ ДИСКОНТИРОВАНИЯ</t>
  </si>
  <si>
    <t>Обозначение</t>
  </si>
  <si>
    <t>Комментарий</t>
  </si>
  <si>
    <t>САРМ</t>
  </si>
  <si>
    <t>Доход по безрисковым вложениям</t>
  </si>
  <si>
    <t>Rf</t>
  </si>
  <si>
    <t xml:space="preserve">Премия заинвестиционный риск </t>
  </si>
  <si>
    <t>Среднерыночная норма доходности</t>
  </si>
  <si>
    <t>Rm</t>
  </si>
  <si>
    <t>Коэффициент бета</t>
  </si>
  <si>
    <t>β</t>
  </si>
  <si>
    <t>Дополнительная норма доходности за риск инвестирования в конкретную компанию</t>
  </si>
  <si>
    <t>S1</t>
  </si>
  <si>
    <t>Оценка специфических рисков</t>
  </si>
  <si>
    <t>Дополнительная норма доходности за риск инвестирования в малую компанию</t>
  </si>
  <si>
    <t>S2</t>
  </si>
  <si>
    <t>Определяется величиной капитализации компании (10th Decile (Smallest) Duff &amp; Phelps</t>
  </si>
  <si>
    <t>Дополнительная норма доходности, учитывающая страновой риск</t>
  </si>
  <si>
    <t>C</t>
  </si>
  <si>
    <t>Ставка доходности собственного капитала</t>
  </si>
  <si>
    <t>Rs</t>
  </si>
  <si>
    <t>Удельный вес собственного капитала</t>
  </si>
  <si>
    <t>Ws</t>
  </si>
  <si>
    <t>Ставка доходности заемного капитала</t>
  </si>
  <si>
    <t>Rd</t>
  </si>
  <si>
    <t>https://cbr.ru/statistics/bank_sector/int_rat/</t>
  </si>
  <si>
    <t>Удельный вес заемного капитала</t>
  </si>
  <si>
    <t>Wd</t>
  </si>
  <si>
    <t>Тс</t>
  </si>
  <si>
    <t>Средневзвешенная стоимость капитала</t>
  </si>
  <si>
    <t>WACC</t>
  </si>
  <si>
    <t>Наименование показателя</t>
  </si>
  <si>
    <t>Технический риск</t>
  </si>
  <si>
    <t>Риск подготовительной стадии</t>
  </si>
  <si>
    <t>Коммерческий риск</t>
  </si>
  <si>
    <t>Макроэкономический риск</t>
  </si>
  <si>
    <t>Торговый риск</t>
  </si>
  <si>
    <t>Инфляционный риск</t>
  </si>
  <si>
    <t>Количество наблюдений</t>
  </si>
  <si>
    <t>Взвешенный итог</t>
  </si>
  <si>
    <t>Сумма</t>
  </si>
  <si>
    <t>Количество факторов</t>
  </si>
  <si>
    <t>Средневзвешенное значение балла</t>
  </si>
  <si>
    <t>Кредиты и займы</t>
  </si>
  <si>
    <t>ФИЛИАЛ САНКТ-ПЕТЕРБУРГСКИЙ АО АЛЬФА-БАНК</t>
  </si>
  <si>
    <t>лизинг</t>
  </si>
  <si>
    <t>Вид обязательства</t>
  </si>
  <si>
    <t>Дата  погашения</t>
  </si>
  <si>
    <t>Наименование кредитной организации</t>
  </si>
  <si>
    <t>Погашение кредитов и займов</t>
  </si>
  <si>
    <t>Факт</t>
  </si>
  <si>
    <t>Вложения в компанию, тыс. руб.</t>
  </si>
  <si>
    <t>Доля инвесторов, %</t>
  </si>
  <si>
    <t>Поступления от компании, руб.</t>
  </si>
  <si>
    <t>Цена акции, тыс. руб.</t>
  </si>
  <si>
    <t>Дивиденды, тыс. руб.</t>
  </si>
  <si>
    <t>Общий Денежный поток (CF), тыс. руб.</t>
  </si>
  <si>
    <t>Ставка дисконтирования</t>
  </si>
  <si>
    <t>Коэфициент дисконтирования</t>
  </si>
  <si>
    <t>Дисконтированный CF, тыс. руб.</t>
  </si>
  <si>
    <t>Накопленный чистый CF, тыс. руб.</t>
  </si>
  <si>
    <t>Накопленный дисконтированный CF, тыс. руб.</t>
  </si>
  <si>
    <t>Всего, поступления, тыс. руб.</t>
  </si>
  <si>
    <t>Всего, расходы, тыс. руб.</t>
  </si>
  <si>
    <t>Всего, доходность, тыс. руб.</t>
  </si>
  <si>
    <t>Всего, Дисконтированный доход, тыс. руб.</t>
  </si>
  <si>
    <t>Всего, Дисконтированный расход, тыс. руб.</t>
  </si>
  <si>
    <t>NPV, тыс.₽</t>
  </si>
  <si>
    <t>IRR,%</t>
  </si>
  <si>
    <t>Стоимость компании, тыс. руб.</t>
  </si>
  <si>
    <t>Стоимость одной акции, тыс. руб.</t>
  </si>
  <si>
    <t>Количество акций, шт</t>
  </si>
  <si>
    <t>Industry Name</t>
  </si>
  <si>
    <t>Number of firms</t>
  </si>
  <si>
    <t>Advertising</t>
  </si>
  <si>
    <t>Aerospace/Defense</t>
  </si>
  <si>
    <t>Air Transport</t>
  </si>
  <si>
    <t>Apparel</t>
  </si>
  <si>
    <t>Auto &amp; Truck</t>
  </si>
  <si>
    <t>Auto Parts</t>
  </si>
  <si>
    <t>Bank (Money Center)</t>
  </si>
  <si>
    <t>Banks (Regional)</t>
  </si>
  <si>
    <t>Beverage (Alcoholic)</t>
  </si>
  <si>
    <t>Beverage (Soft)</t>
  </si>
  <si>
    <t>Broadcasting</t>
  </si>
  <si>
    <t>Brokerage &amp; Investment Banking</t>
  </si>
  <si>
    <t>Building Materials</t>
  </si>
  <si>
    <t>Business &amp; Consumer Services</t>
  </si>
  <si>
    <t>Cable TV</t>
  </si>
  <si>
    <t>Chemical (Basic)</t>
  </si>
  <si>
    <t>Chemical (Diversified)</t>
  </si>
  <si>
    <t>Chemical (Specialty)</t>
  </si>
  <si>
    <t>Coal &amp; Related Energy</t>
  </si>
  <si>
    <t>Computer Services</t>
  </si>
  <si>
    <t>Computers/Peripherals</t>
  </si>
  <si>
    <t>Construction Supplies</t>
  </si>
  <si>
    <t>Diversified</t>
  </si>
  <si>
    <t>Drugs (Biotechnology)</t>
  </si>
  <si>
    <t>Drugs (Pharmaceutical)</t>
  </si>
  <si>
    <t>Education</t>
  </si>
  <si>
    <t>Electrical Equipment</t>
  </si>
  <si>
    <t>Electronics (Consumer &amp; Office)</t>
  </si>
  <si>
    <t>Electronics (General)</t>
  </si>
  <si>
    <t>Engineering/Construction</t>
  </si>
  <si>
    <t>Entertainment</t>
  </si>
  <si>
    <t>Environmental &amp; Waste Services</t>
  </si>
  <si>
    <t>Farming/Agriculture</t>
  </si>
  <si>
    <t>Financial Svcs. (Non-bank &amp; Insurance)</t>
  </si>
  <si>
    <t>Food Processing</t>
  </si>
  <si>
    <t>Food Wholesalers</t>
  </si>
  <si>
    <t>Furn/Home Furnishings</t>
  </si>
  <si>
    <t>Green &amp; Renewable Energy</t>
  </si>
  <si>
    <t>Healthcare Products</t>
  </si>
  <si>
    <t>Healthcare Support Services</t>
  </si>
  <si>
    <t>Heathcare Information and Technology</t>
  </si>
  <si>
    <t>Homebuilding</t>
  </si>
  <si>
    <t>Hospitals/Healthcare Facilities</t>
  </si>
  <si>
    <t>Hotel/Gaming</t>
  </si>
  <si>
    <t>Household Products</t>
  </si>
  <si>
    <t>Information Services</t>
  </si>
  <si>
    <t>Insurance (General)</t>
  </si>
  <si>
    <t>Insurance (Life)</t>
  </si>
  <si>
    <t>Insurance (Prop/Cas.)</t>
  </si>
  <si>
    <t>Investments &amp; Asset Management</t>
  </si>
  <si>
    <t>Machinery</t>
  </si>
  <si>
    <t>Metals &amp; Mining</t>
  </si>
  <si>
    <t>Office Equipment &amp; Services</t>
  </si>
  <si>
    <t>Oil/Gas (Integrated)</t>
  </si>
  <si>
    <t>Oil/Gas (Production and Exploration)</t>
  </si>
  <si>
    <t>Oil/Gas Distribution</t>
  </si>
  <si>
    <t>Oilfield Svcs/Equip.</t>
  </si>
  <si>
    <t>Packaging &amp; Container</t>
  </si>
  <si>
    <t>Paper/Forest Products</t>
  </si>
  <si>
    <t>Power</t>
  </si>
  <si>
    <t>Precious Metals</t>
  </si>
  <si>
    <t>Publishing &amp; Newspapers</t>
  </si>
  <si>
    <t>R.E.I.T.</t>
  </si>
  <si>
    <t>Real Estate (Development)</t>
  </si>
  <si>
    <t>Real Estate (General/Diversified)</t>
  </si>
  <si>
    <t>Real Estate (Operations &amp; Services)</t>
  </si>
  <si>
    <t>Recreation</t>
  </si>
  <si>
    <t>Reinsurance</t>
  </si>
  <si>
    <t>Restaurant/Dining</t>
  </si>
  <si>
    <t>Retail (Automotive)</t>
  </si>
  <si>
    <t>Retail (Building Supply)</t>
  </si>
  <si>
    <t>Retail (Distributors)</t>
  </si>
  <si>
    <t>Retail (General)</t>
  </si>
  <si>
    <t>Retail (Grocery and Food)</t>
  </si>
  <si>
    <t>Retail (Special Lines)</t>
  </si>
  <si>
    <t>Rubber&amp; Tires</t>
  </si>
  <si>
    <t>Semiconductor</t>
  </si>
  <si>
    <t>Semiconductor Equip</t>
  </si>
  <si>
    <t>Shipbuilding &amp; Marine</t>
  </si>
  <si>
    <t>Shoe</t>
  </si>
  <si>
    <t>Software (Entertainment)</t>
  </si>
  <si>
    <t>Software (Internet)</t>
  </si>
  <si>
    <t>Software (System &amp; Application)</t>
  </si>
  <si>
    <t>Steel</t>
  </si>
  <si>
    <t>Telecom (Wireless)</t>
  </si>
  <si>
    <t>Telecom. Equipment</t>
  </si>
  <si>
    <t>Telecom. Services</t>
  </si>
  <si>
    <t>Tobacco</t>
  </si>
  <si>
    <t>Transportation</t>
  </si>
  <si>
    <t>Transportation (Railroads)</t>
  </si>
  <si>
    <t>Trucking</t>
  </si>
  <si>
    <t>Utility (General)</t>
  </si>
  <si>
    <t>Utility (Water)</t>
  </si>
  <si>
    <t>Прочее</t>
  </si>
  <si>
    <t>Расчет дивидендов</t>
  </si>
  <si>
    <t>ФАКТ</t>
  </si>
  <si>
    <t>Интернет-магазин</t>
  </si>
  <si>
    <t>% от выручки проекта</t>
  </si>
  <si>
    <t>Прочие доходы</t>
  </si>
  <si>
    <t>Прочие расходы</t>
  </si>
  <si>
    <t>Возврат предоставленных займов</t>
  </si>
  <si>
    <t>Приобретение долговых ценных бумаг</t>
  </si>
  <si>
    <t>Ветеринары, лабораторные исследования, сертификация, прочие</t>
  </si>
  <si>
    <t>Административные расходы</t>
  </si>
  <si>
    <t>мультипликатор EV/R</t>
  </si>
  <si>
    <t>Enterprise Value EBITDA (2024-2028 гг.)</t>
  </si>
  <si>
    <t>Эксплуатационные расходы завод</t>
  </si>
  <si>
    <t>Приобретение завода, установка, наладка</t>
  </si>
  <si>
    <t>Средства собственников</t>
  </si>
  <si>
    <t xml:space="preserve">Расходы </t>
  </si>
  <si>
    <t>Расчет НДС</t>
  </si>
  <si>
    <t>НДС накопительным итого</t>
  </si>
  <si>
    <t>Выплата процентов прочих</t>
  </si>
  <si>
    <t>Обвалка куска</t>
  </si>
  <si>
    <t>Справочно, рентабельность по обвалке куска</t>
  </si>
  <si>
    <t>Доля дивидендов</t>
  </si>
  <si>
    <t>Retail (REITs)</t>
  </si>
  <si>
    <t>Прочие доходы/расходы</t>
  </si>
  <si>
    <t>Total Market</t>
  </si>
  <si>
    <t>Total Market (without financials)</t>
  </si>
  <si>
    <t>ERP</t>
  </si>
  <si>
    <t>Долгосрочный темп роста (LTGR)</t>
  </si>
  <si>
    <t>Итого чистый денежный поток, FCF</t>
  </si>
  <si>
    <t>Дисконтированный денежный поток</t>
  </si>
  <si>
    <t>Итого оценка компании  (Pre-money)</t>
  </si>
  <si>
    <t>Объем инвестиций</t>
  </si>
  <si>
    <t>Итого оценка компании  (Post-money))</t>
  </si>
  <si>
    <t xml:space="preserve">мультипликатор EV/ EBITDA </t>
  </si>
  <si>
    <t>темп роста г/г</t>
  </si>
  <si>
    <t xml:space="preserve">темп роста </t>
  </si>
  <si>
    <t>с января 2026</t>
  </si>
  <si>
    <t>с января 2028</t>
  </si>
  <si>
    <t>с 2026 года</t>
  </si>
  <si>
    <t>с 2025 года</t>
  </si>
  <si>
    <t>Date updated:</t>
  </si>
  <si>
    <t>YouTube Video explaining estimation choices and process.</t>
  </si>
  <si>
    <t>Created by:</t>
  </si>
  <si>
    <t>Aswath Damodaran, adamodar@stern.nyu.edu</t>
  </si>
  <si>
    <t>What is this data?</t>
  </si>
  <si>
    <t>Emerging Markets</t>
  </si>
  <si>
    <t>Home Page:</t>
  </si>
  <si>
    <t>http://www.damodaran.com</t>
  </si>
  <si>
    <t>Data website:</t>
  </si>
  <si>
    <t>https://pages.stern.nyu.edu/~adamodar/New_Home_Page/data.html</t>
  </si>
  <si>
    <t>Companies in each industry:</t>
  </si>
  <si>
    <t>https://pages.stern.nyu.edu/~adamodar/pc/datasets/indname.xls</t>
  </si>
  <si>
    <t>Variable definitions:</t>
  </si>
  <si>
    <t>https://pages.stern.nyu.edu/~adamodar/New_Home_Page/datafile/variable.htm</t>
  </si>
  <si>
    <t>Ремонтно-строительные работы</t>
  </si>
  <si>
    <t>Рентабельность EBITDA</t>
  </si>
  <si>
    <t>Модернизация производства</t>
  </si>
  <si>
    <t xml:space="preserve">Оборотный капитал </t>
  </si>
  <si>
    <t>Среднегодовое значение</t>
  </si>
  <si>
    <t>Текущие активы</t>
  </si>
  <si>
    <t>Дебиторская задолженность (общая)</t>
  </si>
  <si>
    <t>Оборачиваемость Дебиторской задолженности</t>
  </si>
  <si>
    <t>мес.</t>
  </si>
  <si>
    <t>дней</t>
  </si>
  <si>
    <t>Текущие обязательства</t>
  </si>
  <si>
    <t>Кредиторская задолженность (общая)</t>
  </si>
  <si>
    <t>Оборачиваемость Кредиторской задолженности</t>
  </si>
  <si>
    <t>Чистый оборотный капитал</t>
  </si>
  <si>
    <t>Изменение чистого оборотного капитала</t>
  </si>
  <si>
    <t>Количество клиентов на отсрочке</t>
  </si>
  <si>
    <t>Отсрочка по накладным расходам</t>
  </si>
  <si>
    <t>Статьи</t>
  </si>
  <si>
    <t>Внеоборотные активы</t>
  </si>
  <si>
    <t>Основные средства по остаточной стоимости</t>
  </si>
  <si>
    <t>Основные средства к установке</t>
  </si>
  <si>
    <t>Нематериальные активы</t>
  </si>
  <si>
    <t>Отложенные налоговые активы</t>
  </si>
  <si>
    <t>Оборотные активы</t>
  </si>
  <si>
    <t>Денежные средства и эквиваленты</t>
  </si>
  <si>
    <t>НДС к возмещению</t>
  </si>
  <si>
    <t>Дебиторская задолженность</t>
  </si>
  <si>
    <t>Запасы</t>
  </si>
  <si>
    <t>Финансовые вложения (предоставленные займы)</t>
  </si>
  <si>
    <t>Прочие оборотные активы</t>
  </si>
  <si>
    <t>ИТОГО АКТИВЫ</t>
  </si>
  <si>
    <t>Капитал и резервы</t>
  </si>
  <si>
    <t>Уставный капитал</t>
  </si>
  <si>
    <t>Акционерный  капитал</t>
  </si>
  <si>
    <t>Нераспределенная прибыль (непокрытый убыток)</t>
  </si>
  <si>
    <t>Долгосрочные обязательства</t>
  </si>
  <si>
    <t>Заемные средства</t>
  </si>
  <si>
    <t>Другие долгосрочные обязательства</t>
  </si>
  <si>
    <t>Краткосрочные обязательства</t>
  </si>
  <si>
    <t>Кредиторская задолженность</t>
  </si>
  <si>
    <t>Другие краткосрочные обязательства</t>
  </si>
  <si>
    <t>ИТОГО ПАССИВЫ</t>
  </si>
  <si>
    <t>ПРОВЕРКА</t>
  </si>
  <si>
    <t>накопленная ЧП</t>
  </si>
  <si>
    <t>Стоимость активов на конец периода</t>
  </si>
  <si>
    <t>Материальные внеоборотные активы</t>
  </si>
  <si>
    <t>Нематериальные, финансовые и другие внеоборотные активы</t>
  </si>
  <si>
    <t>Амортизационные отчисления</t>
  </si>
  <si>
    <t>Выдача кредитов/займов</t>
  </si>
  <si>
    <t>СЕВЕРО-ЗАПАДНЫЙ БАНК ПАО СБЕРБАНК</t>
  </si>
  <si>
    <t>Добавочный капитал</t>
  </si>
  <si>
    <t>Лизинг</t>
  </si>
  <si>
    <t>Договор 1  19952СП1-МИТ/06/2022</t>
  </si>
  <si>
    <t>Договор 3  18029СП1-МИТ/04/2021</t>
  </si>
  <si>
    <t>ПАО "Банк "Санкт-Петербург"</t>
  </si>
  <si>
    <t>овердрафт</t>
  </si>
  <si>
    <t>Договор 2  25530СП1-МИТ/11/2024</t>
  </si>
  <si>
    <t>Кредитные обязательства</t>
  </si>
  <si>
    <t>Ставка ЦБ</t>
  </si>
  <si>
    <t>% годовых</t>
  </si>
  <si>
    <t>chrome-extension://efaidnbmnnnibpcajpcglclefindmkaj/https://cbr.ru/Content/Document/File/179983/comment_06082025.pdf</t>
  </si>
  <si>
    <t>Поступление заемного капитала</t>
  </si>
  <si>
    <t>Заемный капитал</t>
  </si>
  <si>
    <t>Погашение Заемного капитала</t>
  </si>
  <si>
    <t>Ставка по кредитной линии ПАО "Банк "Санкт-Петербург"</t>
  </si>
  <si>
    <t>см. ниже</t>
  </si>
  <si>
    <t>кредит</t>
  </si>
  <si>
    <t>Дебиторская задолженность (покупатели)</t>
  </si>
  <si>
    <t>Поступления в периоде</t>
  </si>
  <si>
    <t>Оплата</t>
  </si>
  <si>
    <t>Отсрочка</t>
  </si>
  <si>
    <t>Кредиторская задолженность  (Накладные расходы)</t>
  </si>
  <si>
    <t>Оплаты в периоде</t>
  </si>
  <si>
    <t>Оплата (количество контрагентов)</t>
  </si>
  <si>
    <t>Отсрочка (количество контрагентов)</t>
  </si>
  <si>
    <t>Средняя доходность ОФЗ к погашению в 2029 г., ОФ-З26224-ПД https://rusbonds.ru/bonds/139303/</t>
  </si>
  <si>
    <t>Расчет по компаниям-аналогам: Damodaran (Food Processing), Average Unlevered Beta https://pages.stern.nyu.edu/~adamodar/New_Home_Page/home.htm</t>
  </si>
  <si>
    <t>Финансовые вложения</t>
  </si>
  <si>
    <t>Приобретение ОС</t>
  </si>
  <si>
    <t>Количество аппаратов</t>
  </si>
  <si>
    <t>Цена за ед. изд</t>
  </si>
  <si>
    <t xml:space="preserve">Аренда </t>
  </si>
  <si>
    <t>Приобретение и установка Вендговых аппаратов (Пицца)</t>
  </si>
  <si>
    <t>тыс. руб. 1 точка</t>
  </si>
  <si>
    <t>Долг компании</t>
  </si>
  <si>
    <t>Доля направлений в совокупной выручке</t>
  </si>
  <si>
    <t>Доля направлений в совокупной Валовой прибыли</t>
  </si>
  <si>
    <t>Расходы на маркетинг</t>
  </si>
  <si>
    <t>Вложения в ОК (приобретение сырья для направления мясо)</t>
  </si>
  <si>
    <t>% Y2Y</t>
  </si>
  <si>
    <t>снизить до "0%</t>
  </si>
  <si>
    <t>Цена</t>
  </si>
  <si>
    <t>тыс. руб./тонна</t>
  </si>
  <si>
    <t>темп роста цена</t>
  </si>
  <si>
    <t xml:space="preserve">% </t>
  </si>
  <si>
    <t>тонн</t>
  </si>
  <si>
    <t>НДС доходы</t>
  </si>
  <si>
    <t>НДС расходы</t>
  </si>
  <si>
    <t>НДС Инвестиции</t>
  </si>
  <si>
    <t>тыс. руб./тон</t>
  </si>
  <si>
    <t>Цена Мясо Ритейл</t>
  </si>
  <si>
    <t>Цена Мясо Хорека</t>
  </si>
  <si>
    <t>темп рост цена мясо ритейл</t>
  </si>
  <si>
    <t>темп роста объем мясо ритейл</t>
  </si>
  <si>
    <t>темп рост цена мясо хорека</t>
  </si>
  <si>
    <t>Объем реализации Мясо Ритейл</t>
  </si>
  <si>
    <t>Объем реализации Мясо Хорека</t>
  </si>
  <si>
    <t>темп роста объем мясо хорека</t>
  </si>
  <si>
    <t>темп роста производства обвалка куска</t>
  </si>
  <si>
    <t>Мощность производства</t>
  </si>
  <si>
    <t>Объем производства обвалка куска</t>
  </si>
  <si>
    <t>Ср. месячная загрузка производства обвалка куска (суммарная по всем направлениям)</t>
  </si>
  <si>
    <t>Объем производства (суммарный по всем направлениям)</t>
  </si>
  <si>
    <t>TV Post-money</t>
  </si>
  <si>
    <t>Возврат финансовых вложения</t>
  </si>
  <si>
    <t>(данные УУ)</t>
  </si>
  <si>
    <t>https://www.economy.gov.ru/material/directions/makroec/prognozy_socialno_ekonomicheskogo_razvitiya/prognoz_socialno_ekonomicheskogo_razvitiya_rf_na_2026_god_i_na_planovyy_period_2027_i_2028_godov.html</t>
  </si>
  <si>
    <t>Notes</t>
  </si>
  <si>
    <t>When investors are diversified, a market beta captures their exposure to the risk that cannot be diversified away. When investors are completely undiversified, a total beta will capture the total risk in a company.</t>
  </si>
  <si>
    <t>Total Beta (beta for completely undiversified investor)</t>
  </si>
  <si>
    <t>Average Unlevered Beta</t>
  </si>
  <si>
    <t>Average Levered Beta</t>
  </si>
  <si>
    <t>Average correlation with the market</t>
  </si>
  <si>
    <t>Total Unlevered Beta</t>
  </si>
  <si>
    <t>Total Levered Beta</t>
  </si>
  <si>
    <t xml:space="preserve"> СRP on  Jan 1, 2026  http://www.damodaran.com</t>
  </si>
  <si>
    <t xml:space="preserve"> ERP on  Jan 1, 2026(Trailing 12 month, with adjusted payout)</t>
  </si>
  <si>
    <t>МАРЖИНАЛЬНОСТЬ</t>
  </si>
  <si>
    <t>ЧИТСТАЯ ПРИБЫЛЬ</t>
  </si>
  <si>
    <t>ТЕМПЫ РОСТА ВЫРУЧКИ б/НДС</t>
  </si>
  <si>
    <t>обновление от 08.04.2026</t>
  </si>
  <si>
    <t>данные на 13.04.2026</t>
  </si>
  <si>
    <t>Доходность за весь период,%</t>
  </si>
  <si>
    <t>Среднегодовая доходность, %</t>
  </si>
  <si>
    <t>на 31.03.2026</t>
  </si>
  <si>
    <t xml:space="preserve"> R x 1,5</t>
  </si>
  <si>
    <t>с января 2027</t>
  </si>
  <si>
    <t>Дивидендная доходность,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</si>
</sst>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43" formatCode="_-* #,##0.00_-;\-* #,##0.00_-;_-* &quot;-&quot;??_-;_-@_-"/>
    <numFmt numFmtId="164" formatCode="0.0%"/>
    <numFmt numFmtId="165" formatCode="\ #,##0;[Red]\(#,##0\)"/>
    <numFmt numFmtId="166" formatCode="_-* #,##0.00_р_._-;\-* #,##0.00_р_._-;_-* &quot;-&quot;??_р_._-;_-@_-"/>
    <numFmt numFmtId="167" formatCode="#,##0_);\(#,##0\);&quot;-  &quot;"/>
    <numFmt numFmtId="168" formatCode="_-* #,##0_р_._-;\-* #,##0_р_._-;_-* &quot;-&quot;??_р_._-;_-@_-"/>
    <numFmt numFmtId="169" formatCode="#,##0.00_);\(#,##0.00\);&quot;-  &quot;"/>
    <numFmt numFmtId="170" formatCode="#,##0_ ;[Red]\-#,##0\ "/>
    <numFmt numFmtId="171" formatCode="#,##0.0%_);\(#,##0.0%\);&quot;-  &quot;"/>
    <numFmt numFmtId="172" formatCode="#,##0.00%_);\(#,##0.00%\);&quot;-  &quot;"/>
    <numFmt numFmtId="173" formatCode="#,##0.00_ ;\-#,##0.00\ "/>
    <numFmt numFmtId="174" formatCode="#,##0.0_);\(#,##0.0\);&quot;-  &quot;"/>
    <numFmt numFmtId="175" formatCode="\х\ #,##0.00"/>
    <numFmt numFmtId="176" formatCode="_-* #,##0.00_р_._-;\-* #,##0.00_р_._-;_-* &quot;-&quot;??_р_._-;_-@"/>
    <numFmt numFmtId="177" formatCode="_-* #,##0_-;\-* #,##0_-;_-* &quot;-&quot;??_-;_-@_-"/>
    <numFmt numFmtId="178" formatCode="\х\ #,##0.0"/>
    <numFmt numFmtId="179" formatCode="#,##0.000000_);\(#,##0.000000\);&quot;-  &quot;"/>
    <numFmt numFmtId="180" formatCode="[$-419]mmmm\ yyyy;@"/>
  </numFmts>
  <fonts count="77" x14ac:knownFonts="1">
    <font>
      <sz val="11"/>
      <color theme="1"/>
      <name val="Calibri"/>
      <family val="2"/>
      <charset val="204"/>
      <scheme val="minor"/>
    </font>
    <font>
      <sz val="11"/>
      <color theme="1"/>
      <name val="Calibri"/>
      <family val="2"/>
      <charset val="204"/>
      <scheme val="minor"/>
    </font>
    <font>
      <b/>
      <sz val="11"/>
      <color theme="0"/>
      <name val="Calibri"/>
      <family val="2"/>
      <charset val="204"/>
      <scheme val="minor"/>
    </font>
    <font>
      <b/>
      <sz val="11"/>
      <color theme="1"/>
      <name val="Calibri"/>
      <family val="2"/>
      <charset val="204"/>
      <scheme val="minor"/>
    </font>
    <font>
      <sz val="11"/>
      <color theme="0"/>
      <name val="Calibri"/>
      <family val="2"/>
      <charset val="204"/>
      <scheme val="minor"/>
    </font>
    <font>
      <i/>
      <sz val="10"/>
      <color theme="2" tint="-0.499984740745262"/>
      <name val="Calibri"/>
      <family val="2"/>
      <charset val="204"/>
      <scheme val="minor"/>
    </font>
    <font>
      <i/>
      <sz val="11"/>
      <color theme="1"/>
      <name val="Calibri"/>
      <family val="2"/>
      <charset val="204"/>
      <scheme val="minor"/>
    </font>
    <font>
      <sz val="8"/>
      <name val="Calibri"/>
      <family val="2"/>
      <charset val="204"/>
      <scheme val="minor"/>
    </font>
    <font>
      <b/>
      <sz val="14"/>
      <color theme="1"/>
      <name val="Calibri"/>
      <family val="2"/>
      <charset val="204"/>
      <scheme val="minor"/>
    </font>
    <font>
      <sz val="11"/>
      <color theme="2" tint="-0.249977111117893"/>
      <name val="Calibri"/>
      <family val="2"/>
      <charset val="204"/>
      <scheme val="minor"/>
    </font>
    <font>
      <i/>
      <sz val="10"/>
      <color theme="2" tint="-0.249977111117893"/>
      <name val="Calibri"/>
      <family val="2"/>
      <charset val="204"/>
      <scheme val="minor"/>
    </font>
    <font>
      <b/>
      <i/>
      <sz val="10"/>
      <color theme="1"/>
      <name val="Calibri"/>
      <family val="2"/>
      <charset val="204"/>
      <scheme val="minor"/>
    </font>
    <font>
      <sz val="10"/>
      <color theme="1"/>
      <name val="Calibri"/>
      <family val="2"/>
      <charset val="204"/>
      <scheme val="minor"/>
    </font>
    <font>
      <b/>
      <sz val="10"/>
      <color theme="0"/>
      <name val="Calibri"/>
      <family val="2"/>
      <charset val="204"/>
      <scheme val="minor"/>
    </font>
    <font>
      <b/>
      <sz val="10"/>
      <color theme="1"/>
      <name val="Calibri"/>
      <family val="2"/>
      <charset val="204"/>
      <scheme val="minor"/>
    </font>
    <font>
      <i/>
      <sz val="10"/>
      <color theme="1"/>
      <name val="Calibri"/>
      <family val="2"/>
      <charset val="204"/>
      <scheme val="minor"/>
    </font>
    <font>
      <i/>
      <sz val="10"/>
      <color theme="0" tint="-0.499984740745262"/>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b/>
      <sz val="11"/>
      <color theme="2" tint="-0.249977111117893"/>
      <name val="Calibri"/>
      <family val="2"/>
      <charset val="204"/>
      <scheme val="minor"/>
    </font>
    <font>
      <b/>
      <sz val="11"/>
      <color theme="0"/>
      <name val="Calibri"/>
      <family val="2"/>
      <scheme val="minor"/>
    </font>
    <font>
      <sz val="10"/>
      <color theme="1"/>
      <name val="Calibri"/>
      <family val="2"/>
      <charset val="204"/>
    </font>
    <font>
      <i/>
      <sz val="11"/>
      <color theme="0" tint="-0.34998626667073579"/>
      <name val="Calibri"/>
      <family val="2"/>
      <charset val="204"/>
      <scheme val="minor"/>
    </font>
    <font>
      <b/>
      <i/>
      <sz val="11"/>
      <color theme="1"/>
      <name val="Calibri"/>
      <family val="2"/>
      <charset val="204"/>
      <scheme val="minor"/>
    </font>
    <font>
      <i/>
      <sz val="11"/>
      <name val="Calibri"/>
      <family val="2"/>
      <charset val="204"/>
      <scheme val="minor"/>
    </font>
    <font>
      <sz val="12"/>
      <color theme="1"/>
      <name val="Calibri"/>
      <family val="2"/>
      <charset val="204"/>
      <scheme val="minor"/>
    </font>
    <font>
      <u/>
      <sz val="12"/>
      <color theme="10"/>
      <name val="Calibri"/>
      <family val="2"/>
      <charset val="204"/>
      <scheme val="minor"/>
    </font>
    <font>
      <sz val="10"/>
      <color rgb="FF000000"/>
      <name val="Arial"/>
      <family val="2"/>
      <charset val="204"/>
    </font>
    <font>
      <sz val="11"/>
      <color theme="1" tint="0.499984740745262"/>
      <name val="Calibri"/>
      <family val="2"/>
      <charset val="204"/>
      <scheme val="minor"/>
    </font>
    <font>
      <sz val="11"/>
      <color theme="1"/>
      <name val="Calibri"/>
      <family val="2"/>
      <charset val="204"/>
    </font>
    <font>
      <u/>
      <sz val="11"/>
      <color theme="10"/>
      <name val="Calibri"/>
      <family val="2"/>
      <charset val="204"/>
      <scheme val="minor"/>
    </font>
    <font>
      <sz val="10"/>
      <name val="Calibri"/>
      <family val="2"/>
      <charset val="204"/>
      <scheme val="minor"/>
    </font>
    <font>
      <sz val="10"/>
      <color theme="0"/>
      <name val="Calibri"/>
      <family val="2"/>
      <charset val="204"/>
      <scheme val="minor"/>
    </font>
    <font>
      <i/>
      <sz val="10"/>
      <color theme="0"/>
      <name val="Calibri"/>
      <family val="2"/>
      <charset val="204"/>
      <scheme val="minor"/>
    </font>
    <font>
      <i/>
      <sz val="10"/>
      <color theme="0" tint="-0.34998626667073579"/>
      <name val="Calibri"/>
      <family val="2"/>
      <charset val="204"/>
      <scheme val="minor"/>
    </font>
    <font>
      <sz val="10"/>
      <color theme="1" tint="0.499984740745262"/>
      <name val="Calibri"/>
      <family val="2"/>
      <charset val="204"/>
      <scheme val="minor"/>
    </font>
    <font>
      <b/>
      <sz val="10"/>
      <name val="Calibri"/>
      <family val="2"/>
      <charset val="204"/>
      <scheme val="minor"/>
    </font>
    <font>
      <b/>
      <sz val="12"/>
      <color rgb="FF000000"/>
      <name val="Calibri"/>
      <family val="2"/>
      <scheme val="minor"/>
    </font>
    <font>
      <i/>
      <sz val="12"/>
      <color rgb="FF000000"/>
      <name val="Calibri"/>
      <family val="2"/>
      <scheme val="minor"/>
    </font>
    <font>
      <sz val="12"/>
      <name val="Calibri"/>
      <family val="2"/>
      <scheme val="minor"/>
    </font>
    <font>
      <b/>
      <sz val="12"/>
      <color theme="1"/>
      <name val="Calibri"/>
      <family val="2"/>
      <scheme val="minor"/>
    </font>
    <font>
      <i/>
      <sz val="10"/>
      <name val="Verdana"/>
      <family val="2"/>
    </font>
    <font>
      <sz val="10"/>
      <name val="Verdana"/>
      <family val="2"/>
    </font>
    <font>
      <i/>
      <sz val="11"/>
      <color theme="1" tint="0.499984740745262"/>
      <name val="Calibri"/>
      <family val="2"/>
      <charset val="204"/>
      <scheme val="minor"/>
    </font>
    <font>
      <sz val="9"/>
      <color indexed="81"/>
      <name val="Tahoma"/>
      <family val="2"/>
      <charset val="204"/>
    </font>
    <font>
      <sz val="11"/>
      <color rgb="FFFF0000"/>
      <name val="Calibri"/>
      <family val="2"/>
      <charset val="204"/>
      <scheme val="minor"/>
    </font>
    <font>
      <b/>
      <i/>
      <sz val="14"/>
      <color theme="1"/>
      <name val="Calibri"/>
      <family val="2"/>
      <charset val="204"/>
      <scheme val="minor"/>
    </font>
    <font>
      <b/>
      <sz val="12"/>
      <color theme="1"/>
      <name val="Calibri"/>
      <family val="2"/>
      <charset val="204"/>
      <scheme val="minor"/>
    </font>
    <font>
      <i/>
      <sz val="11"/>
      <color theme="0" tint="-0.499984740745262"/>
      <name val="Calibri"/>
      <family val="2"/>
      <charset val="204"/>
      <scheme val="minor"/>
    </font>
    <font>
      <b/>
      <sz val="11"/>
      <color theme="0" tint="-0.499984740745262"/>
      <name val="Calibri"/>
      <family val="2"/>
      <charset val="204"/>
      <scheme val="minor"/>
    </font>
    <font>
      <i/>
      <sz val="11"/>
      <color rgb="FFA5A5A5"/>
      <name val="Calibri"/>
      <family val="2"/>
    </font>
    <font>
      <i/>
      <sz val="10"/>
      <color rgb="FFAEABAB"/>
      <name val="Calibri"/>
      <family val="2"/>
    </font>
    <font>
      <b/>
      <sz val="10"/>
      <color theme="0"/>
      <name val="Calibri"/>
      <family val="2"/>
    </font>
    <font>
      <b/>
      <sz val="9"/>
      <color theme="1"/>
      <name val="Calibri"/>
      <family val="2"/>
    </font>
    <font>
      <sz val="9"/>
      <color theme="1"/>
      <name val="Calibri"/>
      <family val="2"/>
    </font>
    <font>
      <sz val="11"/>
      <color theme="1"/>
      <name val="Calibri"/>
      <family val="2"/>
    </font>
    <font>
      <b/>
      <i/>
      <sz val="9"/>
      <color rgb="FF7F7F7F"/>
      <name val="Calibri"/>
      <family val="2"/>
    </font>
    <font>
      <b/>
      <sz val="9"/>
      <color rgb="FF7F7F7F"/>
      <name val="Calibri"/>
      <family val="2"/>
    </font>
    <font>
      <sz val="9"/>
      <color rgb="FF7F7F7F"/>
      <name val="Calibri"/>
      <family val="2"/>
    </font>
    <font>
      <b/>
      <sz val="11"/>
      <color theme="1"/>
      <name val="Calibri"/>
      <family val="2"/>
    </font>
    <font>
      <b/>
      <sz val="11"/>
      <color theme="0"/>
      <name val="Calibri"/>
      <family val="2"/>
    </font>
    <font>
      <b/>
      <sz val="8"/>
      <name val="Arial"/>
      <family val="2"/>
      <charset val="204"/>
    </font>
    <font>
      <b/>
      <sz val="11"/>
      <color theme="1"/>
      <name val="Calibri"/>
      <family val="2"/>
      <charset val="204"/>
    </font>
    <font>
      <b/>
      <sz val="11"/>
      <color theme="0"/>
      <name val="Calibri"/>
      <family val="2"/>
      <charset val="204"/>
    </font>
    <font>
      <i/>
      <sz val="11"/>
      <color rgb="FFA5A5A5"/>
      <name val="Calibri"/>
      <family val="2"/>
      <charset val="204"/>
    </font>
    <font>
      <sz val="9"/>
      <color theme="1"/>
      <name val="Calibri"/>
      <family val="2"/>
      <charset val="204"/>
    </font>
    <font>
      <b/>
      <sz val="9"/>
      <color theme="1"/>
      <name val="Calibri"/>
      <family val="2"/>
      <charset val="204"/>
    </font>
    <font>
      <i/>
      <sz val="11"/>
      <color rgb="FF7F7F7F"/>
      <name val="Calibri"/>
      <family val="2"/>
      <charset val="204"/>
    </font>
    <font>
      <i/>
      <sz val="9"/>
      <color rgb="FF7F7F7F"/>
      <name val="Calibri"/>
      <family val="2"/>
      <charset val="204"/>
    </font>
    <font>
      <i/>
      <sz val="11"/>
      <color rgb="FFBFBFBF"/>
      <name val="Calibri"/>
      <family val="2"/>
      <charset val="204"/>
    </font>
    <font>
      <i/>
      <sz val="11"/>
      <color theme="0" tint="-0.499984740745262"/>
      <name val="Calibri"/>
      <family val="2"/>
      <charset val="204"/>
    </font>
    <font>
      <sz val="10"/>
      <color theme="0" tint="-0.34998626667073579"/>
      <name val="Calibri"/>
      <family val="2"/>
      <charset val="204"/>
      <scheme val="minor"/>
    </font>
    <font>
      <b/>
      <sz val="9"/>
      <color indexed="81"/>
      <name val="Tahoma"/>
      <family val="2"/>
      <charset val="204"/>
    </font>
    <font>
      <b/>
      <i/>
      <sz val="10"/>
      <color theme="0"/>
      <name val="Calibri"/>
      <family val="2"/>
      <charset val="204"/>
      <scheme val="minor"/>
    </font>
    <font>
      <sz val="10"/>
      <color rgb="FFFF0000"/>
      <name val="Calibri"/>
      <family val="2"/>
      <charset val="204"/>
      <scheme val="minor"/>
    </font>
    <font>
      <sz val="10"/>
      <color theme="0" tint="-0.499984740745262"/>
      <name val="Calibri"/>
      <family val="2"/>
      <charset val="204"/>
      <scheme val="minor"/>
    </font>
  </fonts>
  <fills count="2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0"/>
        <bgColor indexed="64"/>
      </patternFill>
    </fill>
    <fill>
      <patternFill patternType="gray0625">
        <bgColor auto="1"/>
      </patternFill>
    </fill>
    <fill>
      <patternFill patternType="solid">
        <fgColor rgb="FFCCFFCC"/>
        <bgColor indexed="64"/>
      </patternFill>
    </fill>
    <fill>
      <patternFill patternType="solid">
        <fgColor theme="0"/>
        <bgColor rgb="FFD9EAD3"/>
      </patternFill>
    </fill>
    <fill>
      <patternFill patternType="solid">
        <fgColor theme="0"/>
        <bgColor rgb="FFC9DAF8"/>
      </patternFill>
    </fill>
    <fill>
      <patternFill patternType="solid">
        <fgColor rgb="FFFFFFFF"/>
        <bgColor rgb="FFFFFFFF"/>
      </patternFill>
    </fill>
    <fill>
      <patternFill patternType="solid">
        <fgColor theme="0" tint="-0.14999847407452621"/>
        <bgColor rgb="FF000000"/>
      </patternFill>
    </fill>
    <fill>
      <patternFill patternType="solid">
        <fgColor theme="0" tint="-0.249977111117893"/>
        <bgColor indexed="64"/>
      </patternFill>
    </fill>
    <fill>
      <patternFill patternType="solid">
        <fgColor rgb="FF548135"/>
        <bgColor rgb="FF548135"/>
      </patternFill>
    </fill>
    <fill>
      <patternFill patternType="solid">
        <fgColor rgb="FFA8D08D"/>
        <bgColor rgb="FFA8D08D"/>
      </patternFill>
    </fill>
    <fill>
      <patternFill patternType="solid">
        <fgColor rgb="FFE2EFD9"/>
        <bgColor rgb="FFE2EFD9"/>
      </patternFill>
    </fill>
    <fill>
      <patternFill patternType="solid">
        <fgColor rgb="FFF2F2F2"/>
        <bgColor rgb="FFF2F2F2"/>
      </patternFill>
    </fill>
    <fill>
      <patternFill patternType="solid">
        <fgColor theme="6" tint="0.79998168889431442"/>
        <bgColor indexed="64"/>
      </patternFill>
    </fill>
    <fill>
      <patternFill patternType="solid">
        <fgColor theme="4" tint="-0.499984740745262"/>
        <bgColor indexed="64"/>
      </patternFill>
    </fill>
  </fills>
  <borders count="53">
    <border>
      <left/>
      <right/>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3"/>
      </top>
      <bottom style="medium">
        <color theme="3"/>
      </bottom>
      <diagonal/>
    </border>
    <border>
      <left/>
      <right/>
      <top style="thin">
        <color theme="3"/>
      </top>
      <bottom style="medium">
        <color theme="3"/>
      </bottom>
      <diagonal/>
    </border>
    <border>
      <left/>
      <right/>
      <top/>
      <bottom style="thin">
        <color theme="3"/>
      </bottom>
      <diagonal/>
    </border>
    <border>
      <left/>
      <right/>
      <top style="thin">
        <color theme="4"/>
      </top>
      <bottom/>
      <diagonal/>
    </border>
    <border>
      <left/>
      <right/>
      <top style="medium">
        <color theme="3"/>
      </top>
      <bottom/>
      <diagonal/>
    </border>
    <border>
      <left style="thin">
        <color theme="0" tint="-0.34998626667073579"/>
      </left>
      <right/>
      <top style="thin">
        <color theme="3"/>
      </top>
      <bottom style="medium">
        <color theme="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theme="0" tint="-0.499984740745262"/>
      </left>
      <right/>
      <top style="thin">
        <color theme="0" tint="-0.499984740745262"/>
      </top>
      <bottom style="thin">
        <color theme="0" tint="-0.499984740745262"/>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rgb="FF000000"/>
      </right>
      <top style="thin">
        <color indexed="64"/>
      </top>
      <bottom/>
      <diagonal/>
    </border>
    <border>
      <left style="medium">
        <color rgb="FF000000"/>
      </left>
      <right style="thin">
        <color indexed="64"/>
      </right>
      <top/>
      <bottom style="thin">
        <color indexed="64"/>
      </bottom>
      <diagonal/>
    </border>
    <border>
      <left/>
      <right/>
      <top style="thin">
        <color rgb="FF44546A"/>
      </top>
      <bottom style="medium">
        <color rgb="FF44546A"/>
      </bottom>
      <diagonal/>
    </border>
    <border>
      <left style="thin">
        <color rgb="FF7F7F7F"/>
      </left>
      <right style="thin">
        <color rgb="FF7F7F7F"/>
      </right>
      <top style="thin">
        <color rgb="FF7F7F7F"/>
      </top>
      <bottom style="thin">
        <color rgb="FF7F7F7F"/>
      </bottom>
      <diagonal/>
    </border>
    <border>
      <left style="thin">
        <color rgb="FF7D8AB9"/>
      </left>
      <right style="thin">
        <color rgb="FF7D8AB9"/>
      </right>
      <top style="thin">
        <color rgb="FF7D8AB9"/>
      </top>
      <bottom style="thin">
        <color rgb="FF7D8AB9"/>
      </bottom>
      <diagonal/>
    </border>
    <border>
      <left style="thin">
        <color theme="0" tint="-0.499984740745262"/>
      </left>
      <right/>
      <top style="thin">
        <color theme="0" tint="-0.499984740745262"/>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medium">
        <color indexed="64"/>
      </left>
      <right/>
      <top/>
      <bottom style="medium">
        <color indexed="64"/>
      </bottom>
      <diagonal/>
    </border>
  </borders>
  <cellStyleXfs count="15">
    <xf numFmtId="0" fontId="0" fillId="0" borderId="0"/>
    <xf numFmtId="9" fontId="1" fillId="0" borderId="0" applyFont="0" applyFill="0" applyBorder="0" applyAlignment="0" applyProtection="0"/>
    <xf numFmtId="0" fontId="1" fillId="0" borderId="0"/>
    <xf numFmtId="0" fontId="17" fillId="0" borderId="0"/>
    <xf numFmtId="166"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0" fontId="26" fillId="0" borderId="0"/>
    <xf numFmtId="0" fontId="27" fillId="0" borderId="0" applyNumberFormat="0" applyFill="0" applyBorder="0" applyAlignment="0" applyProtection="0"/>
    <xf numFmtId="9" fontId="26" fillId="0" borderId="0" applyFont="0" applyFill="0" applyBorder="0" applyAlignment="0" applyProtection="0"/>
    <xf numFmtId="0" fontId="28" fillId="0" borderId="0"/>
    <xf numFmtId="0" fontId="17" fillId="0" borderId="0"/>
    <xf numFmtId="43" fontId="1" fillId="0" borderId="0" applyFont="0" applyFill="0" applyBorder="0" applyAlignment="0" applyProtection="0"/>
    <xf numFmtId="0" fontId="31" fillId="0" borderId="0" applyNumberFormat="0" applyFill="0" applyBorder="0" applyAlignment="0" applyProtection="0"/>
    <xf numFmtId="0" fontId="1" fillId="0" borderId="0"/>
  </cellStyleXfs>
  <cellXfs count="499">
    <xf numFmtId="0" fontId="0" fillId="0" borderId="0" xfId="0"/>
    <xf numFmtId="0" fontId="3" fillId="0" borderId="0" xfId="0" applyFont="1"/>
    <xf numFmtId="3" fontId="0" fillId="0" borderId="0" xfId="0" applyNumberFormat="1"/>
    <xf numFmtId="0" fontId="5" fillId="0" borderId="0" xfId="0" applyFont="1" applyAlignment="1">
      <alignment horizontal="right"/>
    </xf>
    <xf numFmtId="3" fontId="3" fillId="0" borderId="0" xfId="0" applyNumberFormat="1" applyFont="1"/>
    <xf numFmtId="0" fontId="10" fillId="0" borderId="0" xfId="0" applyFont="1"/>
    <xf numFmtId="0" fontId="0" fillId="0" borderId="0" xfId="0" applyAlignment="1">
      <alignment horizontal="center"/>
    </xf>
    <xf numFmtId="0" fontId="11" fillId="0" borderId="0" xfId="0" applyFont="1"/>
    <xf numFmtId="0" fontId="12" fillId="0" borderId="0" xfId="0" applyFont="1"/>
    <xf numFmtId="0" fontId="12" fillId="0" borderId="0" xfId="0" applyFont="1" applyAlignment="1">
      <alignment horizontal="center"/>
    </xf>
    <xf numFmtId="3" fontId="12" fillId="0" borderId="0" xfId="0" applyNumberFormat="1" applyFont="1"/>
    <xf numFmtId="165" fontId="12" fillId="0" borderId="0" xfId="0" applyNumberFormat="1" applyFont="1"/>
    <xf numFmtId="0" fontId="14" fillId="0" borderId="0" xfId="0" applyFont="1"/>
    <xf numFmtId="0" fontId="14" fillId="0" borderId="0" xfId="0" applyFont="1" applyAlignment="1">
      <alignment horizontal="center"/>
    </xf>
    <xf numFmtId="3" fontId="14" fillId="0" borderId="0" xfId="0" applyNumberFormat="1" applyFont="1"/>
    <xf numFmtId="0" fontId="10" fillId="0" borderId="0" xfId="0" applyFont="1" applyAlignment="1">
      <alignment horizontal="center"/>
    </xf>
    <xf numFmtId="9" fontId="10" fillId="0" borderId="0" xfId="1" applyFont="1"/>
    <xf numFmtId="165" fontId="12" fillId="7" borderId="0" xfId="0" applyNumberFormat="1" applyFont="1" applyFill="1"/>
    <xf numFmtId="165" fontId="14" fillId="0" borderId="0" xfId="0" applyNumberFormat="1" applyFont="1"/>
    <xf numFmtId="0" fontId="12" fillId="4" borderId="0" xfId="0" applyFont="1" applyFill="1"/>
    <xf numFmtId="0" fontId="13" fillId="4" borderId="0" xfId="0" applyFont="1" applyFill="1"/>
    <xf numFmtId="3" fontId="14" fillId="3" borderId="0" xfId="0" applyNumberFormat="1" applyFont="1" applyFill="1"/>
    <xf numFmtId="3" fontId="15" fillId="0" borderId="0" xfId="0" applyNumberFormat="1" applyFont="1"/>
    <xf numFmtId="0" fontId="13" fillId="4" borderId="0" xfId="0" applyFont="1" applyFill="1" applyAlignment="1">
      <alignment horizontal="center"/>
    </xf>
    <xf numFmtId="3" fontId="13" fillId="4" borderId="0" xfId="0" applyNumberFormat="1" applyFont="1" applyFill="1"/>
    <xf numFmtId="9" fontId="5" fillId="6" borderId="0" xfId="1" applyFont="1" applyFill="1"/>
    <xf numFmtId="3" fontId="11" fillId="0" borderId="0" xfId="0" applyNumberFormat="1" applyFont="1"/>
    <xf numFmtId="0" fontId="16" fillId="0" borderId="0" xfId="0" applyFont="1"/>
    <xf numFmtId="3" fontId="16" fillId="0" borderId="0" xfId="0" applyNumberFormat="1" applyFont="1"/>
    <xf numFmtId="0" fontId="8" fillId="0" borderId="0" xfId="2" applyFont="1"/>
    <xf numFmtId="0" fontId="18" fillId="0" borderId="0" xfId="3" applyFont="1"/>
    <xf numFmtId="0" fontId="18" fillId="0" borderId="0" xfId="2" applyFont="1" applyAlignment="1">
      <alignment horizontal="center"/>
    </xf>
    <xf numFmtId="0" fontId="9" fillId="0" borderId="0" xfId="2" applyFont="1" applyAlignment="1">
      <alignment horizontal="center"/>
    </xf>
    <xf numFmtId="0" fontId="19" fillId="0" borderId="0" xfId="2" applyFont="1" applyAlignment="1">
      <alignment horizontal="center"/>
    </xf>
    <xf numFmtId="0" fontId="9" fillId="0" borderId="0" xfId="3" applyFont="1"/>
    <xf numFmtId="0" fontId="2" fillId="9" borderId="1" xfId="3" applyFont="1" applyFill="1" applyBorder="1" applyAlignment="1">
      <alignment horizontal="center" vertical="center" wrapText="1"/>
    </xf>
    <xf numFmtId="0" fontId="2" fillId="9" borderId="0" xfId="3" applyFont="1" applyFill="1" applyAlignment="1">
      <alignment horizontal="center" vertical="center" wrapText="1"/>
    </xf>
    <xf numFmtId="0" fontId="2" fillId="0" borderId="0" xfId="3" applyFont="1" applyAlignment="1">
      <alignment horizontal="center" vertical="center" wrapText="1"/>
    </xf>
    <xf numFmtId="17" fontId="4" fillId="9" borderId="0" xfId="3" applyNumberFormat="1" applyFont="1" applyFill="1" applyAlignment="1">
      <alignment horizontal="center" vertical="center"/>
    </xf>
    <xf numFmtId="17" fontId="18" fillId="0" borderId="0" xfId="3" applyNumberFormat="1" applyFont="1" applyAlignment="1">
      <alignment horizontal="center" vertical="center"/>
    </xf>
    <xf numFmtId="0" fontId="18" fillId="0" borderId="2" xfId="3" applyFont="1" applyBorder="1" applyAlignment="1">
      <alignment horizontal="left" indent="1"/>
    </xf>
    <xf numFmtId="167" fontId="18" fillId="0" borderId="0" xfId="4" applyNumberFormat="1" applyFont="1" applyFill="1" applyBorder="1" applyAlignment="1">
      <alignment horizontal="right" vertical="center" wrapText="1"/>
    </xf>
    <xf numFmtId="167" fontId="18" fillId="10" borderId="0" xfId="4" applyNumberFormat="1" applyFont="1" applyFill="1" applyBorder="1" applyAlignment="1">
      <alignment horizontal="right" vertical="center" wrapText="1"/>
    </xf>
    <xf numFmtId="168" fontId="18" fillId="0" borderId="0" xfId="4" applyNumberFormat="1" applyFont="1" applyFill="1" applyBorder="1" applyAlignment="1">
      <alignment horizontal="right" wrapText="1"/>
    </xf>
    <xf numFmtId="0" fontId="19" fillId="0" borderId="2" xfId="3" applyFont="1" applyBorder="1" applyAlignment="1">
      <alignment horizontal="left"/>
    </xf>
    <xf numFmtId="167" fontId="19" fillId="0" borderId="0" xfId="4" applyNumberFormat="1" applyFont="1" applyFill="1" applyBorder="1" applyAlignment="1">
      <alignment horizontal="right" vertical="center" wrapText="1"/>
    </xf>
    <xf numFmtId="167" fontId="19" fillId="10" borderId="0" xfId="4" applyNumberFormat="1" applyFont="1" applyFill="1" applyBorder="1" applyAlignment="1">
      <alignment horizontal="right" vertical="center" wrapText="1"/>
    </xf>
    <xf numFmtId="0" fontId="18" fillId="0" borderId="0" xfId="3" applyFont="1" applyAlignment="1">
      <alignment horizontal="center"/>
    </xf>
    <xf numFmtId="0" fontId="18" fillId="0" borderId="2" xfId="3" applyFont="1" applyBorder="1" applyAlignment="1">
      <alignment horizontal="left"/>
    </xf>
    <xf numFmtId="167" fontId="18" fillId="0" borderId="0" xfId="3" applyNumberFormat="1" applyFont="1"/>
    <xf numFmtId="0" fontId="19" fillId="0" borderId="0" xfId="3" applyFont="1" applyAlignment="1">
      <alignment horizontal="center"/>
    </xf>
    <xf numFmtId="167" fontId="19" fillId="0" borderId="0" xfId="3" applyNumberFormat="1" applyFont="1"/>
    <xf numFmtId="0" fontId="20" fillId="0" borderId="0" xfId="3" applyFont="1"/>
    <xf numFmtId="0" fontId="19" fillId="0" borderId="0" xfId="3" applyFont="1"/>
    <xf numFmtId="167" fontId="9" fillId="0" borderId="0" xfId="3" applyNumberFormat="1" applyFont="1"/>
    <xf numFmtId="169" fontId="18" fillId="0" borderId="0" xfId="4" applyNumberFormat="1" applyFont="1" applyFill="1" applyBorder="1" applyAlignment="1">
      <alignment horizontal="right" vertical="center" wrapText="1"/>
    </xf>
    <xf numFmtId="169" fontId="18" fillId="0" borderId="0" xfId="3" applyNumberFormat="1" applyFont="1"/>
    <xf numFmtId="168" fontId="19" fillId="0" borderId="3" xfId="4" applyNumberFormat="1" applyFont="1" applyFill="1" applyBorder="1" applyAlignment="1">
      <alignment horizontal="left" wrapText="1"/>
    </xf>
    <xf numFmtId="167" fontId="19" fillId="0" borderId="4" xfId="4" applyNumberFormat="1" applyFont="1" applyFill="1" applyBorder="1" applyAlignment="1">
      <alignment horizontal="right" wrapText="1"/>
    </xf>
    <xf numFmtId="167" fontId="19" fillId="10" borderId="4" xfId="4" applyNumberFormat="1" applyFont="1" applyFill="1" applyBorder="1" applyAlignment="1">
      <alignment horizontal="right" wrapText="1"/>
    </xf>
    <xf numFmtId="167" fontId="19" fillId="0" borderId="0" xfId="4" applyNumberFormat="1" applyFont="1" applyFill="1" applyBorder="1" applyAlignment="1">
      <alignment horizontal="right" wrapText="1"/>
    </xf>
    <xf numFmtId="0" fontId="18" fillId="11" borderId="0" xfId="3" applyFont="1" applyFill="1"/>
    <xf numFmtId="0" fontId="3" fillId="0" borderId="0" xfId="2" applyFont="1"/>
    <xf numFmtId="0" fontId="19" fillId="0" borderId="0" xfId="3" applyFont="1" applyAlignment="1">
      <alignment horizontal="left" vertical="center" wrapText="1"/>
    </xf>
    <xf numFmtId="0" fontId="19" fillId="0" borderId="0" xfId="3" applyFont="1" applyAlignment="1">
      <alignment horizontal="center" vertical="center" wrapText="1"/>
    </xf>
    <xf numFmtId="0" fontId="4" fillId="0" borderId="0" xfId="3" applyFont="1"/>
    <xf numFmtId="171" fontId="18" fillId="0" borderId="0" xfId="4" applyNumberFormat="1" applyFont="1" applyFill="1" applyBorder="1" applyAlignment="1">
      <alignment horizontal="right" vertical="center" wrapText="1"/>
    </xf>
    <xf numFmtId="172" fontId="18" fillId="11" borderId="0" xfId="4" applyNumberFormat="1" applyFont="1" applyFill="1" applyBorder="1" applyAlignment="1">
      <alignment horizontal="right" vertical="center" wrapText="1"/>
    </xf>
    <xf numFmtId="0" fontId="19" fillId="0" borderId="0" xfId="3" applyFont="1" applyAlignment="1">
      <alignment horizontal="left" vertical="center"/>
    </xf>
    <xf numFmtId="0" fontId="19" fillId="0" borderId="0" xfId="3" applyFont="1" applyAlignment="1">
      <alignment horizontal="center" vertical="center"/>
    </xf>
    <xf numFmtId="4" fontId="18" fillId="11" borderId="0" xfId="4" applyNumberFormat="1" applyFont="1" applyFill="1" applyBorder="1" applyAlignment="1">
      <alignment horizontal="right" vertical="center" wrapText="1"/>
    </xf>
    <xf numFmtId="172" fontId="19" fillId="11" borderId="0" xfId="4" applyNumberFormat="1" applyFont="1" applyFill="1" applyBorder="1" applyAlignment="1">
      <alignment horizontal="right" vertical="center" wrapText="1"/>
    </xf>
    <xf numFmtId="172" fontId="18" fillId="0" borderId="0" xfId="4" applyNumberFormat="1" applyFont="1" applyFill="1" applyBorder="1" applyAlignment="1">
      <alignment horizontal="right" vertical="center" wrapText="1"/>
    </xf>
    <xf numFmtId="164" fontId="18" fillId="0" borderId="0" xfId="5" applyNumberFormat="1" applyFont="1" applyFill="1" applyBorder="1" applyAlignment="1">
      <alignment horizontal="right" vertical="center" wrapText="1"/>
    </xf>
    <xf numFmtId="172" fontId="19" fillId="0" borderId="0" xfId="4" applyNumberFormat="1" applyFont="1" applyFill="1" applyBorder="1" applyAlignment="1">
      <alignment horizontal="right" vertical="center" wrapText="1"/>
    </xf>
    <xf numFmtId="0" fontId="18" fillId="0" borderId="0" xfId="3" applyFont="1" applyAlignment="1">
      <alignment horizontal="left" indent="1"/>
    </xf>
    <xf numFmtId="0" fontId="2" fillId="9" borderId="2" xfId="3" applyFont="1" applyFill="1" applyBorder="1" applyAlignment="1">
      <alignment horizontal="center" vertical="center" wrapText="1"/>
    </xf>
    <xf numFmtId="168" fontId="19" fillId="0" borderId="6" xfId="4" applyNumberFormat="1" applyFont="1" applyFill="1" applyBorder="1" applyAlignment="1">
      <alignment horizontal="left" wrapText="1"/>
    </xf>
    <xf numFmtId="168" fontId="18" fillId="0" borderId="7" xfId="3" applyNumberFormat="1" applyFont="1" applyBorder="1"/>
    <xf numFmtId="0" fontId="18" fillId="0" borderId="7" xfId="3" applyFont="1" applyBorder="1"/>
    <xf numFmtId="0" fontId="9" fillId="0" borderId="7" xfId="3" applyFont="1" applyBorder="1"/>
    <xf numFmtId="0" fontId="18" fillId="0" borderId="5" xfId="3" applyFont="1" applyBorder="1"/>
    <xf numFmtId="0" fontId="9" fillId="0" borderId="5" xfId="3" applyFont="1" applyBorder="1"/>
    <xf numFmtId="173" fontId="19" fillId="0" borderId="8" xfId="4" applyNumberFormat="1" applyFont="1" applyFill="1" applyBorder="1" applyAlignment="1">
      <alignment wrapText="1"/>
    </xf>
    <xf numFmtId="173" fontId="19" fillId="0" borderId="4" xfId="4" applyNumberFormat="1" applyFont="1" applyFill="1" applyBorder="1" applyAlignment="1">
      <alignment wrapText="1"/>
    </xf>
    <xf numFmtId="173" fontId="20" fillId="0" borderId="4" xfId="4" applyNumberFormat="1" applyFont="1" applyFill="1" applyBorder="1" applyAlignment="1">
      <alignment wrapText="1"/>
    </xf>
    <xf numFmtId="14" fontId="22" fillId="0" borderId="0" xfId="0" applyNumberFormat="1" applyFont="1" applyAlignment="1">
      <alignment vertical="center" wrapText="1"/>
    </xf>
    <xf numFmtId="168" fontId="19" fillId="0" borderId="4" xfId="4" applyNumberFormat="1" applyFont="1" applyFill="1" applyBorder="1" applyAlignment="1">
      <alignment horizontal="left" wrapText="1"/>
    </xf>
    <xf numFmtId="0" fontId="14" fillId="0" borderId="9" xfId="0" applyFont="1" applyBorder="1"/>
    <xf numFmtId="0" fontId="14" fillId="0" borderId="9" xfId="0" applyFont="1" applyBorder="1" applyAlignment="1">
      <alignment horizontal="center"/>
    </xf>
    <xf numFmtId="0" fontId="12" fillId="0" borderId="9" xfId="0" applyFont="1" applyBorder="1" applyAlignment="1">
      <alignment horizontal="right"/>
    </xf>
    <xf numFmtId="0" fontId="12" fillId="0" borderId="9" xfId="0" applyFont="1" applyBorder="1" applyAlignment="1">
      <alignment horizontal="center"/>
    </xf>
    <xf numFmtId="0" fontId="12" fillId="0" borderId="9" xfId="0" applyFont="1" applyBorder="1"/>
    <xf numFmtId="165" fontId="14" fillId="0" borderId="10" xfId="0" applyNumberFormat="1" applyFont="1" applyBorder="1"/>
    <xf numFmtId="3" fontId="14" fillId="0" borderId="10" xfId="0" applyNumberFormat="1" applyFont="1" applyBorder="1"/>
    <xf numFmtId="0" fontId="15" fillId="0" borderId="9" xfId="0" applyFont="1" applyBorder="1" applyAlignment="1">
      <alignment horizontal="right"/>
    </xf>
    <xf numFmtId="0" fontId="14" fillId="3" borderId="9" xfId="0" applyFont="1" applyFill="1" applyBorder="1"/>
    <xf numFmtId="0" fontId="15" fillId="0" borderId="9" xfId="0" applyFont="1" applyBorder="1" applyAlignment="1">
      <alignment horizontal="center"/>
    </xf>
    <xf numFmtId="0" fontId="14" fillId="0" borderId="9" xfId="0" applyFont="1" applyBorder="1" applyAlignment="1">
      <alignment horizontal="left"/>
    </xf>
    <xf numFmtId="0" fontId="12" fillId="6" borderId="9" xfId="0" applyFont="1" applyFill="1" applyBorder="1"/>
    <xf numFmtId="3" fontId="11" fillId="0" borderId="11" xfId="0" applyNumberFormat="1" applyFont="1" applyBorder="1"/>
    <xf numFmtId="0" fontId="14" fillId="3" borderId="9" xfId="0" applyFont="1" applyFill="1" applyBorder="1" applyAlignment="1">
      <alignment horizontal="center"/>
    </xf>
    <xf numFmtId="0" fontId="13" fillId="0" borderId="0" xfId="0" applyFont="1" applyAlignment="1">
      <alignment horizontal="center"/>
    </xf>
    <xf numFmtId="9" fontId="15" fillId="0" borderId="9" xfId="0" applyNumberFormat="1" applyFont="1" applyBorder="1"/>
    <xf numFmtId="164" fontId="15" fillId="0" borderId="9" xfId="0" applyNumberFormat="1" applyFont="1" applyBorder="1"/>
    <xf numFmtId="10" fontId="15" fillId="0" borderId="9" xfId="0" applyNumberFormat="1" applyFont="1" applyBorder="1"/>
    <xf numFmtId="10" fontId="12" fillId="0" borderId="9" xfId="0" applyNumberFormat="1" applyFont="1" applyBorder="1"/>
    <xf numFmtId="10" fontId="5" fillId="6" borderId="9" xfId="1" applyNumberFormat="1" applyFont="1" applyFill="1" applyBorder="1"/>
    <xf numFmtId="3" fontId="14" fillId="0" borderId="9" xfId="0" applyNumberFormat="1" applyFont="1" applyBorder="1"/>
    <xf numFmtId="164" fontId="11" fillId="0" borderId="9" xfId="0" applyNumberFormat="1" applyFont="1" applyBorder="1" applyAlignment="1">
      <alignment horizontal="center"/>
    </xf>
    <xf numFmtId="0" fontId="2" fillId="9" borderId="12" xfId="3" applyFont="1" applyFill="1" applyBorder="1" applyAlignment="1">
      <alignment horizontal="center" vertical="center" wrapText="1"/>
    </xf>
    <xf numFmtId="0" fontId="1" fillId="11" borderId="12" xfId="3" applyFont="1" applyFill="1" applyBorder="1" applyAlignment="1">
      <alignment horizontal="center" vertical="center" wrapText="1"/>
    </xf>
    <xf numFmtId="0" fontId="19" fillId="2" borderId="12" xfId="3" applyFont="1" applyFill="1" applyBorder="1" applyAlignment="1">
      <alignment horizontal="center" vertical="center" wrapText="1"/>
    </xf>
    <xf numFmtId="3" fontId="19" fillId="2" borderId="12" xfId="3" applyNumberFormat="1" applyFont="1" applyFill="1" applyBorder="1" applyAlignment="1">
      <alignment horizontal="center" vertical="center" wrapText="1"/>
    </xf>
    <xf numFmtId="3" fontId="1" fillId="14" borderId="12" xfId="3" applyNumberFormat="1" applyFont="1" applyFill="1" applyBorder="1" applyAlignment="1">
      <alignment horizontal="center" vertical="center"/>
    </xf>
    <xf numFmtId="0" fontId="1" fillId="0" borderId="12" xfId="3" applyFont="1" applyBorder="1" applyAlignment="1">
      <alignment horizontal="center" vertical="center" wrapText="1"/>
    </xf>
    <xf numFmtId="0" fontId="23" fillId="11" borderId="12" xfId="3" applyFont="1" applyFill="1" applyBorder="1" applyAlignment="1">
      <alignment horizontal="center" vertical="center" wrapText="1"/>
    </xf>
    <xf numFmtId="10" fontId="23" fillId="11" borderId="12" xfId="5" applyNumberFormat="1" applyFont="1" applyFill="1" applyBorder="1" applyAlignment="1">
      <alignment horizontal="center" vertical="center" wrapText="1"/>
    </xf>
    <xf numFmtId="166" fontId="23" fillId="15" borderId="12" xfId="4" applyFont="1" applyFill="1" applyBorder="1" applyAlignment="1">
      <alignment horizontal="center" vertical="center"/>
    </xf>
    <xf numFmtId="0" fontId="1" fillId="0" borderId="0" xfId="3" applyFont="1" applyAlignment="1">
      <alignment horizontal="center" vertical="center"/>
    </xf>
    <xf numFmtId="0" fontId="3" fillId="0" borderId="12" xfId="3" applyFont="1" applyBorder="1" applyAlignment="1">
      <alignment horizontal="right" vertical="center"/>
    </xf>
    <xf numFmtId="170" fontId="24" fillId="11" borderId="12" xfId="4" applyNumberFormat="1" applyFont="1" applyFill="1" applyBorder="1" applyAlignment="1">
      <alignment horizontal="right" vertical="center"/>
    </xf>
    <xf numFmtId="9" fontId="24" fillId="11" borderId="12" xfId="5" applyFont="1" applyFill="1" applyBorder="1" applyAlignment="1">
      <alignment horizontal="right" vertical="center"/>
    </xf>
    <xf numFmtId="0" fontId="1" fillId="0" borderId="12" xfId="3" applyFont="1" applyBorder="1" applyAlignment="1">
      <alignment horizontal="center" vertical="center"/>
    </xf>
    <xf numFmtId="3" fontId="1" fillId="0" borderId="12" xfId="3" applyNumberFormat="1" applyFont="1" applyBorder="1" applyAlignment="1">
      <alignment horizontal="center" vertical="center"/>
    </xf>
    <xf numFmtId="4" fontId="1" fillId="0" borderId="12" xfId="3" applyNumberFormat="1" applyFont="1" applyBorder="1" applyAlignment="1">
      <alignment horizontal="center" vertical="center"/>
    </xf>
    <xf numFmtId="0" fontId="25" fillId="0" borderId="0" xfId="3" applyFont="1" applyAlignment="1">
      <alignment horizontal="right"/>
    </xf>
    <xf numFmtId="3" fontId="1" fillId="13" borderId="0" xfId="3" applyNumberFormat="1" applyFont="1" applyFill="1" applyAlignment="1">
      <alignment horizontal="center" vertical="center"/>
    </xf>
    <xf numFmtId="0" fontId="13" fillId="9" borderId="0" xfId="0" applyFont="1" applyFill="1" applyAlignment="1">
      <alignment horizontal="center"/>
    </xf>
    <xf numFmtId="17" fontId="13" fillId="9" borderId="0" xfId="0" applyNumberFormat="1" applyFont="1" applyFill="1"/>
    <xf numFmtId="1" fontId="13" fillId="9" borderId="0" xfId="0" applyNumberFormat="1" applyFont="1" applyFill="1" applyAlignment="1">
      <alignment horizontal="center"/>
    </xf>
    <xf numFmtId="0" fontId="13" fillId="9" borderId="0" xfId="0" applyFont="1" applyFill="1"/>
    <xf numFmtId="0" fontId="13" fillId="4" borderId="13" xfId="0" applyFont="1" applyFill="1" applyBorder="1"/>
    <xf numFmtId="0" fontId="13" fillId="4" borderId="13" xfId="0" applyFont="1" applyFill="1" applyBorder="1" applyAlignment="1">
      <alignment horizontal="center"/>
    </xf>
    <xf numFmtId="0" fontId="13" fillId="9" borderId="14" xfId="0" applyFont="1" applyFill="1" applyBorder="1" applyAlignment="1">
      <alignment horizontal="center"/>
    </xf>
    <xf numFmtId="17" fontId="13" fillId="9" borderId="0" xfId="0" applyNumberFormat="1" applyFont="1" applyFill="1" applyAlignment="1">
      <alignment horizontal="center" vertical="center"/>
    </xf>
    <xf numFmtId="0" fontId="14" fillId="0" borderId="9" xfId="0" applyFont="1" applyBorder="1" applyAlignment="1">
      <alignment vertical="center"/>
    </xf>
    <xf numFmtId="0" fontId="14" fillId="0" borderId="9" xfId="0" applyFont="1" applyBorder="1" applyAlignment="1">
      <alignment horizontal="center" vertical="center"/>
    </xf>
    <xf numFmtId="0" fontId="14" fillId="0" borderId="0" xfId="0" applyFont="1" applyAlignment="1">
      <alignment horizontal="center" vertical="center"/>
    </xf>
    <xf numFmtId="0" fontId="14" fillId="0" borderId="0" xfId="0" applyFont="1" applyAlignment="1">
      <alignment vertical="center"/>
    </xf>
    <xf numFmtId="3" fontId="14" fillId="0" borderId="10" xfId="0" applyNumberFormat="1" applyFont="1" applyBorder="1" applyAlignment="1">
      <alignment vertical="center"/>
    </xf>
    <xf numFmtId="0" fontId="14" fillId="3" borderId="14" xfId="0" applyFont="1" applyFill="1" applyBorder="1"/>
    <xf numFmtId="0" fontId="14" fillId="3" borderId="14" xfId="0" applyFont="1" applyFill="1" applyBorder="1" applyAlignment="1">
      <alignment horizontal="center"/>
    </xf>
    <xf numFmtId="0" fontId="19" fillId="3" borderId="0" xfId="3" applyFont="1" applyFill="1" applyAlignment="1">
      <alignment horizontal="left"/>
    </xf>
    <xf numFmtId="172" fontId="19" fillId="3" borderId="0" xfId="4" applyNumberFormat="1" applyFont="1" applyFill="1" applyBorder="1" applyAlignment="1">
      <alignment horizontal="right" vertical="center" wrapText="1"/>
    </xf>
    <xf numFmtId="1" fontId="13" fillId="0" borderId="0" xfId="0" applyNumberFormat="1" applyFont="1" applyAlignment="1">
      <alignment horizontal="center"/>
    </xf>
    <xf numFmtId="3" fontId="13" fillId="0" borderId="0" xfId="0" applyNumberFormat="1" applyFont="1"/>
    <xf numFmtId="164" fontId="11" fillId="0" borderId="0" xfId="0" applyNumberFormat="1" applyFont="1" applyAlignment="1">
      <alignment horizontal="center"/>
    </xf>
    <xf numFmtId="3" fontId="18" fillId="0" borderId="0" xfId="3" applyNumberFormat="1" applyFont="1" applyAlignment="1">
      <alignment horizontal="right"/>
    </xf>
    <xf numFmtId="165" fontId="12" fillId="0" borderId="0" xfId="0" applyNumberFormat="1" applyFont="1" applyAlignment="1">
      <alignment horizontal="right"/>
    </xf>
    <xf numFmtId="0" fontId="18" fillId="12" borderId="0" xfId="3" applyFont="1" applyFill="1" applyAlignment="1">
      <alignment horizontal="right"/>
    </xf>
    <xf numFmtId="174" fontId="18" fillId="10" borderId="0" xfId="4" applyNumberFormat="1" applyFont="1" applyFill="1" applyBorder="1" applyAlignment="1">
      <alignment horizontal="right" vertical="center" wrapText="1"/>
    </xf>
    <xf numFmtId="0" fontId="29" fillId="6" borderId="0" xfId="11" applyFont="1" applyFill="1" applyAlignment="1">
      <alignment horizontal="center" vertical="center"/>
    </xf>
    <xf numFmtId="175" fontId="29" fillId="6" borderId="0" xfId="11" applyNumberFormat="1" applyFont="1" applyFill="1" applyAlignment="1">
      <alignment horizontal="center" vertical="center"/>
    </xf>
    <xf numFmtId="0" fontId="29" fillId="0" borderId="0" xfId="11" applyFont="1" applyAlignment="1">
      <alignment horizontal="center" vertical="center"/>
    </xf>
    <xf numFmtId="175" fontId="29" fillId="0" borderId="0" xfId="11" applyNumberFormat="1" applyFont="1" applyAlignment="1">
      <alignment horizontal="center" vertical="center"/>
    </xf>
    <xf numFmtId="0" fontId="13" fillId="0" borderId="0" xfId="0" applyFont="1"/>
    <xf numFmtId="9" fontId="15" fillId="0" borderId="0" xfId="0" applyNumberFormat="1" applyFont="1"/>
    <xf numFmtId="164" fontId="15" fillId="0" borderId="0" xfId="0" applyNumberFormat="1" applyFont="1"/>
    <xf numFmtId="10" fontId="15" fillId="0" borderId="0" xfId="0" applyNumberFormat="1" applyFont="1"/>
    <xf numFmtId="10" fontId="12" fillId="0" borderId="0" xfId="0" applyNumberFormat="1" applyFont="1"/>
    <xf numFmtId="3" fontId="19" fillId="0" borderId="0" xfId="3" applyNumberFormat="1" applyFont="1" applyAlignment="1">
      <alignment horizontal="center" vertical="center" wrapText="1"/>
    </xf>
    <xf numFmtId="0" fontId="30" fillId="0" borderId="0" xfId="0" applyFont="1"/>
    <xf numFmtId="176" fontId="30" fillId="0" borderId="0" xfId="0" applyNumberFormat="1" applyFont="1"/>
    <xf numFmtId="9" fontId="30" fillId="0" borderId="0" xfId="0" applyNumberFormat="1" applyFont="1" applyAlignment="1">
      <alignment horizontal="center" vertical="center"/>
    </xf>
    <xf numFmtId="0" fontId="30" fillId="0" borderId="0" xfId="0" applyFont="1" applyAlignment="1">
      <alignment horizontal="center" vertical="center"/>
    </xf>
    <xf numFmtId="165" fontId="0" fillId="0" borderId="0" xfId="0" applyNumberFormat="1" applyAlignment="1">
      <alignment horizontal="center" vertical="center"/>
    </xf>
    <xf numFmtId="177" fontId="19" fillId="3" borderId="0" xfId="12" applyNumberFormat="1" applyFont="1" applyFill="1" applyBorder="1" applyAlignment="1">
      <alignment horizontal="right" vertical="center" wrapText="1"/>
    </xf>
    <xf numFmtId="3" fontId="30" fillId="0" borderId="0" xfId="0" applyNumberFormat="1" applyFont="1" applyAlignment="1">
      <alignment horizontal="right"/>
    </xf>
    <xf numFmtId="178" fontId="29" fillId="6" borderId="0" xfId="11" applyNumberFormat="1" applyFont="1" applyFill="1" applyAlignment="1">
      <alignment horizontal="center" vertical="center"/>
    </xf>
    <xf numFmtId="175" fontId="29" fillId="7" borderId="0" xfId="11" applyNumberFormat="1" applyFont="1" applyFill="1" applyAlignment="1">
      <alignment horizontal="center" vertical="center"/>
    </xf>
    <xf numFmtId="172" fontId="18" fillId="3" borderId="0" xfId="4" applyNumberFormat="1" applyFont="1" applyFill="1" applyBorder="1" applyAlignment="1">
      <alignment horizontal="right" vertical="center" wrapText="1"/>
    </xf>
    <xf numFmtId="0" fontId="31" fillId="0" borderId="0" xfId="13" applyAlignment="1">
      <alignment horizontal="left" vertical="center"/>
    </xf>
    <xf numFmtId="0" fontId="18" fillId="0" borderId="0" xfId="3" applyFont="1" applyAlignment="1">
      <alignment horizontal="right"/>
    </xf>
    <xf numFmtId="165" fontId="14" fillId="0" borderId="0" xfId="0" applyNumberFormat="1" applyFont="1" applyAlignment="1">
      <alignment horizontal="right"/>
    </xf>
    <xf numFmtId="169" fontId="32" fillId="0" borderId="0" xfId="4" applyNumberFormat="1" applyFont="1" applyFill="1" applyBorder="1" applyAlignment="1">
      <alignment horizontal="right" vertical="center" wrapText="1"/>
    </xf>
    <xf numFmtId="177" fontId="19" fillId="0" borderId="0" xfId="12" applyNumberFormat="1" applyFont="1" applyFill="1" applyBorder="1" applyAlignment="1">
      <alignment horizontal="right" vertical="center" wrapText="1"/>
    </xf>
    <xf numFmtId="3" fontId="30" fillId="0" borderId="0" xfId="0" applyNumberFormat="1" applyFont="1"/>
    <xf numFmtId="165" fontId="3" fillId="0" borderId="0" xfId="0" applyNumberFormat="1" applyFont="1" applyAlignment="1">
      <alignment horizontal="center" vertical="center"/>
    </xf>
    <xf numFmtId="0" fontId="19" fillId="0" borderId="0" xfId="3" applyFont="1" applyAlignment="1">
      <alignment horizontal="left"/>
    </xf>
    <xf numFmtId="0" fontId="33" fillId="0" borderId="0" xfId="0" applyFont="1"/>
    <xf numFmtId="3" fontId="13" fillId="0" borderId="0" xfId="0" applyNumberFormat="1" applyFont="1" applyAlignment="1">
      <alignment vertical="center"/>
    </xf>
    <xf numFmtId="0" fontId="34" fillId="0" borderId="0" xfId="0" applyFont="1"/>
    <xf numFmtId="3" fontId="33" fillId="0" borderId="0" xfId="0" applyNumberFormat="1" applyFont="1"/>
    <xf numFmtId="0" fontId="32" fillId="0" borderId="0" xfId="0" applyFont="1"/>
    <xf numFmtId="0" fontId="21" fillId="0" borderId="0" xfId="0" applyFont="1"/>
    <xf numFmtId="3" fontId="21" fillId="0" borderId="0" xfId="0" applyNumberFormat="1" applyFont="1"/>
    <xf numFmtId="3" fontId="35" fillId="0" borderId="0" xfId="0" applyNumberFormat="1" applyFont="1"/>
    <xf numFmtId="0" fontId="36" fillId="6" borderId="0" xfId="0" applyFont="1" applyFill="1" applyAlignment="1">
      <alignment horizontal="center"/>
    </xf>
    <xf numFmtId="0" fontId="12" fillId="6" borderId="0" xfId="0" applyFont="1" applyFill="1" applyAlignment="1">
      <alignment horizontal="center" vertical="center"/>
    </xf>
    <xf numFmtId="0" fontId="35" fillId="0" borderId="9" xfId="0" applyFont="1" applyBorder="1" applyAlignment="1">
      <alignment horizontal="right"/>
    </xf>
    <xf numFmtId="0" fontId="10" fillId="0" borderId="9" xfId="0" applyFont="1" applyBorder="1"/>
    <xf numFmtId="0" fontId="10" fillId="0" borderId="9" xfId="0" applyFont="1" applyBorder="1" applyAlignment="1">
      <alignment horizontal="center"/>
    </xf>
    <xf numFmtId="0" fontId="12" fillId="0" borderId="0" xfId="0" applyFont="1" applyAlignment="1">
      <alignment horizontal="center" vertical="center"/>
    </xf>
    <xf numFmtId="0" fontId="13" fillId="9" borderId="0" xfId="0" applyFont="1" applyFill="1" applyAlignment="1">
      <alignment horizontal="center" vertical="center" wrapText="1"/>
    </xf>
    <xf numFmtId="0" fontId="13" fillId="0" borderId="0" xfId="0" applyFont="1" applyAlignment="1">
      <alignment horizontal="center" vertical="center" wrapText="1"/>
    </xf>
    <xf numFmtId="17" fontId="13" fillId="9" borderId="0" xfId="0" applyNumberFormat="1" applyFont="1" applyFill="1" applyAlignment="1">
      <alignment vertical="center"/>
    </xf>
    <xf numFmtId="0" fontId="12" fillId="0" borderId="0" xfId="0" applyFont="1" applyAlignment="1">
      <alignment vertical="center"/>
    </xf>
    <xf numFmtId="1" fontId="13" fillId="0" borderId="0" xfId="0" applyNumberFormat="1" applyFont="1" applyAlignment="1">
      <alignment horizontal="center" vertical="center"/>
    </xf>
    <xf numFmtId="1" fontId="13" fillId="9" borderId="0" xfId="0" applyNumberFormat="1" applyFont="1" applyFill="1" applyAlignment="1">
      <alignment horizontal="center" vertical="center"/>
    </xf>
    <xf numFmtId="0" fontId="13" fillId="2" borderId="0" xfId="0" applyFont="1" applyFill="1" applyAlignment="1">
      <alignment horizontal="center"/>
    </xf>
    <xf numFmtId="17" fontId="13" fillId="2" borderId="0" xfId="0" applyNumberFormat="1" applyFont="1" applyFill="1"/>
    <xf numFmtId="1" fontId="13" fillId="2" borderId="0" xfId="0" applyNumberFormat="1" applyFont="1" applyFill="1" applyAlignment="1">
      <alignment horizontal="center"/>
    </xf>
    <xf numFmtId="9" fontId="12" fillId="0" borderId="0" xfId="1" applyFont="1" applyFill="1" applyBorder="1"/>
    <xf numFmtId="0" fontId="35" fillId="0" borderId="9" xfId="0" applyFont="1" applyBorder="1" applyAlignment="1">
      <alignment horizontal="center"/>
    </xf>
    <xf numFmtId="9" fontId="35" fillId="0" borderId="0" xfId="1" applyFont="1" applyFill="1"/>
    <xf numFmtId="9" fontId="14" fillId="0" borderId="0" xfId="1" applyFont="1" applyFill="1" applyBorder="1"/>
    <xf numFmtId="0" fontId="16" fillId="0" borderId="0" xfId="0" applyFont="1" applyAlignment="1">
      <alignment horizontal="right"/>
    </xf>
    <xf numFmtId="9" fontId="16" fillId="0" borderId="0" xfId="1" applyFont="1"/>
    <xf numFmtId="9" fontId="16" fillId="3" borderId="0" xfId="1" applyFont="1" applyFill="1"/>
    <xf numFmtId="9" fontId="12" fillId="0" borderId="0" xfId="1" applyFont="1" applyFill="1"/>
    <xf numFmtId="164" fontId="15" fillId="0" borderId="0" xfId="0" applyNumberFormat="1" applyFont="1" applyAlignment="1">
      <alignment horizontal="center"/>
    </xf>
    <xf numFmtId="10" fontId="12" fillId="0" borderId="0" xfId="0" applyNumberFormat="1" applyFont="1" applyAlignment="1">
      <alignment horizontal="right"/>
    </xf>
    <xf numFmtId="10" fontId="12" fillId="0" borderId="0" xfId="0" applyNumberFormat="1" applyFont="1" applyAlignment="1">
      <alignment horizontal="center"/>
    </xf>
    <xf numFmtId="0" fontId="15" fillId="0" borderId="0" xfId="0" applyFont="1" applyAlignment="1">
      <alignment horizontal="right"/>
    </xf>
    <xf numFmtId="0" fontId="12" fillId="0" borderId="16" xfId="0" applyFont="1" applyBorder="1" applyAlignment="1">
      <alignment horizontal="center"/>
    </xf>
    <xf numFmtId="164" fontId="15" fillId="0" borderId="12" xfId="0" applyNumberFormat="1" applyFont="1" applyBorder="1" applyAlignment="1">
      <alignment horizontal="center"/>
    </xf>
    <xf numFmtId="0" fontId="15" fillId="0" borderId="16" xfId="0" applyFont="1" applyBorder="1" applyAlignment="1">
      <alignment horizontal="center"/>
    </xf>
    <xf numFmtId="0" fontId="12" fillId="0" borderId="12" xfId="0" applyFont="1" applyBorder="1" applyAlignment="1">
      <alignment horizontal="center"/>
    </xf>
    <xf numFmtId="10" fontId="5" fillId="6" borderId="16" xfId="1" applyNumberFormat="1" applyFont="1" applyFill="1" applyBorder="1" applyAlignment="1">
      <alignment horizontal="center"/>
    </xf>
    <xf numFmtId="0" fontId="12" fillId="6" borderId="12" xfId="0" applyFont="1" applyFill="1" applyBorder="1" applyAlignment="1">
      <alignment horizontal="center"/>
    </xf>
    <xf numFmtId="10" fontId="5" fillId="6" borderId="0" xfId="1" applyNumberFormat="1" applyFont="1" applyFill="1"/>
    <xf numFmtId="17" fontId="13" fillId="0" borderId="0" xfId="0" applyNumberFormat="1" applyFont="1" applyAlignment="1">
      <alignment vertical="center"/>
    </xf>
    <xf numFmtId="1" fontId="37" fillId="0" borderId="0" xfId="0" applyNumberFormat="1" applyFont="1" applyAlignment="1">
      <alignment horizontal="center" vertical="center"/>
    </xf>
    <xf numFmtId="0" fontId="12" fillId="5" borderId="9" xfId="0" applyFont="1" applyFill="1" applyBorder="1" applyAlignment="1">
      <alignment horizontal="right"/>
    </xf>
    <xf numFmtId="0" fontId="13" fillId="2" borderId="0" xfId="0" applyFont="1" applyFill="1"/>
    <xf numFmtId="3" fontId="15" fillId="7" borderId="0" xfId="0" applyNumberFormat="1" applyFont="1" applyFill="1"/>
    <xf numFmtId="0" fontId="12" fillId="7" borderId="0" xfId="0" applyFont="1" applyFill="1"/>
    <xf numFmtId="0" fontId="15" fillId="5" borderId="9" xfId="0" applyFont="1" applyFill="1" applyBorder="1" applyAlignment="1">
      <alignment horizontal="right"/>
    </xf>
    <xf numFmtId="10" fontId="15" fillId="0" borderId="9" xfId="0" applyNumberFormat="1" applyFont="1" applyBorder="1" applyAlignment="1">
      <alignment horizontal="center"/>
    </xf>
    <xf numFmtId="3" fontId="15" fillId="8" borderId="0" xfId="0" applyNumberFormat="1" applyFont="1" applyFill="1"/>
    <xf numFmtId="9" fontId="12" fillId="0" borderId="0" xfId="0" applyNumberFormat="1" applyFont="1"/>
    <xf numFmtId="164" fontId="15" fillId="0" borderId="9" xfId="0" applyNumberFormat="1" applyFont="1" applyBorder="1" applyAlignment="1">
      <alignment horizontal="center"/>
    </xf>
    <xf numFmtId="1" fontId="13" fillId="9" borderId="0" xfId="0" applyNumberFormat="1" applyFont="1" applyFill="1"/>
    <xf numFmtId="9" fontId="12" fillId="0" borderId="0" xfId="0" applyNumberFormat="1" applyFont="1" applyAlignment="1">
      <alignment horizontal="center"/>
    </xf>
    <xf numFmtId="10" fontId="15" fillId="0" borderId="0" xfId="0" applyNumberFormat="1" applyFont="1" applyAlignment="1">
      <alignment horizontal="center"/>
    </xf>
    <xf numFmtId="0" fontId="38" fillId="17" borderId="17" xfId="0" applyFont="1" applyFill="1" applyBorder="1" applyAlignment="1">
      <alignment horizontal="left"/>
    </xf>
    <xf numFmtId="0" fontId="38" fillId="17" borderId="22" xfId="0" applyFont="1" applyFill="1" applyBorder="1" applyAlignment="1">
      <alignment horizontal="left"/>
    </xf>
    <xf numFmtId="0" fontId="41" fillId="0" borderId="0" xfId="0" applyFont="1"/>
    <xf numFmtId="0" fontId="38" fillId="17" borderId="28" xfId="0" applyFont="1" applyFill="1" applyBorder="1" applyAlignment="1">
      <alignment horizontal="left"/>
    </xf>
    <xf numFmtId="0" fontId="0" fillId="0" borderId="0" xfId="0" applyAlignment="1">
      <alignment horizontal="left"/>
    </xf>
    <xf numFmtId="0" fontId="44" fillId="0" borderId="0" xfId="3" applyFont="1"/>
    <xf numFmtId="10" fontId="18" fillId="0" borderId="0" xfId="1" applyNumberFormat="1" applyFont="1" applyBorder="1" applyAlignment="1">
      <alignment horizontal="right"/>
    </xf>
    <xf numFmtId="3" fontId="12" fillId="5" borderId="0" xfId="0" applyNumberFormat="1" applyFont="1" applyFill="1"/>
    <xf numFmtId="9" fontId="12" fillId="0" borderId="0" xfId="1" applyFont="1"/>
    <xf numFmtId="3" fontId="15" fillId="5" borderId="0" xfId="0" applyNumberFormat="1" applyFont="1" applyFill="1"/>
    <xf numFmtId="9" fontId="16" fillId="0" borderId="0" xfId="1" applyFont="1" applyFill="1"/>
    <xf numFmtId="9" fontId="33" fillId="0" borderId="0" xfId="1" applyFont="1"/>
    <xf numFmtId="165" fontId="12" fillId="11" borderId="0" xfId="0" applyNumberFormat="1" applyFont="1" applyFill="1"/>
    <xf numFmtId="3" fontId="12" fillId="11" borderId="0" xfId="0" applyNumberFormat="1" applyFont="1" applyFill="1"/>
    <xf numFmtId="9" fontId="33" fillId="11" borderId="0" xfId="1" applyFont="1" applyFill="1"/>
    <xf numFmtId="0" fontId="14" fillId="11" borderId="9" xfId="0" applyFont="1" applyFill="1" applyBorder="1"/>
    <xf numFmtId="10" fontId="12" fillId="11" borderId="9" xfId="0" applyNumberFormat="1" applyFont="1" applyFill="1" applyBorder="1"/>
    <xf numFmtId="0" fontId="12" fillId="11" borderId="0" xfId="0" applyFont="1" applyFill="1"/>
    <xf numFmtId="3" fontId="14" fillId="11" borderId="10" xfId="0" applyNumberFormat="1" applyFont="1" applyFill="1" applyBorder="1"/>
    <xf numFmtId="0" fontId="15" fillId="11" borderId="9" xfId="0" applyFont="1" applyFill="1" applyBorder="1" applyAlignment="1">
      <alignment horizontal="right"/>
    </xf>
    <xf numFmtId="3" fontId="15" fillId="6" borderId="0" xfId="0" applyNumberFormat="1" applyFont="1" applyFill="1"/>
    <xf numFmtId="0" fontId="47" fillId="0" borderId="0" xfId="0" applyFont="1"/>
    <xf numFmtId="0" fontId="48" fillId="0" borderId="0" xfId="0" applyFont="1"/>
    <xf numFmtId="0" fontId="2" fillId="9" borderId="0" xfId="0" applyFont="1" applyFill="1" applyAlignment="1">
      <alignment horizontal="center"/>
    </xf>
    <xf numFmtId="0" fontId="2" fillId="0" borderId="0" xfId="0" applyFont="1" applyAlignment="1">
      <alignment horizontal="center"/>
    </xf>
    <xf numFmtId="17" fontId="2" fillId="9" borderId="0" xfId="0" applyNumberFormat="1" applyFont="1" applyFill="1"/>
    <xf numFmtId="1" fontId="2" fillId="9" borderId="0" xfId="0" applyNumberFormat="1" applyFont="1" applyFill="1" applyAlignment="1">
      <alignment horizontal="center"/>
    </xf>
    <xf numFmtId="0" fontId="23" fillId="0" borderId="9" xfId="0" applyFont="1" applyBorder="1" applyAlignment="1">
      <alignment horizontal="right"/>
    </xf>
    <xf numFmtId="0" fontId="0" fillId="0" borderId="9" xfId="0" applyBorder="1" applyAlignment="1">
      <alignment horizontal="center"/>
    </xf>
    <xf numFmtId="0" fontId="4" fillId="0" borderId="0" xfId="0" applyFont="1" applyAlignment="1">
      <alignment horizontal="center"/>
    </xf>
    <xf numFmtId="0" fontId="3" fillId="0" borderId="9" xfId="0" applyFont="1" applyBorder="1"/>
    <xf numFmtId="0" fontId="3" fillId="0" borderId="9" xfId="0" applyFont="1" applyBorder="1" applyAlignment="1">
      <alignment horizontal="center"/>
    </xf>
    <xf numFmtId="0" fontId="3" fillId="0" borderId="0" xfId="0" applyFont="1" applyAlignment="1">
      <alignment horizontal="center"/>
    </xf>
    <xf numFmtId="3" fontId="2" fillId="0" borderId="0" xfId="0" applyNumberFormat="1" applyFont="1"/>
    <xf numFmtId="0" fontId="0" fillId="0" borderId="9" xfId="0" applyBorder="1" applyAlignment="1">
      <alignment horizontal="right"/>
    </xf>
    <xf numFmtId="165" fontId="0" fillId="0" borderId="0" xfId="0" applyNumberFormat="1"/>
    <xf numFmtId="0" fontId="23" fillId="0" borderId="9" xfId="0" applyFont="1" applyBorder="1" applyAlignment="1">
      <alignment horizontal="center"/>
    </xf>
    <xf numFmtId="1" fontId="23" fillId="0" borderId="0" xfId="0" applyNumberFormat="1" applyFont="1" applyAlignment="1">
      <alignment horizontal="right"/>
    </xf>
    <xf numFmtId="170" fontId="2" fillId="0" borderId="0" xfId="0" applyNumberFormat="1" applyFont="1"/>
    <xf numFmtId="170" fontId="3" fillId="0" borderId="0" xfId="0" applyNumberFormat="1" applyFont="1"/>
    <xf numFmtId="0" fontId="0" fillId="0" borderId="9" xfId="0" applyBorder="1"/>
    <xf numFmtId="170" fontId="3" fillId="0" borderId="10" xfId="0" applyNumberFormat="1" applyFont="1" applyBorder="1"/>
    <xf numFmtId="0" fontId="4" fillId="0" borderId="0" xfId="0" applyFont="1"/>
    <xf numFmtId="9" fontId="49" fillId="0" borderId="0" xfId="1" applyFont="1"/>
    <xf numFmtId="170" fontId="0" fillId="0" borderId="0" xfId="0" applyNumberFormat="1"/>
    <xf numFmtId="0" fontId="2" fillId="4" borderId="0" xfId="0" applyFont="1" applyFill="1"/>
    <xf numFmtId="0" fontId="2" fillId="4" borderId="0" xfId="0" applyFont="1" applyFill="1" applyAlignment="1">
      <alignment horizontal="center"/>
    </xf>
    <xf numFmtId="3" fontId="2" fillId="4" borderId="0" xfId="0" applyNumberFormat="1" applyFont="1" applyFill="1"/>
    <xf numFmtId="0" fontId="50" fillId="0" borderId="0" xfId="0" applyFont="1"/>
    <xf numFmtId="9" fontId="50" fillId="6" borderId="0" xfId="1" applyFont="1" applyFill="1" applyAlignment="1">
      <alignment horizontal="center"/>
    </xf>
    <xf numFmtId="0" fontId="51" fillId="0" borderId="0" xfId="0" applyFont="1" applyAlignment="1">
      <alignment horizontal="right"/>
    </xf>
    <xf numFmtId="0" fontId="52" fillId="0" borderId="0" xfId="0" applyFont="1"/>
    <xf numFmtId="0" fontId="53" fillId="19" borderId="0" xfId="0" applyFont="1" applyFill="1" applyAlignment="1">
      <alignment horizontal="center"/>
    </xf>
    <xf numFmtId="17" fontId="53" fillId="19" borderId="0" xfId="0" applyNumberFormat="1" applyFont="1" applyFill="1"/>
    <xf numFmtId="0" fontId="54" fillId="0" borderId="0" xfId="0" applyFont="1" applyAlignment="1">
      <alignment horizontal="left"/>
    </xf>
    <xf numFmtId="0" fontId="55" fillId="0" borderId="0" xfId="0" applyFont="1" applyAlignment="1">
      <alignment horizontal="center"/>
    </xf>
    <xf numFmtId="3" fontId="54" fillId="0" borderId="0" xfId="0" applyNumberFormat="1" applyFont="1" applyAlignment="1">
      <alignment horizontal="right"/>
    </xf>
    <xf numFmtId="3" fontId="55" fillId="0" borderId="0" xfId="0" applyNumberFormat="1" applyFont="1"/>
    <xf numFmtId="0" fontId="55" fillId="0" borderId="0" xfId="0" applyFont="1" applyAlignment="1">
      <alignment horizontal="left"/>
    </xf>
    <xf numFmtId="165" fontId="55" fillId="0" borderId="0" xfId="0" applyNumberFormat="1" applyFont="1"/>
    <xf numFmtId="0" fontId="56" fillId="0" borderId="0" xfId="0" applyFont="1" applyAlignment="1">
      <alignment vertical="center"/>
    </xf>
    <xf numFmtId="167" fontId="54" fillId="0" borderId="33" xfId="0" applyNumberFormat="1" applyFont="1" applyBorder="1" applyAlignment="1">
      <alignment horizontal="left" vertical="center" wrapText="1"/>
    </xf>
    <xf numFmtId="167" fontId="54" fillId="0" borderId="33" xfId="0" applyNumberFormat="1" applyFont="1" applyBorder="1" applyAlignment="1">
      <alignment horizontal="center" vertical="center" wrapText="1"/>
    </xf>
    <xf numFmtId="167" fontId="54" fillId="0" borderId="33" xfId="0" applyNumberFormat="1" applyFont="1" applyBorder="1" applyAlignment="1">
      <alignment horizontal="right" vertical="center" wrapText="1"/>
    </xf>
    <xf numFmtId="0" fontId="55" fillId="0" borderId="0" xfId="0" applyFont="1" applyAlignment="1">
      <alignment vertical="center"/>
    </xf>
    <xf numFmtId="0" fontId="55" fillId="0" borderId="0" xfId="0" applyFont="1"/>
    <xf numFmtId="3" fontId="55" fillId="0" borderId="0" xfId="0" applyNumberFormat="1" applyFont="1" applyAlignment="1">
      <alignment horizontal="right"/>
    </xf>
    <xf numFmtId="167" fontId="54" fillId="0" borderId="33" xfId="0" applyNumberFormat="1" applyFont="1" applyBorder="1" applyAlignment="1">
      <alignment horizontal="left" wrapText="1"/>
    </xf>
    <xf numFmtId="167" fontId="54" fillId="0" borderId="33" xfId="0" applyNumberFormat="1" applyFont="1" applyBorder="1" applyAlignment="1">
      <alignment horizontal="center" wrapText="1"/>
    </xf>
    <xf numFmtId="167" fontId="54" fillId="0" borderId="33" xfId="0" applyNumberFormat="1" applyFont="1" applyBorder="1" applyAlignment="1">
      <alignment horizontal="right" wrapText="1"/>
    </xf>
    <xf numFmtId="0" fontId="57" fillId="0" borderId="0" xfId="0" applyFont="1"/>
    <xf numFmtId="167" fontId="55" fillId="0" borderId="0" xfId="0" applyNumberFormat="1" applyFont="1"/>
    <xf numFmtId="179" fontId="55" fillId="0" borderId="0" xfId="0" applyNumberFormat="1" applyFont="1"/>
    <xf numFmtId="0" fontId="58" fillId="0" borderId="0" xfId="0" applyFont="1"/>
    <xf numFmtId="9" fontId="56" fillId="0" borderId="0" xfId="0" applyNumberFormat="1" applyFont="1"/>
    <xf numFmtId="3" fontId="56" fillId="0" borderId="0" xfId="0" applyNumberFormat="1" applyFont="1"/>
    <xf numFmtId="0" fontId="59" fillId="0" borderId="0" xfId="0" applyFont="1"/>
    <xf numFmtId="3" fontId="59" fillId="0" borderId="0" xfId="0" applyNumberFormat="1" applyFont="1"/>
    <xf numFmtId="0" fontId="56" fillId="0" borderId="0" xfId="0" applyFont="1"/>
    <xf numFmtId="165" fontId="46" fillId="0" borderId="0" xfId="0" applyNumberFormat="1" applyFont="1"/>
    <xf numFmtId="165" fontId="10" fillId="0" borderId="0" xfId="0" applyNumberFormat="1" applyFont="1"/>
    <xf numFmtId="0" fontId="12" fillId="5" borderId="0" xfId="0" applyFont="1" applyFill="1"/>
    <xf numFmtId="3" fontId="12" fillId="0" borderId="0" xfId="0" applyNumberFormat="1" applyFont="1" applyAlignment="1">
      <alignment horizontal="center"/>
    </xf>
    <xf numFmtId="0" fontId="60" fillId="0" borderId="0" xfId="0" applyFont="1"/>
    <xf numFmtId="0" fontId="61" fillId="20" borderId="0" xfId="0" applyFont="1" applyFill="1" applyAlignment="1">
      <alignment horizontal="center" vertical="center"/>
    </xf>
    <xf numFmtId="0" fontId="60" fillId="0" borderId="34" xfId="0" applyFont="1" applyBorder="1"/>
    <xf numFmtId="0" fontId="56" fillId="0" borderId="34" xfId="0" applyFont="1" applyBorder="1" applyAlignment="1">
      <alignment horizontal="right"/>
    </xf>
    <xf numFmtId="3" fontId="10" fillId="0" borderId="0" xfId="0" applyNumberFormat="1" applyFont="1"/>
    <xf numFmtId="165" fontId="0" fillId="3" borderId="0" xfId="0" applyNumberFormat="1" applyFill="1"/>
    <xf numFmtId="0" fontId="62" fillId="0" borderId="0" xfId="0" applyFont="1"/>
    <xf numFmtId="0" fontId="0" fillId="0" borderId="35" xfId="0" applyBorder="1" applyAlignment="1">
      <alignment vertical="top" wrapText="1"/>
    </xf>
    <xf numFmtId="0" fontId="3" fillId="0" borderId="35" xfId="0" applyFont="1" applyBorder="1" applyAlignment="1">
      <alignment vertical="top" wrapText="1"/>
    </xf>
    <xf numFmtId="0" fontId="63" fillId="0" borderId="0" xfId="0" applyFont="1"/>
    <xf numFmtId="3" fontId="63" fillId="0" borderId="0" xfId="0" applyNumberFormat="1" applyFont="1"/>
    <xf numFmtId="0" fontId="30" fillId="0" borderId="0" xfId="0" applyFont="1" applyAlignment="1">
      <alignment vertical="center"/>
    </xf>
    <xf numFmtId="0" fontId="64" fillId="0" borderId="0" xfId="0" applyFont="1" applyAlignment="1">
      <alignment horizontal="center" vertical="center" wrapText="1"/>
    </xf>
    <xf numFmtId="0" fontId="30" fillId="0" borderId="15" xfId="0" applyFont="1" applyBorder="1"/>
    <xf numFmtId="0" fontId="30" fillId="0" borderId="15" xfId="0" applyFont="1" applyBorder="1" applyAlignment="1">
      <alignment horizontal="center"/>
    </xf>
    <xf numFmtId="3" fontId="65" fillId="0" borderId="0" xfId="0" applyNumberFormat="1" applyFont="1" applyAlignment="1">
      <alignment horizontal="center"/>
    </xf>
    <xf numFmtId="9" fontId="30" fillId="21" borderId="0" xfId="0" applyNumberFormat="1" applyFont="1" applyFill="1"/>
    <xf numFmtId="3" fontId="63" fillId="0" borderId="0" xfId="0" applyNumberFormat="1" applyFont="1" applyAlignment="1">
      <alignment horizontal="center"/>
    </xf>
    <xf numFmtId="9" fontId="30" fillId="0" borderId="0" xfId="0" applyNumberFormat="1" applyFont="1"/>
    <xf numFmtId="0" fontId="30" fillId="0" borderId="0" xfId="0" applyFont="1" applyAlignment="1">
      <alignment horizontal="center"/>
    </xf>
    <xf numFmtId="180" fontId="15" fillId="0" borderId="9" xfId="0" applyNumberFormat="1" applyFont="1" applyBorder="1" applyAlignment="1">
      <alignment horizontal="center"/>
    </xf>
    <xf numFmtId="3" fontId="66" fillId="0" borderId="0" xfId="0" applyNumberFormat="1" applyFont="1" applyAlignment="1">
      <alignment horizontal="right"/>
    </xf>
    <xf numFmtId="0" fontId="13" fillId="4" borderId="36" xfId="0" applyFont="1" applyFill="1" applyBorder="1"/>
    <xf numFmtId="0" fontId="68" fillId="0" borderId="0" xfId="0" applyFont="1"/>
    <xf numFmtId="0" fontId="64" fillId="19" borderId="0" xfId="0" applyFont="1" applyFill="1" applyAlignment="1">
      <alignment horizontal="center"/>
    </xf>
    <xf numFmtId="17" fontId="64" fillId="19" borderId="0" xfId="0" applyNumberFormat="1" applyFont="1" applyFill="1"/>
    <xf numFmtId="165" fontId="30" fillId="16" borderId="0" xfId="0" applyNumberFormat="1" applyFont="1" applyFill="1"/>
    <xf numFmtId="165" fontId="30" fillId="0" borderId="0" xfId="0" applyNumberFormat="1" applyFont="1"/>
    <xf numFmtId="0" fontId="64" fillId="0" borderId="0" xfId="0" applyFont="1" applyAlignment="1">
      <alignment horizontal="center"/>
    </xf>
    <xf numFmtId="17" fontId="64" fillId="0" borderId="0" xfId="0" applyNumberFormat="1" applyFont="1"/>
    <xf numFmtId="165" fontId="63" fillId="16" borderId="0" xfId="0" applyNumberFormat="1" applyFont="1" applyFill="1"/>
    <xf numFmtId="165" fontId="63" fillId="0" borderId="0" xfId="0" applyNumberFormat="1" applyFont="1"/>
    <xf numFmtId="0" fontId="68" fillId="0" borderId="0" xfId="0" applyFont="1" applyAlignment="1">
      <alignment horizontal="right"/>
    </xf>
    <xf numFmtId="9" fontId="68" fillId="0" borderId="0" xfId="0" applyNumberFormat="1" applyFont="1" applyAlignment="1">
      <alignment horizontal="center"/>
    </xf>
    <xf numFmtId="165" fontId="68" fillId="0" borderId="0" xfId="0" applyNumberFormat="1" applyFont="1"/>
    <xf numFmtId="0" fontId="68" fillId="22" borderId="0" xfId="0" applyFont="1" applyFill="1" applyAlignment="1">
      <alignment horizontal="right"/>
    </xf>
    <xf numFmtId="0" fontId="68" fillId="22" borderId="0" xfId="0" applyFont="1" applyFill="1" applyAlignment="1">
      <alignment horizontal="center"/>
    </xf>
    <xf numFmtId="165" fontId="63" fillId="22" borderId="0" xfId="0" applyNumberFormat="1" applyFont="1" applyFill="1"/>
    <xf numFmtId="9" fontId="70" fillId="22" borderId="0" xfId="0" applyNumberFormat="1" applyFont="1" applyFill="1"/>
    <xf numFmtId="0" fontId="56" fillId="0" borderId="0" xfId="0" applyFont="1" applyAlignment="1">
      <alignment horizontal="right"/>
    </xf>
    <xf numFmtId="0" fontId="15" fillId="0" borderId="0" xfId="0" applyFont="1" applyAlignment="1">
      <alignment horizontal="center"/>
    </xf>
    <xf numFmtId="10" fontId="33" fillId="0" borderId="0" xfId="0" applyNumberFormat="1" applyFont="1"/>
    <xf numFmtId="0" fontId="69" fillId="0" borderId="0" xfId="0" applyFont="1"/>
    <xf numFmtId="167" fontId="67" fillId="0" borderId="0" xfId="0" applyNumberFormat="1" applyFont="1"/>
    <xf numFmtId="0" fontId="56" fillId="0" borderId="0" xfId="2" applyFont="1" applyAlignment="1">
      <alignment horizontal="left"/>
    </xf>
    <xf numFmtId="10" fontId="18" fillId="0" borderId="0" xfId="1" applyNumberFormat="1" applyFont="1" applyBorder="1" applyAlignment="1">
      <alignment horizontal="left"/>
    </xf>
    <xf numFmtId="0" fontId="18" fillId="0" borderId="0" xfId="3" applyFont="1" applyAlignment="1">
      <alignment horizontal="left" vertical="center"/>
    </xf>
    <xf numFmtId="0" fontId="49" fillId="0" borderId="0" xfId="3" applyFont="1" applyAlignment="1">
      <alignment horizontal="left" vertical="center"/>
    </xf>
    <xf numFmtId="0" fontId="36" fillId="0" borderId="0" xfId="0" applyFont="1" applyAlignment="1">
      <alignment horizontal="center"/>
    </xf>
    <xf numFmtId="9" fontId="33" fillId="4" borderId="0" xfId="1" applyFont="1" applyFill="1"/>
    <xf numFmtId="9" fontId="14" fillId="3" borderId="0" xfId="1" applyFont="1" applyFill="1"/>
    <xf numFmtId="0" fontId="71" fillId="0" borderId="0" xfId="14" applyFont="1"/>
    <xf numFmtId="0" fontId="12" fillId="0" borderId="0" xfId="0" applyFont="1" applyAlignment="1">
      <alignment horizontal="left"/>
    </xf>
    <xf numFmtId="0" fontId="11" fillId="0" borderId="9" xfId="0" applyFont="1" applyBorder="1" applyAlignment="1">
      <alignment horizontal="center"/>
    </xf>
    <xf numFmtId="0" fontId="12" fillId="6" borderId="0" xfId="0" applyFont="1" applyFill="1"/>
    <xf numFmtId="10" fontId="33" fillId="6" borderId="0" xfId="0" applyNumberFormat="1" applyFont="1" applyFill="1"/>
    <xf numFmtId="0" fontId="33" fillId="6" borderId="0" xfId="0" applyFont="1" applyFill="1"/>
    <xf numFmtId="0" fontId="16" fillId="0" borderId="0" xfId="0" applyFont="1" applyAlignment="1">
      <alignment horizontal="center"/>
    </xf>
    <xf numFmtId="0" fontId="12" fillId="11" borderId="9" xfId="0" applyFont="1" applyFill="1" applyBorder="1" applyAlignment="1">
      <alignment horizontal="center"/>
    </xf>
    <xf numFmtId="177" fontId="16" fillId="0" borderId="0" xfId="12" applyNumberFormat="1" applyFont="1"/>
    <xf numFmtId="177" fontId="16" fillId="0" borderId="0" xfId="1" applyNumberFormat="1" applyFont="1"/>
    <xf numFmtId="0" fontId="16" fillId="3" borderId="0" xfId="0" applyFont="1" applyFill="1" applyAlignment="1">
      <alignment horizontal="center"/>
    </xf>
    <xf numFmtId="0" fontId="72" fillId="0" borderId="0" xfId="0" applyFont="1"/>
    <xf numFmtId="0" fontId="35" fillId="0" borderId="0" xfId="0" applyFont="1"/>
    <xf numFmtId="177" fontId="16" fillId="3" borderId="0" xfId="12" applyNumberFormat="1" applyFont="1" applyFill="1"/>
    <xf numFmtId="0" fontId="31" fillId="0" borderId="0" xfId="13"/>
    <xf numFmtId="2" fontId="16" fillId="0" borderId="0" xfId="0" applyNumberFormat="1" applyFont="1"/>
    <xf numFmtId="1" fontId="16" fillId="0" borderId="0" xfId="0" applyNumberFormat="1" applyFont="1"/>
    <xf numFmtId="43" fontId="16" fillId="0" borderId="0" xfId="12" applyFont="1"/>
    <xf numFmtId="0" fontId="16" fillId="6" borderId="0" xfId="0" applyFont="1" applyFill="1"/>
    <xf numFmtId="0" fontId="16" fillId="6" borderId="0" xfId="0" applyFont="1" applyFill="1" applyAlignment="1">
      <alignment horizontal="right"/>
    </xf>
    <xf numFmtId="0" fontId="16" fillId="6" borderId="0" xfId="0" applyFont="1" applyFill="1" applyAlignment="1">
      <alignment horizontal="center"/>
    </xf>
    <xf numFmtId="177" fontId="16" fillId="6" borderId="0" xfId="12" applyNumberFormat="1" applyFont="1" applyFill="1"/>
    <xf numFmtId="9" fontId="16" fillId="6" borderId="0" xfId="1" applyFont="1" applyFill="1"/>
    <xf numFmtId="2" fontId="16" fillId="6" borderId="0" xfId="0" applyNumberFormat="1" applyFont="1" applyFill="1"/>
    <xf numFmtId="43" fontId="16" fillId="6" borderId="0" xfId="12" applyFont="1" applyFill="1"/>
    <xf numFmtId="43" fontId="16" fillId="0" borderId="0" xfId="12" applyFont="1" applyFill="1"/>
    <xf numFmtId="177" fontId="16" fillId="0" borderId="0" xfId="12" applyNumberFormat="1" applyFont="1" applyAlignment="1">
      <alignment horizontal="right"/>
    </xf>
    <xf numFmtId="177" fontId="12" fillId="0" borderId="0" xfId="12" applyNumberFormat="1" applyFont="1"/>
    <xf numFmtId="3" fontId="0" fillId="23" borderId="0" xfId="0" applyNumberFormat="1" applyFill="1"/>
    <xf numFmtId="3" fontId="0" fillId="6" borderId="0" xfId="0" applyNumberFormat="1" applyFill="1"/>
    <xf numFmtId="165" fontId="30" fillId="3" borderId="0" xfId="0" applyNumberFormat="1" applyFont="1" applyFill="1"/>
    <xf numFmtId="3" fontId="37" fillId="0" borderId="0" xfId="0" applyNumberFormat="1" applyFont="1"/>
    <xf numFmtId="165" fontId="55" fillId="3" borderId="0" xfId="0" applyNumberFormat="1" applyFont="1" applyFill="1"/>
    <xf numFmtId="0" fontId="42" fillId="0" borderId="44" xfId="0" applyFont="1" applyBorder="1"/>
    <xf numFmtId="0" fontId="42" fillId="0" borderId="44" xfId="0" applyFont="1" applyBorder="1" applyAlignment="1">
      <alignment horizontal="center"/>
    </xf>
    <xf numFmtId="0" fontId="42" fillId="0" borderId="44" xfId="0" applyFont="1" applyBorder="1" applyAlignment="1">
      <alignment horizontal="center" wrapText="1"/>
    </xf>
    <xf numFmtId="0" fontId="42" fillId="0" borderId="45" xfId="0" applyFont="1" applyBorder="1" applyAlignment="1">
      <alignment horizontal="center" wrapText="1"/>
    </xf>
    <xf numFmtId="0" fontId="43" fillId="0" borderId="44" xfId="0" applyFont="1" applyBorder="1"/>
    <xf numFmtId="0" fontId="43" fillId="0" borderId="44" xfId="0" applyFont="1" applyBorder="1" applyAlignment="1">
      <alignment horizontal="center"/>
    </xf>
    <xf numFmtId="2" fontId="43" fillId="0" borderId="44" xfId="0" applyNumberFormat="1" applyFont="1" applyBorder="1" applyAlignment="1">
      <alignment horizontal="center"/>
    </xf>
    <xf numFmtId="10" fontId="43" fillId="0" borderId="44" xfId="0" applyNumberFormat="1" applyFont="1" applyBorder="1" applyAlignment="1">
      <alignment horizontal="center"/>
    </xf>
    <xf numFmtId="2" fontId="43" fillId="0" borderId="45" xfId="0" applyNumberFormat="1" applyFont="1" applyBorder="1" applyAlignment="1">
      <alignment horizontal="center"/>
    </xf>
    <xf numFmtId="2" fontId="43" fillId="5" borderId="44" xfId="0" applyNumberFormat="1" applyFont="1" applyFill="1" applyBorder="1" applyAlignment="1">
      <alignment horizontal="center"/>
    </xf>
    <xf numFmtId="0" fontId="43" fillId="0" borderId="46" xfId="0" applyFont="1" applyBorder="1"/>
    <xf numFmtId="0" fontId="43" fillId="0" borderId="46" xfId="0" applyFont="1" applyBorder="1" applyAlignment="1">
      <alignment horizontal="center"/>
    </xf>
    <xf numFmtId="2" fontId="43" fillId="0" borderId="46" xfId="0" applyNumberFormat="1" applyFont="1" applyBorder="1" applyAlignment="1">
      <alignment horizontal="center"/>
    </xf>
    <xf numFmtId="10" fontId="43" fillId="0" borderId="46" xfId="0" applyNumberFormat="1" applyFont="1" applyBorder="1" applyAlignment="1">
      <alignment horizontal="center"/>
    </xf>
    <xf numFmtId="2" fontId="43" fillId="0" borderId="0" xfId="0" applyNumberFormat="1" applyFont="1" applyAlignment="1">
      <alignment horizontal="center"/>
    </xf>
    <xf numFmtId="170" fontId="1" fillId="11" borderId="12" xfId="4" applyNumberFormat="1" applyFont="1" applyFill="1" applyBorder="1" applyAlignment="1">
      <alignment horizontal="center" vertical="center"/>
    </xf>
    <xf numFmtId="170" fontId="19" fillId="2" borderId="12" xfId="3" applyNumberFormat="1" applyFont="1" applyFill="1" applyBorder="1" applyAlignment="1">
      <alignment horizontal="center" vertical="center" wrapText="1"/>
    </xf>
    <xf numFmtId="3" fontId="12" fillId="0" borderId="0" xfId="0" applyNumberFormat="1" applyFont="1" applyAlignment="1">
      <alignment horizontal="right"/>
    </xf>
    <xf numFmtId="9" fontId="74" fillId="24" borderId="0" xfId="1" applyFont="1" applyFill="1"/>
    <xf numFmtId="0" fontId="12" fillId="6" borderId="47" xfId="0" applyFont="1" applyFill="1" applyBorder="1" applyAlignment="1">
      <alignment horizontal="center" vertical="center"/>
    </xf>
    <xf numFmtId="0" fontId="12" fillId="6" borderId="48" xfId="0" applyFont="1" applyFill="1" applyBorder="1" applyAlignment="1">
      <alignment horizontal="center" vertical="center"/>
    </xf>
    <xf numFmtId="1" fontId="13" fillId="9" borderId="49" xfId="0" applyNumberFormat="1" applyFont="1" applyFill="1" applyBorder="1" applyAlignment="1">
      <alignment horizontal="center"/>
    </xf>
    <xf numFmtId="1" fontId="13" fillId="9" borderId="40" xfId="0" applyNumberFormat="1" applyFont="1" applyFill="1" applyBorder="1" applyAlignment="1">
      <alignment horizontal="center"/>
    </xf>
    <xf numFmtId="3" fontId="12" fillId="0" borderId="49" xfId="0" applyNumberFormat="1" applyFont="1" applyBorder="1"/>
    <xf numFmtId="3" fontId="12" fillId="0" borderId="40" xfId="0" applyNumberFormat="1" applyFont="1" applyBorder="1"/>
    <xf numFmtId="9" fontId="74" fillId="24" borderId="49" xfId="1" applyFont="1" applyFill="1" applyBorder="1"/>
    <xf numFmtId="9" fontId="74" fillId="24" borderId="40" xfId="1" applyFont="1" applyFill="1" applyBorder="1"/>
    <xf numFmtId="165" fontId="12" fillId="0" borderId="49" xfId="0" applyNumberFormat="1" applyFont="1" applyBorder="1"/>
    <xf numFmtId="165" fontId="12" fillId="0" borderId="40" xfId="0" applyNumberFormat="1" applyFont="1" applyBorder="1"/>
    <xf numFmtId="0" fontId="12" fillId="0" borderId="49" xfId="0" applyFont="1" applyBorder="1"/>
    <xf numFmtId="0" fontId="12" fillId="0" borderId="40" xfId="0" applyFont="1" applyBorder="1"/>
    <xf numFmtId="3" fontId="14" fillId="0" borderId="49" xfId="0" applyNumberFormat="1" applyFont="1" applyBorder="1"/>
    <xf numFmtId="3" fontId="14" fillId="0" borderId="40" xfId="0" applyNumberFormat="1" applyFont="1" applyBorder="1"/>
    <xf numFmtId="3" fontId="14" fillId="0" borderId="50" xfId="0" applyNumberFormat="1" applyFont="1" applyBorder="1" applyAlignment="1">
      <alignment vertical="center"/>
    </xf>
    <xf numFmtId="3" fontId="14" fillId="0" borderId="51" xfId="0" applyNumberFormat="1" applyFont="1" applyBorder="1" applyAlignment="1">
      <alignment vertical="center"/>
    </xf>
    <xf numFmtId="0" fontId="12" fillId="0" borderId="52" xfId="0" applyFont="1" applyBorder="1"/>
    <xf numFmtId="9" fontId="10" fillId="0" borderId="43" xfId="1" applyFont="1" applyBorder="1"/>
    <xf numFmtId="9" fontId="6" fillId="0" borderId="0" xfId="1" applyFont="1"/>
    <xf numFmtId="3" fontId="75" fillId="0" borderId="0" xfId="0" applyNumberFormat="1" applyFont="1"/>
    <xf numFmtId="3" fontId="75" fillId="11" borderId="0" xfId="0" applyNumberFormat="1" applyFont="1" applyFill="1"/>
    <xf numFmtId="0" fontId="33" fillId="4" borderId="0" xfId="0" applyFont="1" applyFill="1"/>
    <xf numFmtId="177" fontId="16" fillId="0" borderId="0" xfId="12" applyNumberFormat="1" applyFont="1" applyFill="1"/>
    <xf numFmtId="0" fontId="76" fillId="0" borderId="0" xfId="0" applyFont="1" applyAlignment="1">
      <alignment horizontal="center"/>
    </xf>
    <xf numFmtId="0" fontId="12" fillId="0" borderId="0" xfId="0" applyFont="1" applyAlignment="1">
      <alignment horizontal="right"/>
    </xf>
    <xf numFmtId="1" fontId="12" fillId="0" borderId="9" xfId="0" applyNumberFormat="1" applyFont="1" applyBorder="1"/>
    <xf numFmtId="0" fontId="35" fillId="0" borderId="0" xfId="0" applyFont="1" applyAlignment="1">
      <alignment horizontal="center"/>
    </xf>
    <xf numFmtId="17" fontId="13" fillId="4" borderId="0" xfId="0" applyNumberFormat="1" applyFont="1" applyFill="1" applyAlignment="1">
      <alignment horizontal="center"/>
    </xf>
    <xf numFmtId="9" fontId="18" fillId="0" borderId="0" xfId="1" applyFont="1"/>
    <xf numFmtId="9" fontId="16" fillId="11" borderId="0" xfId="1" applyFont="1" applyFill="1"/>
    <xf numFmtId="1" fontId="12" fillId="0" borderId="0" xfId="0" applyNumberFormat="1" applyFont="1"/>
    <xf numFmtId="3" fontId="15" fillId="0" borderId="0" xfId="0" applyNumberFormat="1" applyFont="1" applyFill="1"/>
    <xf numFmtId="10" fontId="1" fillId="0" borderId="12" xfId="1" applyNumberFormat="1" applyFont="1" applyBorder="1" applyAlignment="1">
      <alignment horizontal="center" vertical="center"/>
    </xf>
    <xf numFmtId="164" fontId="1" fillId="0" borderId="12" xfId="1" applyNumberFormat="1" applyFont="1" applyBorder="1" applyAlignment="1">
      <alignment horizontal="center" vertical="center"/>
    </xf>
    <xf numFmtId="3" fontId="1" fillId="0" borderId="0" xfId="3" applyNumberFormat="1" applyFont="1" applyFill="1" applyAlignment="1">
      <alignment horizontal="center" vertical="center"/>
    </xf>
    <xf numFmtId="3" fontId="18" fillId="0" borderId="0" xfId="3" applyNumberFormat="1" applyFont="1" applyAlignment="1">
      <alignment horizontal="center"/>
    </xf>
    <xf numFmtId="9" fontId="1" fillId="0" borderId="12" xfId="3" applyNumberFormat="1" applyFont="1" applyBorder="1" applyAlignment="1">
      <alignment horizontal="center" vertical="center"/>
    </xf>
    <xf numFmtId="0" fontId="12" fillId="0" borderId="0" xfId="0" applyFont="1" applyAlignment="1">
      <alignment horizontal="center"/>
    </xf>
    <xf numFmtId="3" fontId="37" fillId="0" borderId="0" xfId="0" applyNumberFormat="1" applyFont="1" applyAlignment="1">
      <alignment horizontal="center" vertical="center"/>
    </xf>
    <xf numFmtId="0" fontId="37" fillId="0" borderId="0" xfId="0" applyFont="1" applyAlignment="1">
      <alignment horizontal="center"/>
    </xf>
    <xf numFmtId="0" fontId="9" fillId="0" borderId="0" xfId="3" applyFont="1" applyAlignment="1">
      <alignment horizontal="right" wrapText="1"/>
    </xf>
    <xf numFmtId="0" fontId="9" fillId="0" borderId="0" xfId="0" applyFont="1" applyAlignment="1">
      <alignment horizontal="right" wrapText="1"/>
    </xf>
    <xf numFmtId="0" fontId="2" fillId="0" borderId="0" xfId="3" applyFont="1" applyAlignment="1">
      <alignment horizontal="center" vertical="center" wrapText="1"/>
    </xf>
    <xf numFmtId="0" fontId="41" fillId="0" borderId="18" xfId="0" applyFont="1" applyBorder="1" applyAlignment="1">
      <alignment horizontal="center"/>
    </xf>
    <xf numFmtId="0" fontId="41" fillId="0" borderId="19" xfId="0" applyFont="1" applyBorder="1" applyAlignment="1">
      <alignment horizontal="center"/>
    </xf>
    <xf numFmtId="0" fontId="41" fillId="0" borderId="37" xfId="0" applyFont="1" applyBorder="1" applyAlignment="1">
      <alignment horizontal="center"/>
    </xf>
    <xf numFmtId="0" fontId="0" fillId="0" borderId="29" xfId="0" applyBorder="1" applyAlignment="1">
      <alignment horizontal="left" vertical="top" wrapText="1"/>
    </xf>
    <xf numFmtId="0" fontId="0" fillId="0" borderId="30" xfId="0"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0" fillId="0" borderId="0" xfId="0" applyAlignment="1">
      <alignment horizontal="left" vertical="top"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0" fillId="0" borderId="42" xfId="0" applyBorder="1" applyAlignment="1">
      <alignment horizontal="left" vertical="top" wrapText="1"/>
    </xf>
    <xf numFmtId="0" fontId="0" fillId="0" borderId="43" xfId="0" applyBorder="1" applyAlignment="1">
      <alignment horizontal="left" vertical="top" wrapText="1"/>
    </xf>
    <xf numFmtId="15" fontId="39" fillId="17" borderId="18" xfId="0" applyNumberFormat="1" applyFont="1" applyFill="1" applyBorder="1" applyAlignment="1">
      <alignment horizontal="left"/>
    </xf>
    <xf numFmtId="15" fontId="39" fillId="17" borderId="19" xfId="0" applyNumberFormat="1" applyFont="1" applyFill="1" applyBorder="1" applyAlignment="1">
      <alignment horizontal="left"/>
    </xf>
    <xf numFmtId="15" fontId="39" fillId="17" borderId="20" xfId="0" applyNumberFormat="1" applyFont="1" applyFill="1" applyBorder="1" applyAlignment="1">
      <alignment horizontal="left"/>
    </xf>
    <xf numFmtId="0" fontId="31" fillId="18" borderId="21" xfId="13" applyFill="1" applyBorder="1" applyAlignment="1">
      <alignment horizontal="center" vertical="center" wrapText="1"/>
    </xf>
    <xf numFmtId="0" fontId="31" fillId="18" borderId="26" xfId="13" applyFill="1" applyBorder="1" applyAlignment="1">
      <alignment horizontal="center" vertical="center" wrapText="1"/>
    </xf>
    <xf numFmtId="0" fontId="31" fillId="18" borderId="32" xfId="13" applyFill="1" applyBorder="1" applyAlignment="1">
      <alignment horizontal="center" vertical="center" wrapText="1"/>
    </xf>
    <xf numFmtId="0" fontId="31" fillId="17" borderId="23" xfId="13" applyFill="1" applyBorder="1" applyAlignment="1">
      <alignment horizontal="left"/>
    </xf>
    <xf numFmtId="0" fontId="31" fillId="17" borderId="24" xfId="13" applyFill="1" applyBorder="1" applyAlignment="1">
      <alignment horizontal="left"/>
    </xf>
    <xf numFmtId="0" fontId="31" fillId="17" borderId="25" xfId="13" applyFill="1" applyBorder="1" applyAlignment="1">
      <alignment horizontal="left"/>
    </xf>
    <xf numFmtId="0" fontId="40" fillId="17" borderId="23" xfId="0" applyFont="1" applyFill="1" applyBorder="1" applyAlignment="1">
      <alignment horizontal="left"/>
    </xf>
    <xf numFmtId="0" fontId="40" fillId="17" borderId="24" xfId="0" applyFont="1" applyFill="1" applyBorder="1" applyAlignment="1">
      <alignment horizontal="left"/>
    </xf>
    <xf numFmtId="0" fontId="40" fillId="17" borderId="27" xfId="0" applyFont="1" applyFill="1" applyBorder="1" applyAlignment="1">
      <alignment horizontal="left"/>
    </xf>
    <xf numFmtId="0" fontId="40" fillId="17" borderId="25" xfId="0" applyFont="1" applyFill="1" applyBorder="1" applyAlignment="1">
      <alignment horizontal="left"/>
    </xf>
    <xf numFmtId="15" fontId="31" fillId="17" borderId="23" xfId="13" applyNumberFormat="1" applyFill="1" applyBorder="1" applyAlignment="1">
      <alignment horizontal="left"/>
    </xf>
    <xf numFmtId="15" fontId="31" fillId="17" borderId="24" xfId="13" applyNumberFormat="1" applyFill="1" applyBorder="1" applyAlignment="1">
      <alignment horizontal="left"/>
    </xf>
    <xf numFmtId="15" fontId="31" fillId="17" borderId="25" xfId="13" applyNumberFormat="1" applyFill="1" applyBorder="1" applyAlignment="1">
      <alignment horizontal="left"/>
    </xf>
    <xf numFmtId="0" fontId="31" fillId="17" borderId="23" xfId="13" applyFill="1" applyBorder="1"/>
    <xf numFmtId="0" fontId="31" fillId="17" borderId="24" xfId="13" applyFill="1" applyBorder="1"/>
    <xf numFmtId="0" fontId="31" fillId="17" borderId="25" xfId="13" applyFill="1" applyBorder="1"/>
    <xf numFmtId="0" fontId="31" fillId="17" borderId="29" xfId="13" applyFill="1" applyBorder="1" applyAlignment="1">
      <alignment horizontal="left"/>
    </xf>
    <xf numFmtId="0" fontId="31" fillId="17" borderId="30" xfId="13" applyFill="1" applyBorder="1" applyAlignment="1">
      <alignment horizontal="left"/>
    </xf>
    <xf numFmtId="0" fontId="31" fillId="17" borderId="31" xfId="13" applyFill="1" applyBorder="1" applyAlignment="1">
      <alignment horizontal="left"/>
    </xf>
  </cellXfs>
  <cellStyles count="15">
    <cellStyle name="Гиперссылка" xfId="13" builtinId="8"/>
    <cellStyle name="Гиперссылка 2" xfId="8" xr:uid="{00000000-0005-0000-0000-000001000000}"/>
    <cellStyle name="Обычный" xfId="0" builtinId="0"/>
    <cellStyle name="Обычный 12" xfId="14" xr:uid="{00000000-0005-0000-0000-000003000000}"/>
    <cellStyle name="Обычный 2" xfId="2" xr:uid="{00000000-0005-0000-0000-000004000000}"/>
    <cellStyle name="Обычный 3" xfId="3" xr:uid="{00000000-0005-0000-0000-000005000000}"/>
    <cellStyle name="Обычный 3 3" xfId="11" xr:uid="{00000000-0005-0000-0000-000006000000}"/>
    <cellStyle name="Обычный 4" xfId="7" xr:uid="{00000000-0005-0000-0000-000007000000}"/>
    <cellStyle name="Обычный 5" xfId="10" xr:uid="{00000000-0005-0000-0000-000008000000}"/>
    <cellStyle name="Процентный" xfId="1" builtinId="5"/>
    <cellStyle name="Процентный 2" xfId="5" xr:uid="{00000000-0005-0000-0000-00000A000000}"/>
    <cellStyle name="Процентный 3" xfId="6" xr:uid="{00000000-0005-0000-0000-00000B000000}"/>
    <cellStyle name="Процентный 4" xfId="9" xr:uid="{00000000-0005-0000-0000-00000C000000}"/>
    <cellStyle name="Финансовый" xfId="12" builtinId="3"/>
    <cellStyle name="Финансовый 2" xfId="4" xr:uid="{00000000-0005-0000-0000-00000E000000}"/>
  </cellStyles>
  <dxfs count="1">
    <dxf>
      <font>
        <color rgb="FFFF0000"/>
      </font>
      <fill>
        <patternFill patternType="solid">
          <fgColor rgb="FFFBE4D5"/>
          <bgColor rgb="FFFBE4D5"/>
        </patternFill>
      </fill>
    </dxf>
  </dxfs>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99</xdr:col>
      <xdr:colOff>31751</xdr:colOff>
      <xdr:row>3</xdr:row>
      <xdr:rowOff>127001</xdr:rowOff>
    </xdr:from>
    <xdr:to>
      <xdr:col>100</xdr:col>
      <xdr:colOff>455084</xdr:colOff>
      <xdr:row>5</xdr:row>
      <xdr:rowOff>66887</xdr:rowOff>
    </xdr:to>
    <xdr:sp macro="" textlink="">
      <xdr:nvSpPr>
        <xdr:cNvPr id="2" name="Стрелка: влево 1">
          <a:extLst>
            <a:ext uri="{FF2B5EF4-FFF2-40B4-BE49-F238E27FC236}">
              <a16:creationId xmlns:a16="http://schemas.microsoft.com/office/drawing/2014/main" id="{B066AFF2-4E83-403D-9787-48ECB00112DF}"/>
            </a:ext>
          </a:extLst>
        </xdr:cNvPr>
        <xdr:cNvSpPr/>
      </xdr:nvSpPr>
      <xdr:spPr>
        <a:xfrm>
          <a:off x="57964918" y="793751"/>
          <a:ext cx="1703916" cy="257386"/>
        </a:xfrm>
        <a:prstGeom prst="leftArrow">
          <a:avLst>
            <a:gd name="adj1" fmla="val 41776"/>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99</xdr:col>
      <xdr:colOff>21166</xdr:colOff>
      <xdr:row>14</xdr:row>
      <xdr:rowOff>105832</xdr:rowOff>
    </xdr:from>
    <xdr:to>
      <xdr:col>100</xdr:col>
      <xdr:colOff>444500</xdr:colOff>
      <xdr:row>16</xdr:row>
      <xdr:rowOff>95249</xdr:rowOff>
    </xdr:to>
    <xdr:sp macro="" textlink="">
      <xdr:nvSpPr>
        <xdr:cNvPr id="3" name="Стрелка: влево 2">
          <a:extLst>
            <a:ext uri="{FF2B5EF4-FFF2-40B4-BE49-F238E27FC236}">
              <a16:creationId xmlns:a16="http://schemas.microsoft.com/office/drawing/2014/main" id="{F0C70ABE-7B2C-4FEA-9054-C6CA399CB044}"/>
            </a:ext>
          </a:extLst>
        </xdr:cNvPr>
        <xdr:cNvSpPr/>
      </xdr:nvSpPr>
      <xdr:spPr>
        <a:xfrm>
          <a:off x="57954333" y="2518832"/>
          <a:ext cx="1703917" cy="3069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99</xdr:col>
      <xdr:colOff>31750</xdr:colOff>
      <xdr:row>29</xdr:row>
      <xdr:rowOff>116417</xdr:rowOff>
    </xdr:from>
    <xdr:to>
      <xdr:col>100</xdr:col>
      <xdr:colOff>518583</xdr:colOff>
      <xdr:row>31</xdr:row>
      <xdr:rowOff>148167</xdr:rowOff>
    </xdr:to>
    <xdr:sp macro="" textlink="">
      <xdr:nvSpPr>
        <xdr:cNvPr id="4" name="Стрелка: влево 3">
          <a:extLst>
            <a:ext uri="{FF2B5EF4-FFF2-40B4-BE49-F238E27FC236}">
              <a16:creationId xmlns:a16="http://schemas.microsoft.com/office/drawing/2014/main" id="{56BD9143-BE0F-40F4-9624-1816AA6FC107}"/>
            </a:ext>
          </a:extLst>
        </xdr:cNvPr>
        <xdr:cNvSpPr/>
      </xdr:nvSpPr>
      <xdr:spPr>
        <a:xfrm>
          <a:off x="57964917" y="4910667"/>
          <a:ext cx="1767416" cy="3492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99</xdr:col>
      <xdr:colOff>0</xdr:colOff>
      <xdr:row>7</xdr:row>
      <xdr:rowOff>84666</xdr:rowOff>
    </xdr:from>
    <xdr:to>
      <xdr:col>100</xdr:col>
      <xdr:colOff>444500</xdr:colOff>
      <xdr:row>9</xdr:row>
      <xdr:rowOff>31750</xdr:rowOff>
    </xdr:to>
    <xdr:sp macro="" textlink="">
      <xdr:nvSpPr>
        <xdr:cNvPr id="5" name="Стрелка: влево 4">
          <a:extLst>
            <a:ext uri="{FF2B5EF4-FFF2-40B4-BE49-F238E27FC236}">
              <a16:creationId xmlns:a16="http://schemas.microsoft.com/office/drawing/2014/main" id="{7B248624-1FAD-4985-8C49-A9A23E662236}"/>
            </a:ext>
          </a:extLst>
        </xdr:cNvPr>
        <xdr:cNvSpPr/>
      </xdr:nvSpPr>
      <xdr:spPr>
        <a:xfrm>
          <a:off x="57933167" y="1386416"/>
          <a:ext cx="1725083" cy="2645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br.ru/statistics/bank_sector/int_ra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stern.nyu.edu/~adamodar/New_Home_Page/data.html" TargetMode="External"/><Relationship Id="rId2" Type="http://schemas.openxmlformats.org/officeDocument/2006/relationships/hyperlink" Target="http://www.damodaran.com/" TargetMode="External"/><Relationship Id="rId1" Type="http://schemas.openxmlformats.org/officeDocument/2006/relationships/hyperlink" Target="mailto:adamodar@stern.nyu.edu?subject=Data%20on%20website" TargetMode="External"/><Relationship Id="rId6" Type="http://schemas.openxmlformats.org/officeDocument/2006/relationships/hyperlink" Target="https://youtu.be/XOKIkHQWpDM?si=Qs3Cit3orV1CQaR2" TargetMode="External"/><Relationship Id="rId5" Type="http://schemas.openxmlformats.org/officeDocument/2006/relationships/hyperlink" Target="http://www.stern.nyu.edu/~adamodar/New_Home_Page/datafile/variable.htm" TargetMode="External"/><Relationship Id="rId4" Type="http://schemas.openxmlformats.org/officeDocument/2006/relationships/hyperlink" Target="http://www.stern.nyu.edu/~adamodar/pc/datasets/indnam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theme="9" tint="0.59999389629810485"/>
    <outlinePr summaryBelow="0"/>
  </sheetPr>
  <dimension ref="A1:DC172"/>
  <sheetViews>
    <sheetView showGridLines="0" zoomScale="80" zoomScaleNormal="80" workbookViewId="0">
      <pane xSplit="2" ySplit="3" topLeftCell="CG4" activePane="bottomRight" state="frozen"/>
      <selection pane="topRight" activeCell="C1" sqref="C1"/>
      <selection pane="bottomLeft" activeCell="A4" sqref="A4"/>
      <selection pane="bottomRight" activeCell="CX22" sqref="CX22"/>
    </sheetView>
  </sheetViews>
  <sheetFormatPr defaultColWidth="8.7109375" defaultRowHeight="12.75" outlineLevelRow="3" outlineLevelCol="1" x14ac:dyDescent="0.2"/>
  <cols>
    <col min="1" max="1" width="8.7109375" style="8"/>
    <col min="2" max="2" width="60.7109375" style="8" customWidth="1"/>
    <col min="3" max="3" width="15" style="8" customWidth="1"/>
    <col min="4" max="5" width="11.42578125" style="8" customWidth="1"/>
    <col min="6" max="6" width="9.7109375" style="8" customWidth="1" outlineLevel="1"/>
    <col min="7" max="8" width="8.42578125" style="8" customWidth="1" outlineLevel="1"/>
    <col min="9" max="9" width="8.7109375" style="8" customWidth="1" outlineLevel="1"/>
    <col min="10" max="10" width="9.140625" style="8" customWidth="1" outlineLevel="1"/>
    <col min="11" max="11" width="9.42578125" style="8" customWidth="1" outlineLevel="1"/>
    <col min="12" max="12" width="9.7109375" style="8" customWidth="1" outlineLevel="1"/>
    <col min="13" max="17" width="8.7109375" style="8" customWidth="1" outlineLevel="1"/>
    <col min="18" max="23" width="7.42578125" style="8" customWidth="1" outlineLevel="1"/>
    <col min="24" max="32" width="8.7109375" style="8" customWidth="1" outlineLevel="1"/>
    <col min="33" max="36" width="10.42578125" style="8" customWidth="1" outlineLevel="1"/>
    <col min="37" max="47" width="9.42578125" style="8" customWidth="1" outlineLevel="1"/>
    <col min="48" max="89" width="9.7109375" style="8" customWidth="1" outlineLevel="1"/>
    <col min="90" max="91" width="8.7109375" style="8" customWidth="1"/>
    <col min="92" max="92" width="11.42578125" style="8" customWidth="1"/>
    <col min="93" max="93" width="10.42578125" style="8" customWidth="1"/>
    <col min="94" max="94" width="11.42578125" style="8" bestFit="1" customWidth="1"/>
    <col min="95" max="96" width="11.28515625" style="8" customWidth="1"/>
    <col min="97" max="97" width="11.140625" style="8" bestFit="1" customWidth="1"/>
    <col min="98" max="98" width="11.140625" style="8" customWidth="1"/>
    <col min="99" max="99" width="11.140625" style="8" bestFit="1" customWidth="1"/>
    <col min="100" max="100" width="19.140625" style="180" customWidth="1"/>
    <col min="101" max="101" width="9.7109375" style="180" bestFit="1" customWidth="1"/>
    <col min="102" max="102" width="8.7109375" style="180"/>
    <col min="103" max="16384" width="8.7109375" style="8"/>
  </cols>
  <sheetData>
    <row r="1" spans="2:102" ht="13.5" thickBot="1" x14ac:dyDescent="0.25">
      <c r="F1" s="188" t="s">
        <v>284</v>
      </c>
      <c r="G1" s="188" t="s">
        <v>284</v>
      </c>
      <c r="H1" s="188" t="s">
        <v>284</v>
      </c>
      <c r="I1" s="188" t="s">
        <v>284</v>
      </c>
      <c r="J1" s="188" t="s">
        <v>284</v>
      </c>
      <c r="K1" s="188" t="s">
        <v>284</v>
      </c>
      <c r="L1" s="188" t="s">
        <v>284</v>
      </c>
      <c r="M1" s="188" t="s">
        <v>284</v>
      </c>
      <c r="N1" s="188" t="s">
        <v>284</v>
      </c>
      <c r="O1" s="188" t="s">
        <v>284</v>
      </c>
      <c r="P1" s="188" t="s">
        <v>284</v>
      </c>
      <c r="Q1" s="188" t="s">
        <v>284</v>
      </c>
      <c r="R1" s="188" t="s">
        <v>284</v>
      </c>
      <c r="S1" s="188" t="s">
        <v>284</v>
      </c>
      <c r="T1" s="188" t="s">
        <v>284</v>
      </c>
      <c r="U1" s="188" t="s">
        <v>284</v>
      </c>
      <c r="V1" s="188" t="s">
        <v>284</v>
      </c>
      <c r="W1" s="188" t="s">
        <v>284</v>
      </c>
      <c r="X1" s="188" t="s">
        <v>284</v>
      </c>
      <c r="Y1" s="188" t="s">
        <v>284</v>
      </c>
      <c r="Z1" s="188" t="s">
        <v>284</v>
      </c>
      <c r="AA1" s="188" t="s">
        <v>284</v>
      </c>
      <c r="AB1" s="188" t="s">
        <v>284</v>
      </c>
      <c r="AC1" s="188" t="s">
        <v>284</v>
      </c>
      <c r="AD1" s="188" t="s">
        <v>284</v>
      </c>
      <c r="AE1" s="188" t="s">
        <v>284</v>
      </c>
      <c r="AF1" s="188" t="s">
        <v>284</v>
      </c>
      <c r="CO1" s="446"/>
      <c r="CP1" s="234"/>
      <c r="CQ1" s="371"/>
    </row>
    <row r="2" spans="2:102" ht="27.6" customHeight="1" x14ac:dyDescent="0.2">
      <c r="B2" s="7" t="s">
        <v>49</v>
      </c>
      <c r="F2" s="5">
        <f t="shared" ref="F2:K2" si="0">YEAR(F3)</f>
        <v>2024</v>
      </c>
      <c r="G2" s="5">
        <f t="shared" si="0"/>
        <v>2024</v>
      </c>
      <c r="H2" s="5">
        <f t="shared" si="0"/>
        <v>2024</v>
      </c>
      <c r="I2" s="5">
        <f t="shared" si="0"/>
        <v>2024</v>
      </c>
      <c r="J2" s="5">
        <f t="shared" si="0"/>
        <v>2024</v>
      </c>
      <c r="K2" s="5">
        <f t="shared" si="0"/>
        <v>2024</v>
      </c>
      <c r="L2" s="5">
        <f>YEAR(L3)</f>
        <v>2024</v>
      </c>
      <c r="M2" s="5">
        <f t="shared" ref="M2:CK2" si="1">YEAR(M3)</f>
        <v>2024</v>
      </c>
      <c r="N2" s="5">
        <f t="shared" si="1"/>
        <v>2024</v>
      </c>
      <c r="O2" s="5">
        <f t="shared" si="1"/>
        <v>2024</v>
      </c>
      <c r="P2" s="5">
        <f t="shared" si="1"/>
        <v>2024</v>
      </c>
      <c r="Q2" s="5">
        <f t="shared" si="1"/>
        <v>2024</v>
      </c>
      <c r="R2" s="5">
        <f t="shared" si="1"/>
        <v>2025</v>
      </c>
      <c r="S2" s="5">
        <f t="shared" si="1"/>
        <v>2025</v>
      </c>
      <c r="T2" s="5">
        <f t="shared" si="1"/>
        <v>2025</v>
      </c>
      <c r="U2" s="5">
        <f t="shared" si="1"/>
        <v>2025</v>
      </c>
      <c r="V2" s="5">
        <f t="shared" si="1"/>
        <v>2025</v>
      </c>
      <c r="W2" s="5">
        <f t="shared" si="1"/>
        <v>2025</v>
      </c>
      <c r="X2" s="5">
        <f t="shared" si="1"/>
        <v>2025</v>
      </c>
      <c r="Y2" s="5">
        <f t="shared" si="1"/>
        <v>2025</v>
      </c>
      <c r="Z2" s="5">
        <f t="shared" si="1"/>
        <v>2025</v>
      </c>
      <c r="AA2" s="5">
        <f t="shared" si="1"/>
        <v>2025</v>
      </c>
      <c r="AB2" s="5">
        <f t="shared" si="1"/>
        <v>2025</v>
      </c>
      <c r="AC2" s="5">
        <f t="shared" si="1"/>
        <v>2025</v>
      </c>
      <c r="AD2" s="5">
        <f t="shared" si="1"/>
        <v>2026</v>
      </c>
      <c r="AE2" s="5">
        <f t="shared" si="1"/>
        <v>2026</v>
      </c>
      <c r="AF2" s="5">
        <f t="shared" si="1"/>
        <v>2026</v>
      </c>
      <c r="AG2" s="5">
        <f t="shared" si="1"/>
        <v>2026</v>
      </c>
      <c r="AH2" s="5">
        <f t="shared" si="1"/>
        <v>2026</v>
      </c>
      <c r="AI2" s="5">
        <f t="shared" si="1"/>
        <v>2026</v>
      </c>
      <c r="AJ2" s="5">
        <f t="shared" si="1"/>
        <v>2026</v>
      </c>
      <c r="AK2" s="5">
        <f t="shared" si="1"/>
        <v>2026</v>
      </c>
      <c r="AL2" s="5">
        <f t="shared" si="1"/>
        <v>2026</v>
      </c>
      <c r="AM2" s="5">
        <f t="shared" si="1"/>
        <v>2026</v>
      </c>
      <c r="AN2" s="5">
        <f t="shared" si="1"/>
        <v>2026</v>
      </c>
      <c r="AO2" s="5">
        <f t="shared" si="1"/>
        <v>2026</v>
      </c>
      <c r="AP2" s="5">
        <f t="shared" si="1"/>
        <v>2027</v>
      </c>
      <c r="AQ2" s="5">
        <f t="shared" si="1"/>
        <v>2027</v>
      </c>
      <c r="AR2" s="5">
        <f t="shared" si="1"/>
        <v>2027</v>
      </c>
      <c r="AS2" s="5">
        <f t="shared" si="1"/>
        <v>2027</v>
      </c>
      <c r="AT2" s="5">
        <f t="shared" si="1"/>
        <v>2027</v>
      </c>
      <c r="AU2" s="5">
        <f t="shared" si="1"/>
        <v>2027</v>
      </c>
      <c r="AV2" s="5">
        <f t="shared" si="1"/>
        <v>2027</v>
      </c>
      <c r="AW2" s="5">
        <f t="shared" si="1"/>
        <v>2027</v>
      </c>
      <c r="AX2" s="5">
        <f t="shared" si="1"/>
        <v>2027</v>
      </c>
      <c r="AY2" s="5">
        <f t="shared" si="1"/>
        <v>2027</v>
      </c>
      <c r="AZ2" s="5">
        <f t="shared" si="1"/>
        <v>2027</v>
      </c>
      <c r="BA2" s="5">
        <f t="shared" si="1"/>
        <v>2027</v>
      </c>
      <c r="BB2" s="5">
        <f t="shared" si="1"/>
        <v>2028</v>
      </c>
      <c r="BC2" s="5">
        <f t="shared" si="1"/>
        <v>2028</v>
      </c>
      <c r="BD2" s="5">
        <f t="shared" si="1"/>
        <v>2028</v>
      </c>
      <c r="BE2" s="5">
        <f t="shared" si="1"/>
        <v>2028</v>
      </c>
      <c r="BF2" s="5">
        <f t="shared" si="1"/>
        <v>2028</v>
      </c>
      <c r="BG2" s="5">
        <f t="shared" si="1"/>
        <v>2028</v>
      </c>
      <c r="BH2" s="5">
        <f t="shared" si="1"/>
        <v>2028</v>
      </c>
      <c r="BI2" s="5">
        <f t="shared" si="1"/>
        <v>2028</v>
      </c>
      <c r="BJ2" s="5">
        <f t="shared" si="1"/>
        <v>2028</v>
      </c>
      <c r="BK2" s="5">
        <f t="shared" si="1"/>
        <v>2028</v>
      </c>
      <c r="BL2" s="5">
        <f t="shared" si="1"/>
        <v>2028</v>
      </c>
      <c r="BM2" s="5">
        <f t="shared" si="1"/>
        <v>2028</v>
      </c>
      <c r="BN2" s="5">
        <f t="shared" si="1"/>
        <v>2029</v>
      </c>
      <c r="BO2" s="5">
        <f t="shared" si="1"/>
        <v>2029</v>
      </c>
      <c r="BP2" s="5">
        <f t="shared" si="1"/>
        <v>2029</v>
      </c>
      <c r="BQ2" s="5">
        <f t="shared" si="1"/>
        <v>2029</v>
      </c>
      <c r="BR2" s="5">
        <f t="shared" si="1"/>
        <v>2029</v>
      </c>
      <c r="BS2" s="5">
        <f t="shared" si="1"/>
        <v>2029</v>
      </c>
      <c r="BT2" s="5">
        <f t="shared" si="1"/>
        <v>2029</v>
      </c>
      <c r="BU2" s="5">
        <f t="shared" si="1"/>
        <v>2029</v>
      </c>
      <c r="BV2" s="5">
        <f t="shared" si="1"/>
        <v>2029</v>
      </c>
      <c r="BW2" s="5">
        <f t="shared" si="1"/>
        <v>2029</v>
      </c>
      <c r="BX2" s="5">
        <f t="shared" si="1"/>
        <v>2029</v>
      </c>
      <c r="BY2" s="5">
        <f t="shared" si="1"/>
        <v>2029</v>
      </c>
      <c r="BZ2" s="5">
        <f t="shared" si="1"/>
        <v>2030</v>
      </c>
      <c r="CA2" s="5">
        <f t="shared" si="1"/>
        <v>2030</v>
      </c>
      <c r="CB2" s="5">
        <f t="shared" si="1"/>
        <v>2030</v>
      </c>
      <c r="CC2" s="5">
        <f t="shared" si="1"/>
        <v>2030</v>
      </c>
      <c r="CD2" s="5">
        <f t="shared" si="1"/>
        <v>2030</v>
      </c>
      <c r="CE2" s="5">
        <f t="shared" si="1"/>
        <v>2030</v>
      </c>
      <c r="CF2" s="5">
        <f t="shared" si="1"/>
        <v>2030</v>
      </c>
      <c r="CG2" s="5">
        <f t="shared" si="1"/>
        <v>2030</v>
      </c>
      <c r="CH2" s="5">
        <f t="shared" si="1"/>
        <v>2030</v>
      </c>
      <c r="CI2" s="5">
        <f t="shared" si="1"/>
        <v>2030</v>
      </c>
      <c r="CJ2" s="5">
        <f t="shared" si="1"/>
        <v>2030</v>
      </c>
      <c r="CK2" s="5">
        <f t="shared" si="1"/>
        <v>2030</v>
      </c>
      <c r="CM2" s="189" t="s">
        <v>165</v>
      </c>
      <c r="CN2" s="189" t="s">
        <v>165</v>
      </c>
      <c r="CO2" s="422" t="s">
        <v>165</v>
      </c>
      <c r="CP2" s="423" t="s">
        <v>165</v>
      </c>
    </row>
    <row r="3" spans="2:102" x14ac:dyDescent="0.2">
      <c r="B3" s="128" t="s">
        <v>1</v>
      </c>
      <c r="C3" s="128" t="s">
        <v>2</v>
      </c>
      <c r="D3" s="102"/>
      <c r="E3" s="102"/>
      <c r="F3" s="129">
        <f>Мясо!F3</f>
        <v>45292</v>
      </c>
      <c r="G3" s="129">
        <f>Мясо!G3</f>
        <v>45323</v>
      </c>
      <c r="H3" s="129">
        <f>Мясо!H3</f>
        <v>45352</v>
      </c>
      <c r="I3" s="129">
        <f>Мясо!I3</f>
        <v>45383</v>
      </c>
      <c r="J3" s="129">
        <f>Мясо!J3</f>
        <v>45413</v>
      </c>
      <c r="K3" s="129">
        <f>Мясо!K3</f>
        <v>45444</v>
      </c>
      <c r="L3" s="129">
        <f>Мясо!L3</f>
        <v>45474</v>
      </c>
      <c r="M3" s="129">
        <f>Мясо!M3</f>
        <v>45505</v>
      </c>
      <c r="N3" s="129">
        <f>Мясо!N3</f>
        <v>45536</v>
      </c>
      <c r="O3" s="129">
        <f>Мясо!O3</f>
        <v>45566</v>
      </c>
      <c r="P3" s="129">
        <f>Мясо!P3</f>
        <v>45597</v>
      </c>
      <c r="Q3" s="129">
        <f>Мясо!Q3</f>
        <v>45627</v>
      </c>
      <c r="R3" s="129">
        <f>Мясо!R3</f>
        <v>45658</v>
      </c>
      <c r="S3" s="129">
        <f>Мясо!S3</f>
        <v>45689</v>
      </c>
      <c r="T3" s="129">
        <f>Мясо!T3</f>
        <v>45717</v>
      </c>
      <c r="U3" s="129">
        <f>Мясо!U3</f>
        <v>45748</v>
      </c>
      <c r="V3" s="129">
        <f>Мясо!V3</f>
        <v>45778</v>
      </c>
      <c r="W3" s="129">
        <f>Мясо!W3</f>
        <v>45809</v>
      </c>
      <c r="X3" s="129">
        <f>Мясо!X3</f>
        <v>45839</v>
      </c>
      <c r="Y3" s="129">
        <f>Мясо!Y3</f>
        <v>45870</v>
      </c>
      <c r="Z3" s="129">
        <f>Мясо!Z3</f>
        <v>45901</v>
      </c>
      <c r="AA3" s="129">
        <f>Мясо!AA3</f>
        <v>45931</v>
      </c>
      <c r="AB3" s="129">
        <f>Мясо!AB3</f>
        <v>45962</v>
      </c>
      <c r="AC3" s="129">
        <f>Мясо!AC3</f>
        <v>45992</v>
      </c>
      <c r="AD3" s="129">
        <f>Мясо!AD3</f>
        <v>46023</v>
      </c>
      <c r="AE3" s="129">
        <f>Мясо!AE3</f>
        <v>46054</v>
      </c>
      <c r="AF3" s="129">
        <f>Мясо!AF3</f>
        <v>46082</v>
      </c>
      <c r="AG3" s="129">
        <f>Мясо!AG3</f>
        <v>46113</v>
      </c>
      <c r="AH3" s="129">
        <f>Мясо!AH3</f>
        <v>46143</v>
      </c>
      <c r="AI3" s="129">
        <f>Мясо!AI3</f>
        <v>46174</v>
      </c>
      <c r="AJ3" s="129">
        <f>Мясо!AJ3</f>
        <v>46204</v>
      </c>
      <c r="AK3" s="129">
        <f>Мясо!AK3</f>
        <v>46235</v>
      </c>
      <c r="AL3" s="129">
        <f>Мясо!AL3</f>
        <v>46266</v>
      </c>
      <c r="AM3" s="129">
        <f>Мясо!AM3</f>
        <v>46296</v>
      </c>
      <c r="AN3" s="129">
        <f>Мясо!AN3</f>
        <v>46327</v>
      </c>
      <c r="AO3" s="129">
        <f>Мясо!AO3</f>
        <v>46357</v>
      </c>
      <c r="AP3" s="129">
        <f>Мясо!AP3</f>
        <v>46388</v>
      </c>
      <c r="AQ3" s="129">
        <f>Мясо!AQ3</f>
        <v>46419</v>
      </c>
      <c r="AR3" s="129">
        <f>Мясо!AR3</f>
        <v>46447</v>
      </c>
      <c r="AS3" s="129">
        <f>Мясо!AS3</f>
        <v>46478</v>
      </c>
      <c r="AT3" s="129">
        <f>Мясо!AT3</f>
        <v>46508</v>
      </c>
      <c r="AU3" s="129">
        <f>Мясо!AU3</f>
        <v>46539</v>
      </c>
      <c r="AV3" s="129">
        <f>Мясо!AV3</f>
        <v>46569</v>
      </c>
      <c r="AW3" s="129">
        <f>Мясо!AW3</f>
        <v>46600</v>
      </c>
      <c r="AX3" s="129">
        <f>Мясо!AX3</f>
        <v>46631</v>
      </c>
      <c r="AY3" s="129">
        <f>Мясо!AY3</f>
        <v>46661</v>
      </c>
      <c r="AZ3" s="129">
        <f>Мясо!AZ3</f>
        <v>46692</v>
      </c>
      <c r="BA3" s="129">
        <f>Мясо!BA3</f>
        <v>46722</v>
      </c>
      <c r="BB3" s="129">
        <f>Мясо!BB3</f>
        <v>46753</v>
      </c>
      <c r="BC3" s="129">
        <f>Мясо!BC3</f>
        <v>46784</v>
      </c>
      <c r="BD3" s="129">
        <f>Мясо!BD3</f>
        <v>46813</v>
      </c>
      <c r="BE3" s="129">
        <f>Мясо!BE3</f>
        <v>46844</v>
      </c>
      <c r="BF3" s="129">
        <f>Мясо!BF3</f>
        <v>46874</v>
      </c>
      <c r="BG3" s="129">
        <f>Мясо!BG3</f>
        <v>46905</v>
      </c>
      <c r="BH3" s="129">
        <f>Мясо!BH3</f>
        <v>46935</v>
      </c>
      <c r="BI3" s="129">
        <f>Мясо!BI3</f>
        <v>46966</v>
      </c>
      <c r="BJ3" s="129">
        <f>Мясо!BJ3</f>
        <v>46997</v>
      </c>
      <c r="BK3" s="129">
        <f>Мясо!BK3</f>
        <v>47027</v>
      </c>
      <c r="BL3" s="129">
        <f>Мясо!BL3</f>
        <v>47058</v>
      </c>
      <c r="BM3" s="129">
        <f>Мясо!BM3</f>
        <v>47088</v>
      </c>
      <c r="BN3" s="129">
        <f>Мясо!BN3</f>
        <v>47119</v>
      </c>
      <c r="BO3" s="129">
        <f>Мясо!BO3</f>
        <v>47150</v>
      </c>
      <c r="BP3" s="129">
        <f>Мясо!BP3</f>
        <v>47178</v>
      </c>
      <c r="BQ3" s="129">
        <f>Мясо!BQ3</f>
        <v>47209</v>
      </c>
      <c r="BR3" s="129">
        <f>Мясо!BR3</f>
        <v>47239</v>
      </c>
      <c r="BS3" s="129">
        <f>Мясо!BS3</f>
        <v>47270</v>
      </c>
      <c r="BT3" s="129">
        <f>Мясо!BT3</f>
        <v>47300</v>
      </c>
      <c r="BU3" s="129">
        <f>Мясо!BU3</f>
        <v>47331</v>
      </c>
      <c r="BV3" s="129">
        <f>Мясо!BV3</f>
        <v>47362</v>
      </c>
      <c r="BW3" s="129">
        <f>Мясо!BW3</f>
        <v>47392</v>
      </c>
      <c r="BX3" s="129">
        <f>Мясо!BX3</f>
        <v>47423</v>
      </c>
      <c r="BY3" s="129">
        <f>Мясо!BY3</f>
        <v>47453</v>
      </c>
      <c r="BZ3" s="129">
        <f>Мясо!BZ3</f>
        <v>47484</v>
      </c>
      <c r="CA3" s="129">
        <f>Мясо!CA3</f>
        <v>47515</v>
      </c>
      <c r="CB3" s="129">
        <f>Мясо!CB3</f>
        <v>47543</v>
      </c>
      <c r="CC3" s="129">
        <f>Мясо!CC3</f>
        <v>47574</v>
      </c>
      <c r="CD3" s="129">
        <f>Мясо!CD3</f>
        <v>47604</v>
      </c>
      <c r="CE3" s="129">
        <f>Мясо!CE3</f>
        <v>47635</v>
      </c>
      <c r="CF3" s="129">
        <f>Мясо!CF3</f>
        <v>47665</v>
      </c>
      <c r="CG3" s="129">
        <f>Мясо!CG3</f>
        <v>47696</v>
      </c>
      <c r="CH3" s="129">
        <f>Мясо!CH3</f>
        <v>47727</v>
      </c>
      <c r="CI3" s="129">
        <f>Мясо!CI3</f>
        <v>47757</v>
      </c>
      <c r="CJ3" s="129">
        <f>Мясо!CJ3</f>
        <v>47788</v>
      </c>
      <c r="CK3" s="129">
        <f>Мясо!CK3</f>
        <v>47818</v>
      </c>
      <c r="CM3" s="130">
        <v>2022</v>
      </c>
      <c r="CN3" s="130">
        <v>2023</v>
      </c>
      <c r="CO3" s="424">
        <f>CN3+1</f>
        <v>2024</v>
      </c>
      <c r="CP3" s="425">
        <f t="shared" ref="CP3" si="2">CO3+1</f>
        <v>2025</v>
      </c>
      <c r="CQ3" s="130">
        <f t="shared" ref="CQ3" si="3">CP3+1</f>
        <v>2026</v>
      </c>
      <c r="CR3" s="130">
        <f t="shared" ref="CR3" si="4">CQ3+1</f>
        <v>2027</v>
      </c>
      <c r="CS3" s="130">
        <f t="shared" ref="CS3" si="5">CR3+1</f>
        <v>2028</v>
      </c>
      <c r="CT3" s="130">
        <f t="shared" ref="CT3" si="6">CS3+1</f>
        <v>2029</v>
      </c>
      <c r="CU3" s="130">
        <f t="shared" ref="CU3" si="7">CT3+1</f>
        <v>2030</v>
      </c>
    </row>
    <row r="4" spans="2:102" x14ac:dyDescent="0.2">
      <c r="B4" s="90" t="s">
        <v>0</v>
      </c>
      <c r="C4" s="91" t="s">
        <v>4</v>
      </c>
      <c r="D4" s="9"/>
      <c r="E4" s="318"/>
      <c r="F4" s="10">
        <f t="shared" ref="F4:Q4" si="8">F48-F115</f>
        <v>34136.701000000001</v>
      </c>
      <c r="G4" s="10">
        <f t="shared" si="8"/>
        <v>37066.71</v>
      </c>
      <c r="H4" s="10">
        <f t="shared" si="8"/>
        <v>34252.171999999999</v>
      </c>
      <c r="I4" s="10">
        <f t="shared" si="8"/>
        <v>39736</v>
      </c>
      <c r="J4" s="10">
        <f t="shared" si="8"/>
        <v>39274.337</v>
      </c>
      <c r="K4" s="10">
        <f t="shared" si="8"/>
        <v>39882.635000000002</v>
      </c>
      <c r="L4" s="10">
        <f t="shared" si="8"/>
        <v>45652.648000000001</v>
      </c>
      <c r="M4" s="10">
        <f t="shared" si="8"/>
        <v>41983.964000000007</v>
      </c>
      <c r="N4" s="10">
        <f t="shared" si="8"/>
        <v>39774.332999999999</v>
      </c>
      <c r="O4" s="10">
        <f t="shared" si="8"/>
        <v>46117.8</v>
      </c>
      <c r="P4" s="10">
        <f t="shared" si="8"/>
        <v>43387.631000000001</v>
      </c>
      <c r="Q4" s="10">
        <f t="shared" si="8"/>
        <v>51628.665000000015</v>
      </c>
      <c r="R4" s="10">
        <f>R48-R115</f>
        <v>36962.749960375892</v>
      </c>
      <c r="S4" s="10">
        <f t="shared" ref="S4:AC4" si="9">S48-S115</f>
        <v>33932.923865967081</v>
      </c>
      <c r="T4" s="10">
        <f t="shared" si="9"/>
        <v>47325.68727042769</v>
      </c>
      <c r="U4" s="10">
        <f t="shared" si="9"/>
        <v>37984.726945051967</v>
      </c>
      <c r="V4" s="10">
        <f t="shared" si="9"/>
        <v>39091.366601035763</v>
      </c>
      <c r="W4" s="10">
        <f t="shared" si="9"/>
        <v>40246.97797931196</v>
      </c>
      <c r="X4" s="10">
        <f t="shared" si="9"/>
        <v>52341.823365274919</v>
      </c>
      <c r="Y4" s="10">
        <f t="shared" si="9"/>
        <v>50845.843739506585</v>
      </c>
      <c r="Z4" s="10">
        <f t="shared" si="9"/>
        <v>51754.045593181821</v>
      </c>
      <c r="AA4" s="10">
        <f t="shared" si="9"/>
        <v>48861.884447727272</v>
      </c>
      <c r="AB4" s="10">
        <f t="shared" si="9"/>
        <v>47352.158552272726</v>
      </c>
      <c r="AC4" s="10">
        <f t="shared" si="9"/>
        <v>55982.634581818187</v>
      </c>
      <c r="AD4" s="10">
        <f t="shared" ref="AD4:BX4" si="10">AD48-AD115</f>
        <v>34941.10933376944</v>
      </c>
      <c r="AE4" s="10">
        <f t="shared" si="10"/>
        <v>36836.191174612708</v>
      </c>
      <c r="AF4" s="10">
        <f t="shared" si="10"/>
        <v>45958.666564058207</v>
      </c>
      <c r="AG4" s="10">
        <f t="shared" si="10"/>
        <v>46135.232982954549</v>
      </c>
      <c r="AH4" s="10">
        <f t="shared" si="10"/>
        <v>49014.433877282194</v>
      </c>
      <c r="AI4" s="10">
        <f t="shared" si="10"/>
        <v>50766.910622831681</v>
      </c>
      <c r="AJ4" s="10">
        <f t="shared" si="10"/>
        <v>54010.751515007971</v>
      </c>
      <c r="AK4" s="10">
        <f t="shared" si="10"/>
        <v>72152.01098162854</v>
      </c>
      <c r="AL4" s="10">
        <f t="shared" si="10"/>
        <v>80506.540227287536</v>
      </c>
      <c r="AM4" s="10">
        <f t="shared" si="10"/>
        <v>80792.210787276941</v>
      </c>
      <c r="AN4" s="10">
        <f t="shared" si="10"/>
        <v>85482.693889701361</v>
      </c>
      <c r="AO4" s="10">
        <f t="shared" si="10"/>
        <v>101545.51302591132</v>
      </c>
      <c r="AP4" s="10">
        <f t="shared" si="10"/>
        <v>88242.907558528415</v>
      </c>
      <c r="AQ4" s="10">
        <f t="shared" si="10"/>
        <v>102364.41664165448</v>
      </c>
      <c r="AR4" s="10">
        <f t="shared" si="10"/>
        <v>123150.5729401087</v>
      </c>
      <c r="AS4" s="10">
        <f t="shared" si="10"/>
        <v>132531.79973718841</v>
      </c>
      <c r="AT4" s="10">
        <f t="shared" si="10"/>
        <v>137922.31037424321</v>
      </c>
      <c r="AU4" s="10">
        <f t="shared" si="10"/>
        <v>140683.38597104224</v>
      </c>
      <c r="AV4" s="10">
        <f t="shared" si="10"/>
        <v>143501.51695862738</v>
      </c>
      <c r="AW4" s="10">
        <f t="shared" si="10"/>
        <v>136565.45404266979</v>
      </c>
      <c r="AX4" s="10">
        <f t="shared" si="10"/>
        <v>132630.85249725031</v>
      </c>
      <c r="AY4" s="10">
        <f t="shared" si="10"/>
        <v>128827.39681746096</v>
      </c>
      <c r="AZ4" s="10">
        <f t="shared" si="10"/>
        <v>122651.49827537751</v>
      </c>
      <c r="BA4" s="10">
        <f t="shared" si="10"/>
        <v>162230.15084564363</v>
      </c>
      <c r="BB4" s="10">
        <f t="shared" si="10"/>
        <v>102451.0669527757</v>
      </c>
      <c r="BC4" s="10">
        <f t="shared" si="10"/>
        <v>119172.54974627387</v>
      </c>
      <c r="BD4" s="10">
        <f t="shared" si="10"/>
        <v>143288.65508966331</v>
      </c>
      <c r="BE4" s="10">
        <f t="shared" si="10"/>
        <v>154166.44012110989</v>
      </c>
      <c r="BF4" s="10">
        <f t="shared" si="10"/>
        <v>160434.83077105464</v>
      </c>
      <c r="BG4" s="10">
        <f t="shared" si="10"/>
        <v>163642.43268171558</v>
      </c>
      <c r="BH4" s="10">
        <f t="shared" si="10"/>
        <v>166916.41149790061</v>
      </c>
      <c r="BI4" s="10">
        <f t="shared" si="10"/>
        <v>158870.21615116933</v>
      </c>
      <c r="BJ4" s="10">
        <f t="shared" si="10"/>
        <v>154293.45800224098</v>
      </c>
      <c r="BK4" s="10">
        <f t="shared" si="10"/>
        <v>149873.34767286811</v>
      </c>
      <c r="BL4" s="10">
        <f t="shared" si="10"/>
        <v>144606.29770789907</v>
      </c>
      <c r="BM4" s="10">
        <f t="shared" si="10"/>
        <v>188723.44331017573</v>
      </c>
      <c r="BN4" s="10">
        <f t="shared" si="10"/>
        <v>119334.6801698817</v>
      </c>
      <c r="BO4" s="10">
        <f t="shared" si="10"/>
        <v>138700.79690976976</v>
      </c>
      <c r="BP4" s="10">
        <f t="shared" si="10"/>
        <v>166678.07042315361</v>
      </c>
      <c r="BQ4" s="10">
        <f t="shared" si="10"/>
        <v>179288.2062712232</v>
      </c>
      <c r="BR4" s="10">
        <f t="shared" si="10"/>
        <v>186576.94266905898</v>
      </c>
      <c r="BS4" s="10">
        <f t="shared" si="10"/>
        <v>190307.41739483745</v>
      </c>
      <c r="BT4" s="10">
        <f t="shared" si="10"/>
        <v>194115.14894100989</v>
      </c>
      <c r="BU4" s="10">
        <f t="shared" si="10"/>
        <v>184784.99063869976</v>
      </c>
      <c r="BV4" s="10">
        <f t="shared" si="10"/>
        <v>179465.24950011514</v>
      </c>
      <c r="BW4" s="10">
        <f t="shared" si="10"/>
        <v>176674.20853544131</v>
      </c>
      <c r="BX4" s="10">
        <f t="shared" si="10"/>
        <v>168212.46802952612</v>
      </c>
      <c r="BY4" s="10">
        <f t="shared" ref="BY4:CK4" si="11">BY48-BY115</f>
        <v>219541.4045386138</v>
      </c>
      <c r="BZ4" s="10">
        <f t="shared" si="11"/>
        <v>135833.53028808866</v>
      </c>
      <c r="CA4" s="10">
        <f t="shared" si="11"/>
        <v>158151.97083859699</v>
      </c>
      <c r="CB4" s="10">
        <f t="shared" si="11"/>
        <v>190292.70484886886</v>
      </c>
      <c r="CC4" s="10">
        <f t="shared" si="11"/>
        <v>204834.39259939996</v>
      </c>
      <c r="CD4" s="10">
        <f t="shared" si="11"/>
        <v>213193.58589295667</v>
      </c>
      <c r="CE4" s="10">
        <f t="shared" si="11"/>
        <v>217509.69370991446</v>
      </c>
      <c r="CF4" s="10">
        <f t="shared" si="11"/>
        <v>221915.96446980617</v>
      </c>
      <c r="CG4" s="10">
        <f t="shared" si="11"/>
        <v>211259.79737112811</v>
      </c>
      <c r="CH4" s="10">
        <f t="shared" si="11"/>
        <v>208056.22521844675</v>
      </c>
      <c r="CI4" s="10">
        <f t="shared" si="11"/>
        <v>202132.67383172901</v>
      </c>
      <c r="CJ4" s="10">
        <f t="shared" si="11"/>
        <v>192489.0229402922</v>
      </c>
      <c r="CK4" s="10">
        <f t="shared" si="11"/>
        <v>251139.74246016546</v>
      </c>
      <c r="CM4" s="10">
        <f>Мясо!CM4</f>
        <v>314534</v>
      </c>
      <c r="CN4" s="10">
        <f>Мясо!CN4</f>
        <v>336889</v>
      </c>
      <c r="CO4" s="426">
        <f>SUMIF($F$2:$CK$2,CO$3,$F4:$CK4)</f>
        <v>492893.59600000002</v>
      </c>
      <c r="CP4" s="427">
        <f>SUMIF($L$2:$CK$2,CP$3,$L4:$CK4)</f>
        <v>542682.82290195185</v>
      </c>
      <c r="CQ4" s="10">
        <f>SUMIF($L$2:$CK$2,CQ$3,$L4:$CK4)</f>
        <v>738142.26498232246</v>
      </c>
      <c r="CR4" s="10">
        <f>SUMIF($L$2:$CK$2,CR$3,$L4:$CK4)</f>
        <v>1551302.2626597949</v>
      </c>
      <c r="CS4" s="10">
        <f>SUMIF($L$2:$CK$2,CS$3,$L4:$CK4)</f>
        <v>1806439.1497048468</v>
      </c>
      <c r="CT4" s="10">
        <f t="shared" ref="CT4:CU4" si="12">SUMIF($L$2:$CK$2,CT$3,$L4:$CK4)</f>
        <v>2103679.5840213308</v>
      </c>
      <c r="CU4" s="10">
        <f t="shared" si="12"/>
        <v>2406809.3044693936</v>
      </c>
      <c r="CV4" s="460" t="s">
        <v>466</v>
      </c>
      <c r="CW4" s="460"/>
    </row>
    <row r="5" spans="2:102" x14ac:dyDescent="0.2">
      <c r="B5" s="190" t="s">
        <v>317</v>
      </c>
      <c r="C5" s="91"/>
      <c r="D5" s="9"/>
      <c r="E5" s="9"/>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M5" s="10"/>
      <c r="CN5" s="16">
        <f>CN4/CM4-1</f>
        <v>7.1073397470543753E-2</v>
      </c>
      <c r="CO5" s="428">
        <f t="shared" ref="CO5:CS5" si="13">CO4/CN4-1</f>
        <v>0.46307417576709242</v>
      </c>
      <c r="CP5" s="429">
        <f t="shared" si="13"/>
        <v>0.10101414850184387</v>
      </c>
      <c r="CQ5" s="421">
        <f t="shared" si="13"/>
        <v>0.36017252404483213</v>
      </c>
      <c r="CR5" s="421">
        <f t="shared" si="13"/>
        <v>1.1016304529004941</v>
      </c>
      <c r="CS5" s="421">
        <f t="shared" si="13"/>
        <v>0.1644662637232317</v>
      </c>
      <c r="CT5" s="421">
        <f t="shared" ref="CT5" si="14">CT4/CS4-1</f>
        <v>0.16454494709387246</v>
      </c>
      <c r="CU5" s="421">
        <f t="shared" ref="CU5" si="15">CU4/CT4-1</f>
        <v>0.14409500512839934</v>
      </c>
      <c r="CV5" s="181"/>
      <c r="CW5" s="181"/>
    </row>
    <row r="6" spans="2:102" x14ac:dyDescent="0.2">
      <c r="B6" s="90" t="s">
        <v>50</v>
      </c>
      <c r="C6" s="91" t="s">
        <v>4</v>
      </c>
      <c r="D6" s="9"/>
      <c r="E6" s="318"/>
      <c r="F6" s="11">
        <f t="shared" ref="F6:Q6" si="16">-F53/(1+F122)-F89</f>
        <v>-23332.105307619997</v>
      </c>
      <c r="G6" s="11">
        <f t="shared" si="16"/>
        <v>-24350.853333265</v>
      </c>
      <c r="H6" s="11">
        <f t="shared" si="16"/>
        <v>-22273.403403264998</v>
      </c>
      <c r="I6" s="11">
        <f t="shared" si="16"/>
        <v>-26399.856359155998</v>
      </c>
      <c r="J6" s="11">
        <f t="shared" si="16"/>
        <v>-26089.145913998</v>
      </c>
      <c r="K6" s="11">
        <f t="shared" si="16"/>
        <v>-27045.949128797001</v>
      </c>
      <c r="L6" s="11">
        <f t="shared" si="16"/>
        <v>-30249.501827870998</v>
      </c>
      <c r="M6" s="11">
        <f t="shared" si="16"/>
        <v>-28942.327116255998</v>
      </c>
      <c r="N6" s="11">
        <f t="shared" si="16"/>
        <v>-27293.007952319</v>
      </c>
      <c r="O6" s="11">
        <f t="shared" si="16"/>
        <v>-31729.796893042992</v>
      </c>
      <c r="P6" s="11">
        <f t="shared" si="16"/>
        <v>-28982.587360264999</v>
      </c>
      <c r="Q6" s="11">
        <f t="shared" si="16"/>
        <v>-34979.668438288005</v>
      </c>
      <c r="R6" s="11">
        <f>-(R54+R66)/1.1-SUM(R55:R55)/1.2-R89</f>
        <v>-25062.969696969696</v>
      </c>
      <c r="S6" s="11">
        <f t="shared" ref="S6:W6" si="17">-(S54+S66)/1.1-SUM(S55:S55)/1.2-S89</f>
        <v>-26249.060606060604</v>
      </c>
      <c r="T6" s="11">
        <f t="shared" si="17"/>
        <v>-27075.553030303032</v>
      </c>
      <c r="U6" s="11">
        <f t="shared" si="17"/>
        <v>-27339.719696969696</v>
      </c>
      <c r="V6" s="11">
        <f t="shared" si="17"/>
        <v>-27491.67413530303</v>
      </c>
      <c r="W6" s="11">
        <f t="shared" si="17"/>
        <v>-28030.43106530303</v>
      </c>
      <c r="X6" s="11">
        <f>-(X54+X66)/1.1-SUM(X55:X55)/1.2-X89</f>
        <v>-37622.642919523671</v>
      </c>
      <c r="Y6" s="11">
        <f t="shared" ref="Y6:BX6" si="18">-(Y54+Y66)/1.1-SUM(Y55:Y55)/1.2-Y89</f>
        <v>-36597.528406782956</v>
      </c>
      <c r="Z6" s="11">
        <f t="shared" si="18"/>
        <v>-37018.913962540653</v>
      </c>
      <c r="AA6" s="11">
        <f t="shared" si="18"/>
        <v>-28963.297870496968</v>
      </c>
      <c r="AB6" s="11">
        <f t="shared" si="18"/>
        <v>-27958.667956862126</v>
      </c>
      <c r="AC6" s="11">
        <f t="shared" si="18"/>
        <v>-32959.421344859104</v>
      </c>
      <c r="AD6" s="11">
        <f t="shared" si="18"/>
        <v>-22929.47783560606</v>
      </c>
      <c r="AE6" s="11">
        <f t="shared" si="18"/>
        <v>-24252.302371060599</v>
      </c>
      <c r="AF6" s="11">
        <f t="shared" si="18"/>
        <v>-30226.894568030297</v>
      </c>
      <c r="AG6" s="11">
        <f t="shared" si="18"/>
        <v>-30371.531467859848</v>
      </c>
      <c r="AH6" s="11">
        <f t="shared" si="18"/>
        <v>-31902.634091748958</v>
      </c>
      <c r="AI6" s="11">
        <f t="shared" si="18"/>
        <v>-33039.251125329785</v>
      </c>
      <c r="AJ6" s="11">
        <f t="shared" si="18"/>
        <v>-35135.395010151289</v>
      </c>
      <c r="AK6" s="11">
        <f t="shared" si="18"/>
        <v>-45152.884009114212</v>
      </c>
      <c r="AL6" s="11">
        <f t="shared" si="18"/>
        <v>-51021.971269367867</v>
      </c>
      <c r="AM6" s="11">
        <f t="shared" si="18"/>
        <v>-51784.228289629173</v>
      </c>
      <c r="AN6" s="11">
        <f t="shared" si="18"/>
        <v>-55604.573110160942</v>
      </c>
      <c r="AO6" s="11">
        <f t="shared" si="18"/>
        <v>-65772.001648077479</v>
      </c>
      <c r="AP6" s="11">
        <f t="shared" si="18"/>
        <v>-57025.688971346164</v>
      </c>
      <c r="AQ6" s="11">
        <f t="shared" si="18"/>
        <v>-67156.368376528262</v>
      </c>
      <c r="AR6" s="11">
        <f t="shared" si="18"/>
        <v>-83037.143821799837</v>
      </c>
      <c r="AS6" s="11">
        <f t="shared" si="18"/>
        <v>-90541.213064850715</v>
      </c>
      <c r="AT6" s="11">
        <f t="shared" si="18"/>
        <v>-94225.050415047648</v>
      </c>
      <c r="AU6" s="11">
        <f t="shared" si="18"/>
        <v>-97104.117985627658</v>
      </c>
      <c r="AV6" s="11">
        <f t="shared" si="18"/>
        <v>-98905.963627037898</v>
      </c>
      <c r="AW6" s="11">
        <f t="shared" si="18"/>
        <v>-92717.068177245208</v>
      </c>
      <c r="AX6" s="11">
        <f t="shared" si="18"/>
        <v>-90038.30770450733</v>
      </c>
      <c r="AY6" s="11">
        <f t="shared" si="18"/>
        <v>-87447.672867669986</v>
      </c>
      <c r="AZ6" s="11">
        <f t="shared" si="18"/>
        <v>-83243.878034704394</v>
      </c>
      <c r="BA6" s="11">
        <f t="shared" si="18"/>
        <v>-110193.8102922625</v>
      </c>
      <c r="BB6" s="11">
        <f t="shared" si="18"/>
        <v>-64436.362013630256</v>
      </c>
      <c r="BC6" s="11">
        <f t="shared" si="18"/>
        <v>-78043.974786753577</v>
      </c>
      <c r="BD6" s="11">
        <f t="shared" si="18"/>
        <v>-97348.964280833112</v>
      </c>
      <c r="BE6" s="11">
        <f t="shared" si="18"/>
        <v>-105568.54053228418</v>
      </c>
      <c r="BF6" s="11">
        <f t="shared" si="18"/>
        <v>-109572.58328031826</v>
      </c>
      <c r="BG6" s="11">
        <f t="shared" si="18"/>
        <v>-111620.57849779309</v>
      </c>
      <c r="BH6" s="11">
        <f t="shared" si="18"/>
        <v>-113710.86592810045</v>
      </c>
      <c r="BI6" s="11">
        <f t="shared" si="18"/>
        <v>-107904.53343669779</v>
      </c>
      <c r="BJ6" s="11">
        <f t="shared" si="18"/>
        <v>-104996.00453484907</v>
      </c>
      <c r="BK6" s="11">
        <f t="shared" si="18"/>
        <v>-102186.217895965</v>
      </c>
      <c r="BL6" s="11">
        <f t="shared" si="18"/>
        <v>-98550.029203896047</v>
      </c>
      <c r="BM6" s="11">
        <f t="shared" si="18"/>
        <v>-126835.13400796914</v>
      </c>
      <c r="BN6" s="11">
        <f t="shared" si="18"/>
        <v>-74932.130356142326</v>
      </c>
      <c r="BO6" s="11">
        <f t="shared" si="18"/>
        <v>-90679.691531878212</v>
      </c>
      <c r="BP6" s="11">
        <f t="shared" si="18"/>
        <v>-111912.52965713039</v>
      </c>
      <c r="BQ6" s="11">
        <f t="shared" si="18"/>
        <v>-121430.90294540302</v>
      </c>
      <c r="BR6" s="11">
        <f t="shared" si="18"/>
        <v>-126079.87446237539</v>
      </c>
      <c r="BS6" s="11">
        <f t="shared" si="18"/>
        <v>-128458.16733852105</v>
      </c>
      <c r="BT6" s="11">
        <f t="shared" si="18"/>
        <v>-130885.60697346297</v>
      </c>
      <c r="BU6" s="11">
        <f t="shared" si="18"/>
        <v>-124160.47257591697</v>
      </c>
      <c r="BV6" s="11">
        <f t="shared" si="18"/>
        <v>-120784.59779167089</v>
      </c>
      <c r="BW6" s="11">
        <f t="shared" si="18"/>
        <v>-118659.12482892758</v>
      </c>
      <c r="BX6" s="11">
        <f t="shared" si="18"/>
        <v>-113307.75557265391</v>
      </c>
      <c r="BY6" s="11">
        <f t="shared" ref="BY6:CK6" si="19">-(BY54+BY66)/1.1-SUM(BY55:BY55)/1.2-BY89</f>
        <v>-146162.76724113541</v>
      </c>
      <c r="BZ6" s="11">
        <f t="shared" si="19"/>
        <v>-85445.14197635297</v>
      </c>
      <c r="CA6" s="11">
        <f t="shared" si="19"/>
        <v>-103921.82867282903</v>
      </c>
      <c r="CB6" s="11">
        <f t="shared" si="19"/>
        <v>-127058.42969238068</v>
      </c>
      <c r="CC6" s="11">
        <f t="shared" si="19"/>
        <v>-138043.85660801886</v>
      </c>
      <c r="CD6" s="11">
        <f t="shared" si="19"/>
        <v>-143385.6346217884</v>
      </c>
      <c r="CE6" s="11">
        <f t="shared" si="19"/>
        <v>-146139.19663126543</v>
      </c>
      <c r="CF6" s="11">
        <f t="shared" si="19"/>
        <v>-148950.05309447245</v>
      </c>
      <c r="CG6" s="11">
        <f t="shared" si="19"/>
        <v>-141242.20772440534</v>
      </c>
      <c r="CH6" s="11">
        <f t="shared" si="19"/>
        <v>-138768.83108435516</v>
      </c>
      <c r="CI6" s="11">
        <f t="shared" si="19"/>
        <v>-135007.17334653222</v>
      </c>
      <c r="CJ6" s="11">
        <f t="shared" si="19"/>
        <v>-128888.84050329664</v>
      </c>
      <c r="CK6" s="11">
        <f t="shared" si="19"/>
        <v>-166535.39391125299</v>
      </c>
      <c r="CM6" s="11">
        <f>Мясо!CM5</f>
        <v>-195011.08</v>
      </c>
      <c r="CN6" s="11">
        <f>Мясо!CN5</f>
        <v>-209703</v>
      </c>
      <c r="CO6" s="430">
        <f>SUMIF($F$2:$CK$2,CO$3,$F6:$CK6)</f>
        <v>-331668.20303414296</v>
      </c>
      <c r="CP6" s="431">
        <f>SUMIF($L$2:$CK$2,CP$3,$L6:$CK6)</f>
        <v>-362369.8806919746</v>
      </c>
      <c r="CQ6" s="11">
        <f>SUMIF($L$2:$CK$2,CQ$3,$L6:$CK6)</f>
        <v>-477193.14479613653</v>
      </c>
      <c r="CR6" s="11">
        <f>SUMIF($L$2:$CK$2,CR$3,$L6:$CK6)</f>
        <v>-1051636.2833386275</v>
      </c>
      <c r="CS6" s="11">
        <f>SUMIF($L$2:$CK$2,CS$3,$L6:$CK6)</f>
        <v>-1220773.7883990898</v>
      </c>
      <c r="CT6" s="11">
        <f t="shared" ref="CT6:CU6" si="20">SUMIF($L$2:$CK$2,CT$3,$L6:$CK6)</f>
        <v>-1407453.6212752182</v>
      </c>
      <c r="CU6" s="11">
        <f t="shared" si="20"/>
        <v>-1603386.5878669501</v>
      </c>
      <c r="CV6" s="181"/>
      <c r="CW6" s="181"/>
    </row>
    <row r="7" spans="2:102" x14ac:dyDescent="0.2">
      <c r="B7" s="92"/>
      <c r="C7" s="91"/>
      <c r="D7" s="9"/>
      <c r="E7" s="9"/>
      <c r="CO7" s="432"/>
      <c r="CP7" s="433"/>
    </row>
    <row r="8" spans="2:102" s="12" customFormat="1" x14ac:dyDescent="0.2">
      <c r="B8" s="88" t="s">
        <v>51</v>
      </c>
      <c r="C8" s="89" t="s">
        <v>4</v>
      </c>
      <c r="D8" s="13"/>
      <c r="E8" s="318"/>
      <c r="F8" s="14">
        <f>SUM(F4:F6)</f>
        <v>10804.595692380004</v>
      </c>
      <c r="G8" s="14">
        <f t="shared" ref="G8:K8" si="21">SUM(G4:G6)</f>
        <v>12715.856666734999</v>
      </c>
      <c r="H8" s="14">
        <f t="shared" si="21"/>
        <v>11978.768596735001</v>
      </c>
      <c r="I8" s="14">
        <f t="shared" si="21"/>
        <v>13336.143640844002</v>
      </c>
      <c r="J8" s="14">
        <f t="shared" si="21"/>
        <v>13185.191086002</v>
      </c>
      <c r="K8" s="14">
        <f t="shared" si="21"/>
        <v>12836.685871203001</v>
      </c>
      <c r="L8" s="14">
        <f>SUM(L4:L6)</f>
        <v>15403.146172129003</v>
      </c>
      <c r="M8" s="14">
        <f t="shared" ref="M8:AW8" si="22">SUM(M4:M6)</f>
        <v>13041.63688374401</v>
      </c>
      <c r="N8" s="14">
        <f t="shared" si="22"/>
        <v>12481.325047680999</v>
      </c>
      <c r="O8" s="14">
        <f t="shared" si="22"/>
        <v>14388.00310695701</v>
      </c>
      <c r="P8" s="14">
        <f t="shared" si="22"/>
        <v>14405.043639735002</v>
      </c>
      <c r="Q8" s="14">
        <f t="shared" si="22"/>
        <v>16648.996561712011</v>
      </c>
      <c r="R8" s="14">
        <f t="shared" si="22"/>
        <v>11899.780263406195</v>
      </c>
      <c r="S8" s="14">
        <f t="shared" si="22"/>
        <v>7683.8632599064767</v>
      </c>
      <c r="T8" s="14">
        <f t="shared" si="22"/>
        <v>20250.134240124658</v>
      </c>
      <c r="U8" s="14">
        <f t="shared" si="22"/>
        <v>10645.007248082271</v>
      </c>
      <c r="V8" s="14">
        <f t="shared" si="22"/>
        <v>11599.692465732733</v>
      </c>
      <c r="W8" s="14">
        <f t="shared" si="22"/>
        <v>12216.54691400893</v>
      </c>
      <c r="X8" s="14">
        <f t="shared" si="22"/>
        <v>14719.180445751248</v>
      </c>
      <c r="Y8" s="14">
        <f t="shared" si="22"/>
        <v>14248.315332723629</v>
      </c>
      <c r="Z8" s="14">
        <f t="shared" si="22"/>
        <v>14735.131630641168</v>
      </c>
      <c r="AA8" s="14">
        <f t="shared" si="22"/>
        <v>19898.586577230304</v>
      </c>
      <c r="AB8" s="14">
        <f t="shared" si="22"/>
        <v>19393.4905954106</v>
      </c>
      <c r="AC8" s="14">
        <f t="shared" si="22"/>
        <v>23023.213236959084</v>
      </c>
      <c r="AD8" s="14">
        <f t="shared" si="22"/>
        <v>12011.63149816338</v>
      </c>
      <c r="AE8" s="14">
        <f t="shared" si="22"/>
        <v>12583.888803552109</v>
      </c>
      <c r="AF8" s="14">
        <f t="shared" si="22"/>
        <v>15731.77199602791</v>
      </c>
      <c r="AG8" s="14">
        <f t="shared" si="22"/>
        <v>15763.701515094701</v>
      </c>
      <c r="AH8" s="14">
        <f t="shared" si="22"/>
        <v>17111.799785533236</v>
      </c>
      <c r="AI8" s="14">
        <f t="shared" si="22"/>
        <v>17727.659497501896</v>
      </c>
      <c r="AJ8" s="14">
        <f t="shared" si="22"/>
        <v>18875.356504856682</v>
      </c>
      <c r="AK8" s="14">
        <f t="shared" si="22"/>
        <v>26999.126972514328</v>
      </c>
      <c r="AL8" s="14">
        <f t="shared" si="22"/>
        <v>29484.56895791967</v>
      </c>
      <c r="AM8" s="14">
        <f t="shared" si="22"/>
        <v>29007.982497647768</v>
      </c>
      <c r="AN8" s="14">
        <f t="shared" si="22"/>
        <v>29878.120779540419</v>
      </c>
      <c r="AO8" s="14">
        <f t="shared" si="22"/>
        <v>35773.511377833842</v>
      </c>
      <c r="AP8" s="14">
        <f t="shared" si="22"/>
        <v>31217.218587182251</v>
      </c>
      <c r="AQ8" s="14">
        <f t="shared" si="22"/>
        <v>35208.048265126214</v>
      </c>
      <c r="AR8" s="14">
        <f t="shared" si="22"/>
        <v>40113.429118308864</v>
      </c>
      <c r="AS8" s="14">
        <f t="shared" si="22"/>
        <v>41990.586672337697</v>
      </c>
      <c r="AT8" s="14">
        <f t="shared" si="22"/>
        <v>43697.259959195566</v>
      </c>
      <c r="AU8" s="14">
        <f t="shared" si="22"/>
        <v>43579.267985414583</v>
      </c>
      <c r="AV8" s="14">
        <f t="shared" si="22"/>
        <v>44595.553331589486</v>
      </c>
      <c r="AW8" s="14">
        <f t="shared" si="22"/>
        <v>43848.385865424585</v>
      </c>
      <c r="AX8" s="14">
        <f t="shared" ref="AX8:BU8" si="23">SUM(AX4:AX6)</f>
        <v>42592.544792742978</v>
      </c>
      <c r="AY8" s="14">
        <f t="shared" si="23"/>
        <v>41379.723949790976</v>
      </c>
      <c r="AZ8" s="14">
        <f t="shared" si="23"/>
        <v>39407.620240673117</v>
      </c>
      <c r="BA8" s="14">
        <f t="shared" si="23"/>
        <v>52036.340553381131</v>
      </c>
      <c r="BB8" s="14">
        <f t="shared" si="23"/>
        <v>38014.704939145442</v>
      </c>
      <c r="BC8" s="14">
        <f t="shared" si="23"/>
        <v>41128.574959520294</v>
      </c>
      <c r="BD8" s="14">
        <f t="shared" si="23"/>
        <v>45939.690808830201</v>
      </c>
      <c r="BE8" s="14">
        <f t="shared" si="23"/>
        <v>48597.899588825705</v>
      </c>
      <c r="BF8" s="14">
        <f t="shared" si="23"/>
        <v>50862.247490736379</v>
      </c>
      <c r="BG8" s="14">
        <f t="shared" si="23"/>
        <v>52021.854183922493</v>
      </c>
      <c r="BH8" s="14">
        <f t="shared" si="23"/>
        <v>53205.545569800161</v>
      </c>
      <c r="BI8" s="14">
        <f t="shared" si="23"/>
        <v>50965.682714471535</v>
      </c>
      <c r="BJ8" s="14">
        <f t="shared" si="23"/>
        <v>49297.453467391912</v>
      </c>
      <c r="BK8" s="14">
        <f t="shared" si="23"/>
        <v>47687.129776903108</v>
      </c>
      <c r="BL8" s="14">
        <f t="shared" si="23"/>
        <v>46056.268504003019</v>
      </c>
      <c r="BM8" s="14">
        <f t="shared" si="23"/>
        <v>61888.309302206588</v>
      </c>
      <c r="BN8" s="14">
        <f t="shared" si="23"/>
        <v>44402.549813739373</v>
      </c>
      <c r="BO8" s="14">
        <f t="shared" si="23"/>
        <v>48021.105377891552</v>
      </c>
      <c r="BP8" s="14">
        <f t="shared" si="23"/>
        <v>54765.540766023216</v>
      </c>
      <c r="BQ8" s="14">
        <f t="shared" si="23"/>
        <v>57857.303325820176</v>
      </c>
      <c r="BR8" s="14">
        <f t="shared" si="23"/>
        <v>60497.068206683587</v>
      </c>
      <c r="BS8" s="14">
        <f t="shared" si="23"/>
        <v>61849.250056316407</v>
      </c>
      <c r="BT8" s="14">
        <f t="shared" si="23"/>
        <v>63229.541967546917</v>
      </c>
      <c r="BU8" s="14">
        <f t="shared" si="23"/>
        <v>60624.518062782794</v>
      </c>
      <c r="BV8" s="14">
        <f t="shared" ref="BV8:BX8" si="24">SUM(BV4:BV6)</f>
        <v>58680.651708444246</v>
      </c>
      <c r="BW8" s="14">
        <f t="shared" si="24"/>
        <v>58015.083706513731</v>
      </c>
      <c r="BX8" s="14">
        <f t="shared" si="24"/>
        <v>54904.712456872207</v>
      </c>
      <c r="BY8" s="14">
        <f t="shared" ref="BY8:CK8" si="25">SUM(BY4:BY6)</f>
        <v>73378.637297478388</v>
      </c>
      <c r="BZ8" s="14">
        <f t="shared" si="25"/>
        <v>50388.388311735689</v>
      </c>
      <c r="CA8" s="14">
        <f t="shared" si="25"/>
        <v>54230.14216576796</v>
      </c>
      <c r="CB8" s="14">
        <f t="shared" si="25"/>
        <v>63234.275156488176</v>
      </c>
      <c r="CC8" s="14">
        <f t="shared" si="25"/>
        <v>66790.535991381097</v>
      </c>
      <c r="CD8" s="14">
        <f t="shared" si="25"/>
        <v>69807.951271168276</v>
      </c>
      <c r="CE8" s="14">
        <f t="shared" si="25"/>
        <v>71370.49707864903</v>
      </c>
      <c r="CF8" s="14">
        <f t="shared" si="25"/>
        <v>72965.91137533373</v>
      </c>
      <c r="CG8" s="14">
        <f t="shared" si="25"/>
        <v>70017.589646722772</v>
      </c>
      <c r="CH8" s="14">
        <f t="shared" si="25"/>
        <v>69287.394134091592</v>
      </c>
      <c r="CI8" s="14">
        <f t="shared" si="25"/>
        <v>67125.500485196797</v>
      </c>
      <c r="CJ8" s="14">
        <f t="shared" si="25"/>
        <v>63600.182436995558</v>
      </c>
      <c r="CK8" s="14">
        <f t="shared" si="25"/>
        <v>84604.348548912472</v>
      </c>
      <c r="CM8" s="14">
        <f t="shared" ref="CM8" si="26">SUM(CM4:CM6)</f>
        <v>119522.92000000001</v>
      </c>
      <c r="CN8" s="14">
        <f t="shared" ref="CN8" si="27">SUM(CN4:CN6)</f>
        <v>127186.07107339747</v>
      </c>
      <c r="CO8" s="434">
        <f>SUM(CO4,CO6)</f>
        <v>161225.39296585706</v>
      </c>
      <c r="CP8" s="435">
        <f t="shared" ref="CP8:CS8" si="28">SUM(CP4,CP6)</f>
        <v>180312.94220997725</v>
      </c>
      <c r="CQ8" s="14">
        <f t="shared" si="28"/>
        <v>260949.12018618593</v>
      </c>
      <c r="CR8" s="14">
        <f t="shared" si="28"/>
        <v>499665.97932116734</v>
      </c>
      <c r="CS8" s="14">
        <f t="shared" si="28"/>
        <v>585665.36130575696</v>
      </c>
      <c r="CT8" s="14">
        <f t="shared" ref="CT8:CU8" si="29">SUM(CT4,CT6)</f>
        <v>696225.96274611261</v>
      </c>
      <c r="CU8" s="14">
        <f t="shared" si="29"/>
        <v>803422.71660244348</v>
      </c>
      <c r="CV8" s="460" t="s">
        <v>464</v>
      </c>
      <c r="CW8" s="460"/>
      <c r="CX8" s="156"/>
    </row>
    <row r="9" spans="2:102" s="5" customFormat="1" x14ac:dyDescent="0.2">
      <c r="B9" s="191" t="s">
        <v>58</v>
      </c>
      <c r="C9" s="192" t="s">
        <v>59</v>
      </c>
      <c r="D9" s="15"/>
      <c r="E9" s="15"/>
      <c r="F9" s="16">
        <f t="shared" ref="F9:K9" si="30">F8/F4</f>
        <v>0.3165096619143134</v>
      </c>
      <c r="G9" s="16">
        <f t="shared" si="30"/>
        <v>0.34305328600069979</v>
      </c>
      <c r="H9" s="16">
        <f t="shared" si="30"/>
        <v>0.34972289047056637</v>
      </c>
      <c r="I9" s="16">
        <f t="shared" si="30"/>
        <v>0.33561867427129055</v>
      </c>
      <c r="J9" s="16">
        <f t="shared" si="30"/>
        <v>0.33572027163697249</v>
      </c>
      <c r="K9" s="16">
        <f t="shared" si="30"/>
        <v>0.32186152873808366</v>
      </c>
      <c r="L9" s="16">
        <f>L8/L4</f>
        <v>0.33739874567908967</v>
      </c>
      <c r="M9" s="16">
        <f t="shared" ref="M9:AW9" si="31">M8/M4</f>
        <v>0.31063376682925908</v>
      </c>
      <c r="N9" s="16">
        <f t="shared" si="31"/>
        <v>0.31380350357304543</v>
      </c>
      <c r="O9" s="16">
        <f t="shared" si="31"/>
        <v>0.31198372660788265</v>
      </c>
      <c r="P9" s="16">
        <f t="shared" si="31"/>
        <v>0.33200807022017409</v>
      </c>
      <c r="Q9" s="16">
        <f t="shared" si="31"/>
        <v>0.32247582930358565</v>
      </c>
      <c r="R9" s="16">
        <f t="shared" si="31"/>
        <v>0.32193979820664786</v>
      </c>
      <c r="S9" s="16">
        <f t="shared" si="31"/>
        <v>0.22644271063281354</v>
      </c>
      <c r="T9" s="16">
        <f t="shared" si="31"/>
        <v>0.42788885715302272</v>
      </c>
      <c r="U9" s="16">
        <f t="shared" si="31"/>
        <v>0.28024440621835062</v>
      </c>
      <c r="V9" s="16">
        <f t="shared" si="31"/>
        <v>0.29673284600455457</v>
      </c>
      <c r="W9" s="16">
        <f t="shared" si="31"/>
        <v>0.3035394836424381</v>
      </c>
      <c r="X9" s="16">
        <f t="shared" si="31"/>
        <v>0.28121260398269537</v>
      </c>
      <c r="Y9" s="16">
        <f t="shared" si="31"/>
        <v>0.28022576251700326</v>
      </c>
      <c r="Z9" s="16">
        <f t="shared" si="31"/>
        <v>0.28471458533827937</v>
      </c>
      <c r="AA9" s="16">
        <f t="shared" si="31"/>
        <v>0.40724148898755486</v>
      </c>
      <c r="AB9" s="16">
        <f t="shared" si="31"/>
        <v>0.40955874427565636</v>
      </c>
      <c r="AC9" s="16">
        <f t="shared" si="31"/>
        <v>0.41125633705771447</v>
      </c>
      <c r="AD9" s="16">
        <f t="shared" si="31"/>
        <v>0.34376789195283308</v>
      </c>
      <c r="AE9" s="16">
        <f t="shared" si="31"/>
        <v>0.34161753434010989</v>
      </c>
      <c r="AF9" s="16">
        <f t="shared" si="31"/>
        <v>0.34230262042308424</v>
      </c>
      <c r="AG9" s="16">
        <f t="shared" si="31"/>
        <v>0.34168466258572638</v>
      </c>
      <c r="AH9" s="16">
        <f t="shared" si="31"/>
        <v>0.34911756460099441</v>
      </c>
      <c r="AI9" s="16">
        <f t="shared" si="31"/>
        <v>0.34919713017811915</v>
      </c>
      <c r="AJ9" s="16">
        <f t="shared" si="31"/>
        <v>0.3494740579495878</v>
      </c>
      <c r="AK9" s="16">
        <f t="shared" si="31"/>
        <v>0.37419784431772651</v>
      </c>
      <c r="AL9" s="16">
        <f t="shared" si="31"/>
        <v>0.36623818232255784</v>
      </c>
      <c r="AM9" s="16">
        <f t="shared" si="31"/>
        <v>0.35904429665905258</v>
      </c>
      <c r="AN9" s="16">
        <f t="shared" si="31"/>
        <v>0.34952245208945182</v>
      </c>
      <c r="AO9" s="16">
        <f t="shared" si="31"/>
        <v>0.35229041945659906</v>
      </c>
      <c r="AP9" s="16">
        <f t="shared" si="31"/>
        <v>0.35376461917324026</v>
      </c>
      <c r="AQ9" s="16">
        <f t="shared" si="31"/>
        <v>0.34394811615425391</v>
      </c>
      <c r="AR9" s="16">
        <f t="shared" si="31"/>
        <v>0.3257266950582281</v>
      </c>
      <c r="AS9" s="16">
        <f t="shared" si="31"/>
        <v>0.31683404854989788</v>
      </c>
      <c r="AT9" s="16">
        <f t="shared" si="31"/>
        <v>0.31682517382884534</v>
      </c>
      <c r="AU9" s="16">
        <f t="shared" si="31"/>
        <v>0.30976840431168456</v>
      </c>
      <c r="AV9" s="16">
        <f t="shared" si="31"/>
        <v>0.31076712132908485</v>
      </c>
      <c r="AW9" s="16">
        <f t="shared" si="31"/>
        <v>0.32107963300677916</v>
      </c>
      <c r="AX9" s="16">
        <f t="shared" ref="AX9:BU9" si="32">AX8/AX4</f>
        <v>0.32113602522177864</v>
      </c>
      <c r="AY9" s="16">
        <f t="shared" si="32"/>
        <v>0.32120282620026103</v>
      </c>
      <c r="AZ9" s="16">
        <f t="shared" si="32"/>
        <v>0.32129750386085792</v>
      </c>
      <c r="BA9" s="16">
        <f t="shared" si="32"/>
        <v>0.32075628532757705</v>
      </c>
      <c r="BB9" s="16">
        <f t="shared" si="32"/>
        <v>0.37105230887120122</v>
      </c>
      <c r="BC9" s="16">
        <f t="shared" si="32"/>
        <v>0.34511785681422202</v>
      </c>
      <c r="BD9" s="16">
        <f t="shared" si="32"/>
        <v>0.32060940749344952</v>
      </c>
      <c r="BE9" s="16">
        <f t="shared" si="32"/>
        <v>0.31523008218032555</v>
      </c>
      <c r="BF9" s="16">
        <f t="shared" si="32"/>
        <v>0.31702746371402574</v>
      </c>
      <c r="BG9" s="16">
        <f t="shared" si="32"/>
        <v>0.31789954067173376</v>
      </c>
      <c r="BH9" s="16">
        <f t="shared" si="32"/>
        <v>0.31875562799568902</v>
      </c>
      <c r="BI9" s="16">
        <f t="shared" si="32"/>
        <v>0.32080073879912335</v>
      </c>
      <c r="BJ9" s="16">
        <f t="shared" si="32"/>
        <v>0.31950449556115273</v>
      </c>
      <c r="BK9" s="16">
        <f t="shared" si="32"/>
        <v>0.31818285584032502</v>
      </c>
      <c r="BL9" s="16">
        <f t="shared" si="32"/>
        <v>0.31849420968535874</v>
      </c>
      <c r="BM9" s="16">
        <f t="shared" si="32"/>
        <v>0.32793122156260301</v>
      </c>
      <c r="BN9" s="16">
        <f t="shared" si="32"/>
        <v>0.37208420679159715</v>
      </c>
      <c r="BO9" s="16">
        <f t="shared" si="32"/>
        <v>0.34622083252435198</v>
      </c>
      <c r="BP9" s="16">
        <f t="shared" si="32"/>
        <v>0.32857076295032284</v>
      </c>
      <c r="BQ9" s="16">
        <f t="shared" si="32"/>
        <v>0.32270557293821622</v>
      </c>
      <c r="BR9" s="16">
        <f t="shared" si="32"/>
        <v>0.32424729090984367</v>
      </c>
      <c r="BS9" s="16">
        <f t="shared" si="32"/>
        <v>0.324996528790024</v>
      </c>
      <c r="BT9" s="16">
        <f t="shared" si="32"/>
        <v>0.32573213534592238</v>
      </c>
      <c r="BU9" s="16">
        <f t="shared" si="32"/>
        <v>0.32808139802500885</v>
      </c>
      <c r="BV9" s="16">
        <f t="shared" ref="BV9:BX9" si="33">BV8/BV4</f>
        <v>0.32697500976871069</v>
      </c>
      <c r="BW9" s="16">
        <f t="shared" si="33"/>
        <v>0.32837324806736434</v>
      </c>
      <c r="BX9" s="16">
        <f t="shared" si="33"/>
        <v>0.32640096837075627</v>
      </c>
      <c r="BY9" s="16">
        <f t="shared" ref="BY9:CK9" si="34">BY8/BY4</f>
        <v>0.3342359836482337</v>
      </c>
      <c r="BZ9" s="16">
        <f t="shared" si="34"/>
        <v>0.37095692208593273</v>
      </c>
      <c r="CA9" s="16">
        <f t="shared" si="34"/>
        <v>0.34289893371681646</v>
      </c>
      <c r="CB9" s="16">
        <f t="shared" si="34"/>
        <v>0.3323000490571042</v>
      </c>
      <c r="CC9" s="16">
        <f t="shared" si="34"/>
        <v>0.32607090608072403</v>
      </c>
      <c r="CD9" s="16">
        <f t="shared" si="34"/>
        <v>0.32743926595530159</v>
      </c>
      <c r="CE9" s="16">
        <f t="shared" si="34"/>
        <v>0.32812559229582439</v>
      </c>
      <c r="CF9" s="16">
        <f t="shared" si="34"/>
        <v>0.32879973980088056</v>
      </c>
      <c r="CG9" s="16">
        <f t="shared" si="34"/>
        <v>0.33142884030945186</v>
      </c>
      <c r="CH9" s="16">
        <f t="shared" si="34"/>
        <v>0.33302245131739711</v>
      </c>
      <c r="CI9" s="16">
        <f t="shared" si="34"/>
        <v>0.33208634315636321</v>
      </c>
      <c r="CJ9" s="16">
        <f t="shared" si="34"/>
        <v>0.3304093992763607</v>
      </c>
      <c r="CK9" s="16">
        <f t="shared" si="34"/>
        <v>0.33688156131772728</v>
      </c>
      <c r="CM9" s="16">
        <f t="shared" ref="CM9" si="35">CM8/CM4</f>
        <v>0.38000000000000006</v>
      </c>
      <c r="CN9" s="16">
        <f t="shared" ref="CN9:CP9" si="36">CN8/CN4</f>
        <v>0.37753108909283911</v>
      </c>
      <c r="CO9" s="428">
        <f t="shared" si="36"/>
        <v>0.32709979247905879</v>
      </c>
      <c r="CP9" s="429">
        <f t="shared" si="36"/>
        <v>0.33226211444425052</v>
      </c>
      <c r="CQ9" s="421">
        <f t="shared" ref="CQ9:CS9" si="37">CQ8/CQ4</f>
        <v>0.35352144507324118</v>
      </c>
      <c r="CR9" s="421">
        <f t="shared" si="37"/>
        <v>0.32209453395914084</v>
      </c>
      <c r="CS9" s="421">
        <f t="shared" si="37"/>
        <v>0.32420984753427678</v>
      </c>
      <c r="CT9" s="421">
        <f t="shared" ref="CT9:CU9" si="38">CT8/CT4</f>
        <v>0.33095627681817774</v>
      </c>
      <c r="CU9" s="421">
        <f t="shared" si="38"/>
        <v>0.33381236939316489</v>
      </c>
      <c r="CV9" s="182"/>
      <c r="CW9" s="182"/>
      <c r="CX9" s="182"/>
    </row>
    <row r="10" spans="2:102" x14ac:dyDescent="0.2">
      <c r="B10" s="92"/>
      <c r="C10" s="91"/>
      <c r="D10" s="9"/>
      <c r="E10" s="9"/>
      <c r="CO10" s="432"/>
      <c r="CP10" s="433"/>
    </row>
    <row r="11" spans="2:102" x14ac:dyDescent="0.2">
      <c r="B11" s="90" t="s">
        <v>52</v>
      </c>
      <c r="C11" s="91" t="s">
        <v>4</v>
      </c>
      <c r="D11" s="9"/>
      <c r="E11" s="318"/>
      <c r="F11" s="11">
        <f t="shared" ref="F11:AK11" si="39">-F63/1.2-F96</f>
        <v>-1273.4818300000002</v>
      </c>
      <c r="G11" s="11">
        <f t="shared" si="39"/>
        <v>-746.24833000000001</v>
      </c>
      <c r="H11" s="11">
        <f t="shared" si="39"/>
        <v>-986.42971</v>
      </c>
      <c r="I11" s="11">
        <f t="shared" si="39"/>
        <v>-1167.9363600000001</v>
      </c>
      <c r="J11" s="11">
        <f t="shared" si="39"/>
        <v>-1012.4308299999999</v>
      </c>
      <c r="K11" s="11">
        <f t="shared" si="39"/>
        <v>-1149.73766</v>
      </c>
      <c r="L11" s="11">
        <f t="shared" si="39"/>
        <v>-1359.5372833333333</v>
      </c>
      <c r="M11" s="11">
        <f t="shared" si="39"/>
        <v>-754.17653999999993</v>
      </c>
      <c r="N11" s="11">
        <f t="shared" si="39"/>
        <v>-1315.9880533333333</v>
      </c>
      <c r="O11" s="11">
        <f t="shared" si="39"/>
        <v>-2097.4990833333336</v>
      </c>
      <c r="P11" s="11">
        <f t="shared" si="39"/>
        <v>-976.12031000000002</v>
      </c>
      <c r="Q11" s="11">
        <f t="shared" si="39"/>
        <v>-1419.70966</v>
      </c>
      <c r="R11" s="11">
        <f t="shared" si="39"/>
        <v>-1716.4954070440895</v>
      </c>
      <c r="S11" s="11">
        <f t="shared" si="39"/>
        <v>-1686.3626823107047</v>
      </c>
      <c r="T11" s="11">
        <f t="shared" si="39"/>
        <v>-1829.5034199200261</v>
      </c>
      <c r="U11" s="11">
        <f t="shared" si="39"/>
        <v>-2225.0978390116416</v>
      </c>
      <c r="V11" s="11">
        <f t="shared" si="39"/>
        <v>-2137.9752247238844</v>
      </c>
      <c r="W11" s="11">
        <f t="shared" si="39"/>
        <v>-2390.6046757862632</v>
      </c>
      <c r="X11" s="11">
        <f t="shared" si="39"/>
        <v>-2562.3338966483334</v>
      </c>
      <c r="Y11" s="11">
        <f t="shared" si="39"/>
        <v>-2465.0146324250004</v>
      </c>
      <c r="Z11" s="11">
        <f t="shared" si="39"/>
        <v>-2475.7320160233335</v>
      </c>
      <c r="AA11" s="11">
        <f t="shared" si="39"/>
        <v>-1894.4751973450002</v>
      </c>
      <c r="AB11" s="11">
        <f t="shared" si="39"/>
        <v>-1826.6221204833332</v>
      </c>
      <c r="AC11" s="11">
        <f t="shared" si="39"/>
        <v>-2106.1282616233334</v>
      </c>
      <c r="AD11" s="11">
        <f t="shared" si="39"/>
        <v>-1477.9516255000003</v>
      </c>
      <c r="AE11" s="11">
        <f t="shared" si="39"/>
        <v>-1565.7332505000002</v>
      </c>
      <c r="AF11" s="11">
        <f t="shared" si="39"/>
        <v>-1943.0220436666666</v>
      </c>
      <c r="AG11" s="11">
        <f t="shared" si="39"/>
        <v>-1931.6536241666668</v>
      </c>
      <c r="AH11" s="11">
        <f t="shared" si="39"/>
        <v>-2398.6930560775004</v>
      </c>
      <c r="AI11" s="11">
        <f t="shared" si="39"/>
        <v>-2891.9569766808959</v>
      </c>
      <c r="AJ11" s="11">
        <f t="shared" si="39"/>
        <v>-3863.9439188201259</v>
      </c>
      <c r="AK11" s="11">
        <f t="shared" si="39"/>
        <v>-4754.9294113249562</v>
      </c>
      <c r="AL11" s="11">
        <f t="shared" ref="AL11:BQ11" si="40">-AL63/1.2-AL96</f>
        <v>-5096.2862569530944</v>
      </c>
      <c r="AM11" s="11">
        <f t="shared" si="40"/>
        <v>-4291.0618819514893</v>
      </c>
      <c r="AN11" s="11">
        <f t="shared" si="40"/>
        <v>-4085.5513981740155</v>
      </c>
      <c r="AO11" s="11">
        <f t="shared" si="40"/>
        <v>-4591.48784649559</v>
      </c>
      <c r="AP11" s="11">
        <f t="shared" si="40"/>
        <v>-4075.7386912086326</v>
      </c>
      <c r="AQ11" s="11">
        <f t="shared" si="40"/>
        <v>-4648.9459014448112</v>
      </c>
      <c r="AR11" s="11">
        <f t="shared" si="40"/>
        <v>-5490.884504906935</v>
      </c>
      <c r="AS11" s="11">
        <f t="shared" si="40"/>
        <v>-5875.5316994490277</v>
      </c>
      <c r="AT11" s="11">
        <f t="shared" si="40"/>
        <v>-6094.4839992659718</v>
      </c>
      <c r="AU11" s="11">
        <f t="shared" si="40"/>
        <v>-6207.3273039050764</v>
      </c>
      <c r="AV11" s="11">
        <f t="shared" si="40"/>
        <v>-6322.5470450067405</v>
      </c>
      <c r="AW11" s="11">
        <f t="shared" si="40"/>
        <v>-6046.2290996237862</v>
      </c>
      <c r="AX11" s="11">
        <f t="shared" si="40"/>
        <v>-5890.521306226241</v>
      </c>
      <c r="AY11" s="11">
        <f t="shared" si="40"/>
        <v>-5740.8488283084835</v>
      </c>
      <c r="AZ11" s="11">
        <f t="shared" si="40"/>
        <v>-5496.0619845274086</v>
      </c>
      <c r="BA11" s="11">
        <f t="shared" si="40"/>
        <v>-7094.8329063434394</v>
      </c>
      <c r="BB11" s="11">
        <f t="shared" si="40"/>
        <v>-4695.820418299736</v>
      </c>
      <c r="BC11" s="11">
        <f t="shared" si="40"/>
        <v>-5367.9510243611821</v>
      </c>
      <c r="BD11" s="11">
        <f t="shared" si="40"/>
        <v>-6345.3066718498421</v>
      </c>
      <c r="BE11" s="11">
        <f t="shared" si="40"/>
        <v>-6791.9122309641498</v>
      </c>
      <c r="BF11" s="11">
        <f t="shared" si="40"/>
        <v>-7046.6138498793225</v>
      </c>
      <c r="BG11" s="11">
        <f t="shared" si="40"/>
        <v>-7177.5457706905709</v>
      </c>
      <c r="BH11" s="11">
        <f t="shared" si="40"/>
        <v>-7311.2449982906601</v>
      </c>
      <c r="BI11" s="11">
        <f t="shared" si="40"/>
        <v>-6990.5508693663633</v>
      </c>
      <c r="BJ11" s="11">
        <f t="shared" si="40"/>
        <v>-6809.2765701884719</v>
      </c>
      <c r="BK11" s="11">
        <f t="shared" si="40"/>
        <v>-6635.452387795036</v>
      </c>
      <c r="BL11" s="11">
        <f t="shared" si="40"/>
        <v>-6427.794974780857</v>
      </c>
      <c r="BM11" s="11">
        <f t="shared" si="40"/>
        <v>-8211.0510175817162</v>
      </c>
      <c r="BN11" s="11">
        <f t="shared" si="40"/>
        <v>-5423.8336163071453</v>
      </c>
      <c r="BO11" s="11">
        <f t="shared" si="40"/>
        <v>-6202.2835121237877</v>
      </c>
      <c r="BP11" s="11">
        <f t="shared" si="40"/>
        <v>-7336.578814456223</v>
      </c>
      <c r="BQ11" s="11">
        <f t="shared" si="40"/>
        <v>-7854.8196715584436</v>
      </c>
      <c r="BR11" s="11">
        <f t="shared" ref="BR11:BX11" si="41">-BR63/1.2-BR96</f>
        <v>-8151.0640716285507</v>
      </c>
      <c r="BS11" s="11">
        <f t="shared" si="41"/>
        <v>-8303.4292669335919</v>
      </c>
      <c r="BT11" s="11">
        <f t="shared" si="41"/>
        <v>-8459.0209230662076</v>
      </c>
      <c r="BU11" s="11">
        <f t="shared" si="41"/>
        <v>-8087.2623224885883</v>
      </c>
      <c r="BV11" s="11">
        <f t="shared" si="41"/>
        <v>-7876.6705451938751</v>
      </c>
      <c r="BW11" s="11">
        <f t="shared" si="41"/>
        <v>-7768.9616610655748</v>
      </c>
      <c r="BX11" s="11">
        <f t="shared" si="41"/>
        <v>-7433.7817831147522</v>
      </c>
      <c r="BY11" s="11">
        <f t="shared" ref="BY11:CK11" si="42">-BY63/1.2-BY96</f>
        <v>-9509.1244170388654</v>
      </c>
      <c r="BZ11" s="11">
        <f t="shared" si="42"/>
        <v>-6132.2605134485757</v>
      </c>
      <c r="CA11" s="11">
        <f t="shared" si="42"/>
        <v>-7030.6984253768869</v>
      </c>
      <c r="CB11" s="11">
        <f t="shared" si="42"/>
        <v>-8334.524137306511</v>
      </c>
      <c r="CC11" s="11">
        <f t="shared" si="42"/>
        <v>-8932.8894242117149</v>
      </c>
      <c r="CD11" s="11">
        <f t="shared" si="42"/>
        <v>-9272.8491799005278</v>
      </c>
      <c r="CE11" s="11">
        <f t="shared" si="42"/>
        <v>-9450.6523498021634</v>
      </c>
      <c r="CF11" s="11">
        <f t="shared" si="42"/>
        <v>-9632.2622409457545</v>
      </c>
      <c r="CG11" s="11">
        <f t="shared" si="42"/>
        <v>-9209.3165838852474</v>
      </c>
      <c r="CH11" s="11">
        <f t="shared" si="42"/>
        <v>-9085.809993924604</v>
      </c>
      <c r="CI11" s="11">
        <f t="shared" si="42"/>
        <v>-8853.3311996672528</v>
      </c>
      <c r="CJ11" s="11">
        <f t="shared" si="42"/>
        <v>-8471.7446399753899</v>
      </c>
      <c r="CK11" s="11">
        <f t="shared" si="42"/>
        <v>-10844.288771980109</v>
      </c>
      <c r="CM11" s="11">
        <f>Мясо!CM10</f>
        <v>0</v>
      </c>
      <c r="CN11" s="11">
        <f>Мясо!CN10</f>
        <v>0</v>
      </c>
      <c r="CO11" s="430">
        <f>SUMIF($F$2:$CK$2,CO$3,$F11:$CK11)</f>
        <v>-14259.29565</v>
      </c>
      <c r="CP11" s="431">
        <f t="shared" ref="CP11:CP13" si="43">SUMIF($L$2:$CK$2,CP$3,$L11:$CK11)</f>
        <v>-25316.345373344942</v>
      </c>
      <c r="CQ11" s="11">
        <f t="shared" ref="CQ11:CS13" si="44">SUMIF($L$2:$CK$2,CQ$3,$L11:$CK11)</f>
        <v>-38892.271290311008</v>
      </c>
      <c r="CR11" s="11">
        <f t="shared" si="44"/>
        <v>-68983.953270216545</v>
      </c>
      <c r="CS11" s="11">
        <f t="shared" si="44"/>
        <v>-79810.520784047912</v>
      </c>
      <c r="CT11" s="11">
        <f t="shared" ref="CT11:CU13" si="45">SUMIF($L$2:$CK$2,CT$3,$L11:$CK11)</f>
        <v>-92406.830604975607</v>
      </c>
      <c r="CU11" s="11">
        <f t="shared" si="45"/>
        <v>-105250.62746042474</v>
      </c>
      <c r="CV11" s="181"/>
      <c r="CW11" s="181"/>
    </row>
    <row r="12" spans="2:102" x14ac:dyDescent="0.2">
      <c r="B12" s="90" t="s">
        <v>53</v>
      </c>
      <c r="C12" s="91" t="s">
        <v>4</v>
      </c>
      <c r="D12" s="9"/>
      <c r="E12" s="318"/>
      <c r="F12" s="11">
        <f t="shared" ref="F12:AK12" si="46">-F57/1.2-F60/1.2-F90-F93-F67/1.2-F87</f>
        <v>-6947.4227733466287</v>
      </c>
      <c r="G12" s="11">
        <f t="shared" si="46"/>
        <v>-6272.4440804610995</v>
      </c>
      <c r="H12" s="11">
        <f t="shared" si="46"/>
        <v>-6631.3777203290556</v>
      </c>
      <c r="I12" s="11">
        <f t="shared" si="46"/>
        <v>-6541.7283396547064</v>
      </c>
      <c r="J12" s="11">
        <f t="shared" si="46"/>
        <v>-6441.7453956165737</v>
      </c>
      <c r="K12" s="11">
        <f t="shared" si="46"/>
        <v>-6921.3518648993504</v>
      </c>
      <c r="L12" s="11">
        <f t="shared" si="46"/>
        <v>-7185.6019428626087</v>
      </c>
      <c r="M12" s="11">
        <f t="shared" si="46"/>
        <v>-6434.2208956099921</v>
      </c>
      <c r="N12" s="11">
        <f t="shared" si="46"/>
        <v>-5531.3843845224928</v>
      </c>
      <c r="O12" s="11">
        <f t="shared" si="46"/>
        <v>-7170.3001390545714</v>
      </c>
      <c r="P12" s="11">
        <f t="shared" si="46"/>
        <v>-6645.6791666673962</v>
      </c>
      <c r="Q12" s="11">
        <f t="shared" si="46"/>
        <v>-7051.2336719755249</v>
      </c>
      <c r="R12" s="11">
        <f t="shared" si="46"/>
        <v>-6658.3711755959112</v>
      </c>
      <c r="S12" s="11">
        <f t="shared" si="46"/>
        <v>-4789.8498926226284</v>
      </c>
      <c r="T12" s="11">
        <f t="shared" si="46"/>
        <v>-4896.2090410799738</v>
      </c>
      <c r="U12" s="11">
        <f t="shared" si="46"/>
        <v>-5883.9212383316917</v>
      </c>
      <c r="V12" s="11">
        <f t="shared" si="46"/>
        <v>-4903.9004698561166</v>
      </c>
      <c r="W12" s="11">
        <f t="shared" si="46"/>
        <v>-5278.7421186904039</v>
      </c>
      <c r="X12" s="11">
        <f t="shared" si="46"/>
        <v>-7601.7184467867091</v>
      </c>
      <c r="Y12" s="11">
        <f t="shared" si="46"/>
        <v>-7485.0763473689221</v>
      </c>
      <c r="Z12" s="11">
        <f t="shared" si="46"/>
        <v>-7517.3780160405795</v>
      </c>
      <c r="AA12" s="11">
        <f t="shared" si="46"/>
        <v>-7286.8859297127283</v>
      </c>
      <c r="AB12" s="11">
        <f t="shared" si="46"/>
        <v>-7238.0884575719729</v>
      </c>
      <c r="AC12" s="11">
        <f t="shared" si="46"/>
        <v>-7614.2201449311233</v>
      </c>
      <c r="AD12" s="11">
        <f t="shared" si="46"/>
        <v>-7125.9802751149518</v>
      </c>
      <c r="AE12" s="11">
        <f t="shared" si="46"/>
        <v>-7223.0364640455009</v>
      </c>
      <c r="AF12" s="11">
        <f t="shared" si="46"/>
        <v>-7669.4177436803129</v>
      </c>
      <c r="AG12" s="11">
        <f t="shared" si="46"/>
        <v>-7667.2626399423043</v>
      </c>
      <c r="AH12" s="11">
        <f t="shared" si="46"/>
        <v>-7860.0284631847953</v>
      </c>
      <c r="AI12" s="11">
        <f t="shared" si="46"/>
        <v>-7965.3328902699704</v>
      </c>
      <c r="AJ12" s="11">
        <f t="shared" si="46"/>
        <v>-8271.4850961527845</v>
      </c>
      <c r="AK12" s="11">
        <f t="shared" si="46"/>
        <v>-9078.5496569538063</v>
      </c>
      <c r="AL12" s="11">
        <f t="shared" ref="AL12:BQ12" si="47">-AL57/1.2-AL60/1.2-AL90-AL93-AL67/1.2-AL87</f>
        <v>-9463.961972509047</v>
      </c>
      <c r="AM12" s="11">
        <f t="shared" si="47"/>
        <v>-9472.5420263676078</v>
      </c>
      <c r="AN12" s="11">
        <f t="shared" si="47"/>
        <v>-9635.1136214509952</v>
      </c>
      <c r="AO12" s="11">
        <f t="shared" si="47"/>
        <v>-9823.1280843461209</v>
      </c>
      <c r="AP12" s="11">
        <f t="shared" si="47"/>
        <v>-8572.9636235420585</v>
      </c>
      <c r="AQ12" s="11">
        <f t="shared" si="47"/>
        <v>-8995.4208577538666</v>
      </c>
      <c r="AR12" s="11">
        <f t="shared" si="47"/>
        <v>-9616.4857961781581</v>
      </c>
      <c r="AS12" s="11">
        <f t="shared" si="47"/>
        <v>-9898.8681909708976</v>
      </c>
      <c r="AT12" s="11">
        <f t="shared" si="47"/>
        <v>-10064.420425514892</v>
      </c>
      <c r="AU12" s="11">
        <f t="shared" si="47"/>
        <v>-10147.390912645244</v>
      </c>
      <c r="AV12" s="11">
        <f t="shared" si="47"/>
        <v>-10232.094965768427</v>
      </c>
      <c r="AW12" s="11">
        <f t="shared" si="47"/>
        <v>-10026.946171231961</v>
      </c>
      <c r="AX12" s="11">
        <f t="shared" si="47"/>
        <v>-10006.462102482717</v>
      </c>
      <c r="AY12" s="11">
        <f t="shared" si="47"/>
        <v>-9894.8324251576269</v>
      </c>
      <c r="AZ12" s="11">
        <f t="shared" si="47"/>
        <v>-9712.7562556407011</v>
      </c>
      <c r="BA12" s="11">
        <f t="shared" si="47"/>
        <v>-10893.355768821355</v>
      </c>
      <c r="BB12" s="11">
        <f t="shared" si="47"/>
        <v>-9371.2448978758675</v>
      </c>
      <c r="BC12" s="11">
        <f t="shared" si="47"/>
        <v>-9868.5817179485111</v>
      </c>
      <c r="BD12" s="11">
        <f t="shared" si="47"/>
        <v>-10589.386373406496</v>
      </c>
      <c r="BE12" s="11">
        <f t="shared" si="47"/>
        <v>-10917.087160283956</v>
      </c>
      <c r="BF12" s="11">
        <f t="shared" si="47"/>
        <v>-11104.804902161644</v>
      </c>
      <c r="BG12" s="11">
        <f t="shared" si="47"/>
        <v>-11201.11864456476</v>
      </c>
      <c r="BH12" s="11">
        <f t="shared" si="47"/>
        <v>-11299.450294438771</v>
      </c>
      <c r="BI12" s="11">
        <f t="shared" si="47"/>
        <v>-11061.396368845219</v>
      </c>
      <c r="BJ12" s="11">
        <f t="shared" si="47"/>
        <v>-10926.507704679061</v>
      </c>
      <c r="BK12" s="11">
        <f t="shared" si="47"/>
        <v>-10796.839297197514</v>
      </c>
      <c r="BL12" s="11">
        <f t="shared" si="47"/>
        <v>-10642.076774954559</v>
      </c>
      <c r="BM12" s="11">
        <f t="shared" si="47"/>
        <v>-11958.574969969924</v>
      </c>
      <c r="BN12" s="11">
        <f t="shared" si="47"/>
        <v>-10173.137516251329</v>
      </c>
      <c r="BO12" s="11">
        <f t="shared" si="47"/>
        <v>-10749.140175625158</v>
      </c>
      <c r="BP12" s="11">
        <f t="shared" si="47"/>
        <v>-11585.552297968608</v>
      </c>
      <c r="BQ12" s="11">
        <f t="shared" si="47"/>
        <v>-11965.665941841218</v>
      </c>
      <c r="BR12" s="11">
        <f t="shared" ref="BR12:BX12" si="48">-BR57/1.2-BR60/1.2-BR90-BR93-BR67/1.2-BR87</f>
        <v>-12183.976822505785</v>
      </c>
      <c r="BS12" s="11">
        <f t="shared" si="48"/>
        <v>-12296.030851039046</v>
      </c>
      <c r="BT12" s="11">
        <f t="shared" si="48"/>
        <v>-12410.43599278221</v>
      </c>
      <c r="BU12" s="11">
        <f t="shared" si="48"/>
        <v>-12134.443920318983</v>
      </c>
      <c r="BV12" s="11">
        <f t="shared" si="48"/>
        <v>-11977.706750111842</v>
      </c>
      <c r="BW12" s="11">
        <f t="shared" si="48"/>
        <v>-11896.781535401815</v>
      </c>
      <c r="BX12" s="11">
        <f t="shared" si="48"/>
        <v>-11647.416531937339</v>
      </c>
      <c r="BY12" s="11">
        <f t="shared" ref="BY12:CK12" si="49">-BY57/1.2-BY60/1.2-BY90-BY93-BY67/1.2-BY87</f>
        <v>-13179.375880259893</v>
      </c>
      <c r="BZ12" s="11">
        <f t="shared" si="49"/>
        <v>-10764.352358431077</v>
      </c>
      <c r="CA12" s="11">
        <f t="shared" si="49"/>
        <v>-11428.812857785009</v>
      </c>
      <c r="CB12" s="11">
        <f t="shared" si="49"/>
        <v>-12390.020483129656</v>
      </c>
      <c r="CC12" s="11">
        <f t="shared" si="49"/>
        <v>-12828.68766875652</v>
      </c>
      <c r="CD12" s="11">
        <f t="shared" si="49"/>
        <v>-13079.156758993176</v>
      </c>
      <c r="CE12" s="11">
        <f t="shared" si="49"/>
        <v>-13209.543921450235</v>
      </c>
      <c r="CF12" s="11">
        <f t="shared" si="49"/>
        <v>-13342.69494634285</v>
      </c>
      <c r="CG12" s="11">
        <f t="shared" si="49"/>
        <v>-13028.281945793547</v>
      </c>
      <c r="CH12" s="11">
        <f t="shared" si="49"/>
        <v>-12935.45736327498</v>
      </c>
      <c r="CI12" s="11">
        <f t="shared" si="49"/>
        <v>-12761.900675651412</v>
      </c>
      <c r="CJ12" s="11">
        <f t="shared" si="49"/>
        <v>-12477.896856494621</v>
      </c>
      <c r="CK12" s="11">
        <f t="shared" si="49"/>
        <v>-14228.903927653731</v>
      </c>
      <c r="CM12" s="11">
        <f>Мясо!CM11</f>
        <v>-104134.92000000001</v>
      </c>
      <c r="CN12" s="11">
        <f>Мясо!CN11</f>
        <v>-104111</v>
      </c>
      <c r="CO12" s="430">
        <f t="shared" ref="CO12:CO13" si="50">SUMIF($F$2:$CK$2,CO$3,$F12:$CK12)</f>
        <v>-79774.490375000008</v>
      </c>
      <c r="CP12" s="431">
        <f t="shared" si="43"/>
        <v>-77154.361278588767</v>
      </c>
      <c r="CQ12" s="11">
        <f t="shared" si="44"/>
        <v>-101255.83893401819</v>
      </c>
      <c r="CR12" s="11">
        <f t="shared" si="44"/>
        <v>-118061.99749570791</v>
      </c>
      <c r="CS12" s="11">
        <f t="shared" si="44"/>
        <v>-129737.06910632628</v>
      </c>
      <c r="CT12" s="11">
        <f t="shared" si="45"/>
        <v>-142199.66421604322</v>
      </c>
      <c r="CU12" s="11">
        <f t="shared" si="45"/>
        <v>-152475.70976375681</v>
      </c>
      <c r="CV12" s="181"/>
      <c r="CW12" s="181"/>
    </row>
    <row r="13" spans="2:102" x14ac:dyDescent="0.2">
      <c r="B13" s="90" t="s">
        <v>56</v>
      </c>
      <c r="C13" s="91" t="s">
        <v>4</v>
      </c>
      <c r="D13" s="9"/>
      <c r="E13" s="318"/>
      <c r="F13" s="11">
        <v>-328.26415999999995</v>
      </c>
      <c r="G13" s="11">
        <v>-340.55349000000001</v>
      </c>
      <c r="H13" s="11">
        <v>-349.11131</v>
      </c>
      <c r="I13" s="11">
        <v>-356.01083</v>
      </c>
      <c r="J13" s="11">
        <v>-348.38158000000004</v>
      </c>
      <c r="K13" s="11">
        <v>-386.76590000000004</v>
      </c>
      <c r="L13" s="11">
        <v>-441.04459000000003</v>
      </c>
      <c r="M13" s="11">
        <v>-378.29217</v>
      </c>
      <c r="N13" s="11">
        <v>-378.29217</v>
      </c>
      <c r="O13" s="11">
        <v>-394.10146000000003</v>
      </c>
      <c r="P13" s="11">
        <v>-457.81351000000001</v>
      </c>
      <c r="Q13" s="11">
        <v>-460.73040999999995</v>
      </c>
      <c r="R13" s="11">
        <f t="shared" ref="R13:AW13" si="51">-(R87+R90+R93+R96)*0.21308</f>
        <v>-494.77175999999997</v>
      </c>
      <c r="S13" s="11">
        <f t="shared" si="51"/>
        <v>-511.392</v>
      </c>
      <c r="T13" s="11">
        <f t="shared" si="51"/>
        <v>-484.75700000000001</v>
      </c>
      <c r="U13" s="11">
        <f t="shared" si="51"/>
        <v>-640.94463999999994</v>
      </c>
      <c r="V13" s="11">
        <f t="shared" si="51"/>
        <v>-617.71892000000003</v>
      </c>
      <c r="W13" s="11">
        <f t="shared" si="51"/>
        <v>-684.19988000000001</v>
      </c>
      <c r="X13" s="11">
        <f t="shared" si="51"/>
        <v>-643.62298612705058</v>
      </c>
      <c r="Y13" s="11">
        <f t="shared" si="51"/>
        <v>-625.56367034175196</v>
      </c>
      <c r="Z13" s="11">
        <f t="shared" si="51"/>
        <v>-624.00280561575892</v>
      </c>
      <c r="AA13" s="11">
        <f t="shared" si="51"/>
        <v>-611.18944297130554</v>
      </c>
      <c r="AB13" s="11">
        <f t="shared" si="51"/>
        <v>-607.95871403083254</v>
      </c>
      <c r="AC13" s="11">
        <f t="shared" si="51"/>
        <v>-636.98259674115195</v>
      </c>
      <c r="AD13" s="11">
        <f t="shared" si="51"/>
        <v>-562.56793022219381</v>
      </c>
      <c r="AE13" s="11">
        <f t="shared" si="51"/>
        <v>-580.97171600424861</v>
      </c>
      <c r="AF13" s="11">
        <f t="shared" si="51"/>
        <v>-613.50525632640097</v>
      </c>
      <c r="AG13" s="11">
        <f t="shared" si="51"/>
        <v>-605.37734494342271</v>
      </c>
      <c r="AH13" s="11">
        <f t="shared" si="51"/>
        <v>-625.16038100558001</v>
      </c>
      <c r="AI13" s="11">
        <f t="shared" si="51"/>
        <v>-641.40368264198935</v>
      </c>
      <c r="AJ13" s="11">
        <f t="shared" si="51"/>
        <v>-670.35647514071854</v>
      </c>
      <c r="AK13" s="11">
        <f t="shared" si="51"/>
        <v>-730.36772426721495</v>
      </c>
      <c r="AL13" s="11">
        <f t="shared" si="51"/>
        <v>-756.70508555965853</v>
      </c>
      <c r="AM13" s="11">
        <f t="shared" si="51"/>
        <v>-756.21145210692464</v>
      </c>
      <c r="AN13" s="11">
        <f t="shared" si="51"/>
        <v>-779.37199808454511</v>
      </c>
      <c r="AO13" s="11">
        <f t="shared" si="51"/>
        <v>-835.10844364744321</v>
      </c>
      <c r="AP13" s="11">
        <f t="shared" si="51"/>
        <v>-808.1915210299295</v>
      </c>
      <c r="AQ13" s="11">
        <f t="shared" si="51"/>
        <v>-857.20286322783363</v>
      </c>
      <c r="AR13" s="11">
        <f t="shared" si="51"/>
        <v>-929.0749726641086</v>
      </c>
      <c r="AS13" s="11">
        <f t="shared" si="51"/>
        <v>-962.23183928083847</v>
      </c>
      <c r="AT13" s="11">
        <f t="shared" si="51"/>
        <v>-980.97500610740121</v>
      </c>
      <c r="AU13" s="11">
        <f t="shared" si="51"/>
        <v>-990.68149888488551</v>
      </c>
      <c r="AV13" s="11">
        <f t="shared" si="51"/>
        <v>-1000.5952710165744</v>
      </c>
      <c r="AW13" s="11">
        <f t="shared" si="51"/>
        <v>-977.33102424837045</v>
      </c>
      <c r="AX13" s="11">
        <f t="shared" ref="AX13:BX13" si="52">-(AX87+AX90+AX93+AX96)*0.21308</f>
        <v>-973.88451321797754</v>
      </c>
      <c r="AY13" s="11">
        <f t="shared" si="52"/>
        <v>-961.42082077193436</v>
      </c>
      <c r="AZ13" s="11">
        <f t="shared" si="52"/>
        <v>-940.90551693768475</v>
      </c>
      <c r="BA13" s="11">
        <f t="shared" si="52"/>
        <v>-1077.0809263568058</v>
      </c>
      <c r="BB13" s="11">
        <f t="shared" si="52"/>
        <v>-886.1183298666931</v>
      </c>
      <c r="BC13" s="11">
        <f t="shared" si="52"/>
        <v>-943.14462387163849</v>
      </c>
      <c r="BD13" s="11">
        <f t="shared" si="52"/>
        <v>-1026.6157949416825</v>
      </c>
      <c r="BE13" s="11">
        <f t="shared" si="52"/>
        <v>-1065.1562070918908</v>
      </c>
      <c r="BF13" s="11">
        <f t="shared" si="52"/>
        <v>-1086.9688892805568</v>
      </c>
      <c r="BG13" s="11">
        <f t="shared" si="52"/>
        <v>-1098.2207895838408</v>
      </c>
      <c r="BH13" s="11">
        <f t="shared" si="52"/>
        <v>-1109.7142494610896</v>
      </c>
      <c r="BI13" s="11">
        <f t="shared" si="52"/>
        <v>-1082.7036959809666</v>
      </c>
      <c r="BJ13" s="11">
        <f t="shared" si="52"/>
        <v>-1067.5178881626234</v>
      </c>
      <c r="BK13" s="11">
        <f t="shared" si="52"/>
        <v>-1053.0542127707699</v>
      </c>
      <c r="BL13" s="11">
        <f t="shared" si="52"/>
        <v>-1035.7350421650037</v>
      </c>
      <c r="BM13" s="11">
        <f t="shared" si="52"/>
        <v>-1187.7058764081414</v>
      </c>
      <c r="BN13" s="11">
        <f t="shared" si="52"/>
        <v>-964.4024397835833</v>
      </c>
      <c r="BO13" s="11">
        <f t="shared" si="52"/>
        <v>-1030.4505993140733</v>
      </c>
      <c r="BP13" s="11">
        <f t="shared" si="52"/>
        <v>-1127.3561274705007</v>
      </c>
      <c r="BQ13" s="11">
        <f t="shared" si="52"/>
        <v>-1172.1124361275938</v>
      </c>
      <c r="BR13" s="11">
        <f t="shared" si="52"/>
        <v>-1197.4885578766603</v>
      </c>
      <c r="BS13" s="11">
        <f t="shared" si="52"/>
        <v>-1210.5885188470772</v>
      </c>
      <c r="BT13" s="11">
        <f t="shared" si="52"/>
        <v>-1223.970484805506</v>
      </c>
      <c r="BU13" s="11">
        <f t="shared" si="52"/>
        <v>-1192.6667161524397</v>
      </c>
      <c r="BV13" s="11">
        <f t="shared" si="52"/>
        <v>-1175.0326621707727</v>
      </c>
      <c r="BW13" s="11">
        <f t="shared" si="52"/>
        <v>-1166.2242056370956</v>
      </c>
      <c r="BX13" s="11">
        <f t="shared" si="52"/>
        <v>-1138.1511947731456</v>
      </c>
      <c r="BY13" s="11">
        <f t="shared" ref="BY13:CK13" si="53">-(BY87+BY90+BY93+BY96)*0.21308</f>
        <v>-1315.0530798651216</v>
      </c>
      <c r="BZ13" s="11">
        <f t="shared" si="53"/>
        <v>-1027.8656505133881</v>
      </c>
      <c r="CA13" s="11">
        <f t="shared" si="53"/>
        <v>-1104.1985629794935</v>
      </c>
      <c r="CB13" s="11">
        <f t="shared" si="53"/>
        <v>-1215.6374398678406</v>
      </c>
      <c r="CC13" s="11">
        <f t="shared" si="53"/>
        <v>-1267.3635696750969</v>
      </c>
      <c r="CD13" s="11">
        <f t="shared" si="53"/>
        <v>-1296.4993120039856</v>
      </c>
      <c r="CE13" s="11">
        <f t="shared" si="53"/>
        <v>-1311.9038963809817</v>
      </c>
      <c r="CF13" s="11">
        <f t="shared" si="53"/>
        <v>-1327.6442986474694</v>
      </c>
      <c r="CG13" s="11">
        <f t="shared" si="53"/>
        <v>-1292.1603678710183</v>
      </c>
      <c r="CH13" s="11">
        <f t="shared" si="53"/>
        <v>-1282.0703884633187</v>
      </c>
      <c r="CI13" s="11">
        <f t="shared" si="53"/>
        <v>-1262.7610612859057</v>
      </c>
      <c r="CJ13" s="11">
        <f t="shared" si="53"/>
        <v>-1230.8320522111073</v>
      </c>
      <c r="CK13" s="11">
        <f t="shared" si="53"/>
        <v>-1433.1483431034114</v>
      </c>
      <c r="CM13" s="11">
        <f>Мясо!CM12</f>
        <v>0</v>
      </c>
      <c r="CN13" s="11">
        <f>Мясо!CN12</f>
        <v>0</v>
      </c>
      <c r="CO13" s="430">
        <f t="shared" si="50"/>
        <v>-4619.3615800000007</v>
      </c>
      <c r="CP13" s="431">
        <f t="shared" si="43"/>
        <v>-7183.104415827851</v>
      </c>
      <c r="CQ13" s="11">
        <f t="shared" si="44"/>
        <v>-8157.1074899503392</v>
      </c>
      <c r="CR13" s="11">
        <f t="shared" si="44"/>
        <v>-11459.575773744344</v>
      </c>
      <c r="CS13" s="11">
        <f t="shared" si="44"/>
        <v>-12642.655599584898</v>
      </c>
      <c r="CT13" s="11">
        <f t="shared" si="45"/>
        <v>-13913.497022823571</v>
      </c>
      <c r="CU13" s="11">
        <f t="shared" si="45"/>
        <v>-15052.084943003019</v>
      </c>
      <c r="CV13" s="181"/>
      <c r="CW13" s="181"/>
    </row>
    <row r="14" spans="2:102" x14ac:dyDescent="0.2">
      <c r="B14" s="92"/>
      <c r="C14" s="91"/>
      <c r="D14" s="9"/>
      <c r="E14" s="9"/>
      <c r="CM14" s="11"/>
      <c r="CO14" s="432"/>
      <c r="CP14" s="433"/>
    </row>
    <row r="15" spans="2:102" s="12" customFormat="1" x14ac:dyDescent="0.2">
      <c r="B15" s="88" t="s">
        <v>54</v>
      </c>
      <c r="C15" s="89" t="s">
        <v>4</v>
      </c>
      <c r="D15" s="13"/>
      <c r="E15" s="318"/>
      <c r="F15" s="14">
        <f>SUM(F8,F11:F13)</f>
        <v>2255.426929033375</v>
      </c>
      <c r="G15" s="14">
        <f t="shared" ref="G15:K15" si="54">SUM(G8,G11:G13)</f>
        <v>5356.6107662738987</v>
      </c>
      <c r="H15" s="14">
        <f t="shared" si="54"/>
        <v>4011.8498564059446</v>
      </c>
      <c r="I15" s="14">
        <f t="shared" si="54"/>
        <v>5270.468111189296</v>
      </c>
      <c r="J15" s="14">
        <f t="shared" si="54"/>
        <v>5382.6332803854266</v>
      </c>
      <c r="K15" s="14">
        <f t="shared" si="54"/>
        <v>4378.8304463036493</v>
      </c>
      <c r="L15" s="14">
        <f>SUM(L8,L11:L13)</f>
        <v>6416.9623559330612</v>
      </c>
      <c r="M15" s="14">
        <f t="shared" ref="M15:CP15" si="55">SUM(M8,M11:M13)</f>
        <v>5474.9472781340173</v>
      </c>
      <c r="N15" s="14">
        <f t="shared" si="55"/>
        <v>5255.6604398251739</v>
      </c>
      <c r="O15" s="14">
        <f t="shared" si="55"/>
        <v>4726.1024245691051</v>
      </c>
      <c r="P15" s="14">
        <f t="shared" si="55"/>
        <v>6325.4306530676058</v>
      </c>
      <c r="Q15" s="14">
        <f t="shared" si="55"/>
        <v>7717.3228197364851</v>
      </c>
      <c r="R15" s="14">
        <f t="shared" si="55"/>
        <v>3030.1419207661952</v>
      </c>
      <c r="S15" s="14">
        <f t="shared" si="55"/>
        <v>696.258684973144</v>
      </c>
      <c r="T15" s="14">
        <f t="shared" si="55"/>
        <v>13039.664779124658</v>
      </c>
      <c r="U15" s="14">
        <f t="shared" si="55"/>
        <v>1895.0435307389378</v>
      </c>
      <c r="V15" s="14">
        <f t="shared" si="55"/>
        <v>3940.097851152731</v>
      </c>
      <c r="W15" s="14">
        <f t="shared" si="55"/>
        <v>3863.0002395322617</v>
      </c>
      <c r="X15" s="14">
        <f t="shared" si="55"/>
        <v>3911.5051161891552</v>
      </c>
      <c r="Y15" s="14">
        <f t="shared" si="55"/>
        <v>3672.6606825879544</v>
      </c>
      <c r="Z15" s="14">
        <f t="shared" si="55"/>
        <v>4118.0187929614958</v>
      </c>
      <c r="AA15" s="14">
        <f t="shared" si="55"/>
        <v>10106.036007201272</v>
      </c>
      <c r="AB15" s="14">
        <f t="shared" si="55"/>
        <v>9720.821303324461</v>
      </c>
      <c r="AC15" s="14">
        <f t="shared" si="55"/>
        <v>12665.882233663475</v>
      </c>
      <c r="AD15" s="14">
        <f t="shared" si="55"/>
        <v>2845.1316673262349</v>
      </c>
      <c r="AE15" s="14">
        <f t="shared" si="55"/>
        <v>3214.1473730023595</v>
      </c>
      <c r="AF15" s="14">
        <f t="shared" si="55"/>
        <v>5505.8269523545305</v>
      </c>
      <c r="AG15" s="14">
        <f t="shared" si="55"/>
        <v>5559.4079060423064</v>
      </c>
      <c r="AH15" s="14">
        <f t="shared" si="55"/>
        <v>6227.9178852653604</v>
      </c>
      <c r="AI15" s="14">
        <f t="shared" si="55"/>
        <v>6228.9659479090396</v>
      </c>
      <c r="AJ15" s="14">
        <f t="shared" si="55"/>
        <v>6069.5710147430536</v>
      </c>
      <c r="AK15" s="14">
        <f t="shared" si="55"/>
        <v>12435.280179968351</v>
      </c>
      <c r="AL15" s="14">
        <f t="shared" si="55"/>
        <v>14167.615642897868</v>
      </c>
      <c r="AM15" s="14">
        <f t="shared" si="55"/>
        <v>14488.167137221746</v>
      </c>
      <c r="AN15" s="14">
        <f t="shared" si="55"/>
        <v>15378.083761830863</v>
      </c>
      <c r="AO15" s="14">
        <f t="shared" si="55"/>
        <v>20523.787003344685</v>
      </c>
      <c r="AP15" s="14">
        <f t="shared" si="55"/>
        <v>17760.324751401629</v>
      </c>
      <c r="AQ15" s="14">
        <f t="shared" si="55"/>
        <v>20706.478642699702</v>
      </c>
      <c r="AR15" s="14">
        <f t="shared" si="55"/>
        <v>24076.983844559662</v>
      </c>
      <c r="AS15" s="14">
        <f t="shared" si="55"/>
        <v>25253.954942636934</v>
      </c>
      <c r="AT15" s="14">
        <f t="shared" si="55"/>
        <v>26557.380528307302</v>
      </c>
      <c r="AU15" s="14">
        <f t="shared" si="55"/>
        <v>26233.868269979379</v>
      </c>
      <c r="AV15" s="14">
        <f t="shared" si="55"/>
        <v>27040.316049797751</v>
      </c>
      <c r="AW15" s="14">
        <f t="shared" si="55"/>
        <v>26797.879570320467</v>
      </c>
      <c r="AX15" s="14">
        <f t="shared" ref="AX15:BU15" si="56">SUM(AX8,AX11:AX13)</f>
        <v>25721.676870816042</v>
      </c>
      <c r="AY15" s="14">
        <f t="shared" si="56"/>
        <v>24782.621875552933</v>
      </c>
      <c r="AZ15" s="14">
        <f t="shared" si="56"/>
        <v>23257.896483567329</v>
      </c>
      <c r="BA15" s="14">
        <f t="shared" si="56"/>
        <v>32971.070951859532</v>
      </c>
      <c r="BB15" s="14">
        <f t="shared" si="56"/>
        <v>23061.521293103142</v>
      </c>
      <c r="BC15" s="14">
        <f t="shared" si="56"/>
        <v>24948.897593338967</v>
      </c>
      <c r="BD15" s="14">
        <f t="shared" si="56"/>
        <v>27978.38196863218</v>
      </c>
      <c r="BE15" s="14">
        <f t="shared" si="56"/>
        <v>29823.743990485706</v>
      </c>
      <c r="BF15" s="14">
        <f t="shared" si="56"/>
        <v>31623.859849414854</v>
      </c>
      <c r="BG15" s="14">
        <f t="shared" si="56"/>
        <v>32544.968979083318</v>
      </c>
      <c r="BH15" s="14">
        <f t="shared" si="56"/>
        <v>33485.136027609638</v>
      </c>
      <c r="BI15" s="14">
        <f t="shared" si="56"/>
        <v>31831.031780278983</v>
      </c>
      <c r="BJ15" s="14">
        <f t="shared" si="56"/>
        <v>30494.151304361756</v>
      </c>
      <c r="BK15" s="14">
        <f t="shared" si="56"/>
        <v>29201.783879139792</v>
      </c>
      <c r="BL15" s="14">
        <f t="shared" si="56"/>
        <v>27950.661712102596</v>
      </c>
      <c r="BM15" s="14">
        <f t="shared" si="56"/>
        <v>40530.977438246802</v>
      </c>
      <c r="BN15" s="14">
        <f t="shared" si="56"/>
        <v>27841.176241397319</v>
      </c>
      <c r="BO15" s="14">
        <f t="shared" si="56"/>
        <v>30039.231090828533</v>
      </c>
      <c r="BP15" s="14">
        <f t="shared" si="56"/>
        <v>34716.053526127886</v>
      </c>
      <c r="BQ15" s="14">
        <f t="shared" si="56"/>
        <v>36864.705276292923</v>
      </c>
      <c r="BR15" s="14">
        <f t="shared" si="56"/>
        <v>38964.538754672591</v>
      </c>
      <c r="BS15" s="14">
        <f t="shared" si="56"/>
        <v>40039.201419496691</v>
      </c>
      <c r="BT15" s="14">
        <f t="shared" si="56"/>
        <v>41136.114566892997</v>
      </c>
      <c r="BU15" s="14">
        <f t="shared" si="56"/>
        <v>39210.145103822782</v>
      </c>
      <c r="BV15" s="14">
        <f t="shared" ref="BV15:BX15" si="57">SUM(BV8,BV11:BV13)</f>
        <v>37651.241750967754</v>
      </c>
      <c r="BW15" s="14">
        <f t="shared" si="57"/>
        <v>37183.116304409246</v>
      </c>
      <c r="BX15" s="14">
        <f t="shared" si="57"/>
        <v>34685.36294704696</v>
      </c>
      <c r="BY15" s="14">
        <f t="shared" ref="BY15:CK15" si="58">SUM(BY8,BY11:BY13)</f>
        <v>49375.083920314508</v>
      </c>
      <c r="BZ15" s="14">
        <f t="shared" si="58"/>
        <v>32463.909789342648</v>
      </c>
      <c r="CA15" s="14">
        <f t="shared" si="58"/>
        <v>34666.432319626569</v>
      </c>
      <c r="CB15" s="14">
        <f t="shared" si="58"/>
        <v>41294.093096184173</v>
      </c>
      <c r="CC15" s="14">
        <f t="shared" si="58"/>
        <v>43761.595328737771</v>
      </c>
      <c r="CD15" s="14">
        <f t="shared" si="58"/>
        <v>46159.446020270581</v>
      </c>
      <c r="CE15" s="14">
        <f t="shared" si="58"/>
        <v>47398.396911015654</v>
      </c>
      <c r="CF15" s="14">
        <f t="shared" si="58"/>
        <v>48663.309889397657</v>
      </c>
      <c r="CG15" s="14">
        <f t="shared" si="58"/>
        <v>46487.830749172965</v>
      </c>
      <c r="CH15" s="14">
        <f t="shared" si="58"/>
        <v>45984.056388428689</v>
      </c>
      <c r="CI15" s="14">
        <f t="shared" si="58"/>
        <v>44247.507548592221</v>
      </c>
      <c r="CJ15" s="14">
        <f t="shared" si="58"/>
        <v>41419.708888314439</v>
      </c>
      <c r="CK15" s="14">
        <f t="shared" si="58"/>
        <v>58098.007506175221</v>
      </c>
      <c r="CM15" s="14">
        <f t="shared" si="55"/>
        <v>15388</v>
      </c>
      <c r="CN15" s="14">
        <f t="shared" si="55"/>
        <v>23075.07107339747</v>
      </c>
      <c r="CO15" s="434">
        <f>SUM(CO8,CO11:CO13)</f>
        <v>62572.245360857065</v>
      </c>
      <c r="CP15" s="435">
        <f t="shared" si="55"/>
        <v>70659.131142215672</v>
      </c>
      <c r="CQ15" s="14">
        <f t="shared" ref="CQ15:CS15" si="59">SUM(CQ8,CQ11:CQ13)</f>
        <v>112643.90247190639</v>
      </c>
      <c r="CR15" s="14">
        <f t="shared" si="59"/>
        <v>301160.45278149861</v>
      </c>
      <c r="CS15" s="14">
        <f t="shared" si="59"/>
        <v>363475.11581579788</v>
      </c>
      <c r="CT15" s="14">
        <f t="shared" ref="CT15:CU15" si="60">SUM(CT8,CT11:CT13)</f>
        <v>447705.97090227029</v>
      </c>
      <c r="CU15" s="14">
        <f t="shared" si="60"/>
        <v>530644.29443525884</v>
      </c>
      <c r="CV15" s="461" t="s">
        <v>54</v>
      </c>
      <c r="CW15" s="461"/>
      <c r="CX15" s="156"/>
    </row>
    <row r="16" spans="2:102" s="12" customFormat="1" x14ac:dyDescent="0.2">
      <c r="B16" s="191" t="s">
        <v>338</v>
      </c>
      <c r="C16" s="89"/>
      <c r="D16" s="13"/>
      <c r="E16" s="13"/>
      <c r="F16" s="16">
        <f>F15/F4</f>
        <v>6.6070442162333584E-2</v>
      </c>
      <c r="G16" s="16">
        <f t="shared" ref="G16:BR16" si="61">G15/G4</f>
        <v>0.14451271144037059</v>
      </c>
      <c r="H16" s="16">
        <f t="shared" si="61"/>
        <v>0.11712687465209344</v>
      </c>
      <c r="I16" s="16">
        <f t="shared" si="61"/>
        <v>0.13263710769048964</v>
      </c>
      <c r="J16" s="16">
        <f t="shared" si="61"/>
        <v>0.13705217430877131</v>
      </c>
      <c r="K16" s="16">
        <f t="shared" si="61"/>
        <v>0.10979290727163962</v>
      </c>
      <c r="L16" s="16">
        <f t="shared" si="61"/>
        <v>0.14056057287045126</v>
      </c>
      <c r="M16" s="16">
        <f t="shared" si="61"/>
        <v>0.13040567770432579</v>
      </c>
      <c r="N16" s="16">
        <f t="shared" si="61"/>
        <v>0.13213698492002804</v>
      </c>
      <c r="O16" s="16">
        <f t="shared" si="61"/>
        <v>0.10247892190367071</v>
      </c>
      <c r="P16" s="16">
        <f t="shared" si="61"/>
        <v>0.14578879987864757</v>
      </c>
      <c r="Q16" s="16">
        <f t="shared" si="61"/>
        <v>0.14947748154511611</v>
      </c>
      <c r="R16" s="16">
        <f t="shared" si="61"/>
        <v>8.1978259843072027E-2</v>
      </c>
      <c r="S16" s="16">
        <f t="shared" si="61"/>
        <v>2.0518676425389161E-2</v>
      </c>
      <c r="T16" s="16">
        <f t="shared" si="61"/>
        <v>0.27553038384025175</v>
      </c>
      <c r="U16" s="16">
        <f t="shared" si="61"/>
        <v>4.988961835845955E-2</v>
      </c>
      <c r="V16" s="16">
        <f t="shared" si="61"/>
        <v>0.10079202119908323</v>
      </c>
      <c r="W16" s="16">
        <f t="shared" si="61"/>
        <v>9.5982367707656183E-2</v>
      </c>
      <c r="X16" s="16">
        <f t="shared" si="61"/>
        <v>7.4730012534950416E-2</v>
      </c>
      <c r="Y16" s="16">
        <f t="shared" si="61"/>
        <v>7.2231286030058406E-2</v>
      </c>
      <c r="Z16" s="16">
        <f t="shared" si="61"/>
        <v>7.9569022010986742E-2</v>
      </c>
      <c r="AA16" s="16">
        <f t="shared" si="61"/>
        <v>0.20682861746793182</v>
      </c>
      <c r="AB16" s="16">
        <f t="shared" si="61"/>
        <v>0.20528781792689571</v>
      </c>
      <c r="AC16" s="16">
        <f t="shared" si="61"/>
        <v>0.22624662680268084</v>
      </c>
      <c r="AD16" s="16">
        <f t="shared" si="61"/>
        <v>8.1426483634178953E-2</v>
      </c>
      <c r="AE16" s="16">
        <f t="shared" si="61"/>
        <v>8.7255149637119139E-2</v>
      </c>
      <c r="AF16" s="16">
        <f t="shared" si="61"/>
        <v>0.11979953649613369</v>
      </c>
      <c r="AG16" s="16">
        <f t="shared" si="61"/>
        <v>0.1205024348331854</v>
      </c>
      <c r="AH16" s="16">
        <f t="shared" si="61"/>
        <v>0.12706293621299891</v>
      </c>
      <c r="AI16" s="16">
        <f t="shared" si="61"/>
        <v>0.12269736077080988</v>
      </c>
      <c r="AJ16" s="16">
        <f t="shared" si="61"/>
        <v>0.1123770887182805</v>
      </c>
      <c r="AK16" s="16">
        <f t="shared" si="61"/>
        <v>0.17234835191405326</v>
      </c>
      <c r="AL16" s="16">
        <f t="shared" si="61"/>
        <v>0.17598092779666841</v>
      </c>
      <c r="AM16" s="16">
        <f t="shared" si="61"/>
        <v>0.17932628648284649</v>
      </c>
      <c r="AN16" s="16">
        <f t="shared" si="61"/>
        <v>0.17989704186993993</v>
      </c>
      <c r="AO16" s="16">
        <f t="shared" si="61"/>
        <v>0.20211416922092501</v>
      </c>
      <c r="AP16" s="16">
        <f t="shared" si="61"/>
        <v>0.20126631411846704</v>
      </c>
      <c r="AQ16" s="16">
        <f t="shared" si="61"/>
        <v>0.20228199722161805</v>
      </c>
      <c r="AR16" s="16">
        <f t="shared" si="61"/>
        <v>0.19550850044578291</v>
      </c>
      <c r="AS16" s="16">
        <f t="shared" si="61"/>
        <v>0.19055015470034906</v>
      </c>
      <c r="AT16" s="16">
        <f t="shared" si="61"/>
        <v>0.19255318777829039</v>
      </c>
      <c r="AU16" s="16">
        <f t="shared" si="61"/>
        <v>0.18647452994470337</v>
      </c>
      <c r="AV16" s="16">
        <f t="shared" si="61"/>
        <v>0.18843226624282786</v>
      </c>
      <c r="AW16" s="16">
        <f t="shared" si="61"/>
        <v>0.19622736773494331</v>
      </c>
      <c r="AX16" s="16">
        <f t="shared" si="61"/>
        <v>0.19393434021205061</v>
      </c>
      <c r="AY16" s="16">
        <f t="shared" si="61"/>
        <v>0.19237074168833904</v>
      </c>
      <c r="AZ16" s="16">
        <f t="shared" si="61"/>
        <v>0.18962586524094985</v>
      </c>
      <c r="BA16" s="16">
        <f t="shared" si="61"/>
        <v>0.20323639459122717</v>
      </c>
      <c r="BB16" s="16">
        <f t="shared" si="61"/>
        <v>0.22509791238907481</v>
      </c>
      <c r="BC16" s="16">
        <f t="shared" si="61"/>
        <v>0.2093510430586305</v>
      </c>
      <c r="BD16" s="16">
        <f t="shared" si="61"/>
        <v>0.19525887762101349</v>
      </c>
      <c r="BE16" s="16">
        <f t="shared" si="61"/>
        <v>0.19345159664487813</v>
      </c>
      <c r="BF16" s="16">
        <f t="shared" si="61"/>
        <v>0.19711343040304671</v>
      </c>
      <c r="BG16" s="16">
        <f t="shared" si="61"/>
        <v>0.19887854540993816</v>
      </c>
      <c r="BH16" s="16">
        <f t="shared" si="61"/>
        <v>0.20061020799042759</v>
      </c>
      <c r="BI16" s="16">
        <f t="shared" si="61"/>
        <v>0.20035871135210701</v>
      </c>
      <c r="BJ16" s="16">
        <f t="shared" si="61"/>
        <v>0.19763735740447827</v>
      </c>
      <c r="BK16" s="16">
        <f t="shared" si="61"/>
        <v>0.19484307471985729</v>
      </c>
      <c r="BL16" s="16">
        <f t="shared" si="61"/>
        <v>0.19328799751558676</v>
      </c>
      <c r="BM16" s="16">
        <f t="shared" si="61"/>
        <v>0.21476387208361952</v>
      </c>
      <c r="BN16" s="16">
        <f t="shared" si="61"/>
        <v>0.23330331301649576</v>
      </c>
      <c r="BO16" s="16">
        <f t="shared" si="61"/>
        <v>0.21657576423566055</v>
      </c>
      <c r="BP16" s="16">
        <f t="shared" si="61"/>
        <v>0.2082820699687282</v>
      </c>
      <c r="BQ16" s="16">
        <f t="shared" si="61"/>
        <v>0.20561701208904293</v>
      </c>
      <c r="BR16" s="16">
        <f t="shared" si="61"/>
        <v>0.20883898190885236</v>
      </c>
      <c r="BS16" s="16">
        <f t="shared" ref="BS16:CM16" si="62">BS15/BS4</f>
        <v>0.2103922273109616</v>
      </c>
      <c r="BT16" s="16">
        <f t="shared" si="62"/>
        <v>0.21191604463283775</v>
      </c>
      <c r="BU16" s="16">
        <f t="shared" si="62"/>
        <v>0.21219334410384169</v>
      </c>
      <c r="BV16" s="16">
        <f t="shared" si="62"/>
        <v>0.20979683730327747</v>
      </c>
      <c r="BW16" s="16">
        <f t="shared" si="62"/>
        <v>0.21046148508399976</v>
      </c>
      <c r="BX16" s="16">
        <f t="shared" si="62"/>
        <v>0.20619971488057998</v>
      </c>
      <c r="BY16" s="16">
        <f t="shared" ref="BY16:CK16" si="63">BY15/BY4</f>
        <v>0.22490101137906415</v>
      </c>
      <c r="BZ16" s="16">
        <f t="shared" si="63"/>
        <v>0.23899776233813627</v>
      </c>
      <c r="CA16" s="16">
        <f t="shared" si="63"/>
        <v>0.21919696691611651</v>
      </c>
      <c r="CB16" s="16">
        <f t="shared" si="63"/>
        <v>0.21700302767244856</v>
      </c>
      <c r="CC16" s="16">
        <f t="shared" si="63"/>
        <v>0.21364378693144309</v>
      </c>
      <c r="CD16" s="16">
        <f t="shared" si="63"/>
        <v>0.21651423436091077</v>
      </c>
      <c r="CE16" s="16">
        <f t="shared" si="63"/>
        <v>0.21791395179945103</v>
      </c>
      <c r="CF16" s="16">
        <f t="shared" si="63"/>
        <v>0.21928710719691721</v>
      </c>
      <c r="CG16" s="16">
        <f t="shared" si="63"/>
        <v>0.22005053175122585</v>
      </c>
      <c r="CH16" s="16">
        <f t="shared" si="63"/>
        <v>0.22101745016352262</v>
      </c>
      <c r="CI16" s="16">
        <f t="shared" si="63"/>
        <v>0.21890329113949827</v>
      </c>
      <c r="CJ16" s="16">
        <f t="shared" si="63"/>
        <v>0.21517958923383562</v>
      </c>
      <c r="CK16" s="16">
        <f t="shared" si="63"/>
        <v>0.23133736993216211</v>
      </c>
      <c r="CM16" s="16">
        <f t="shared" si="62"/>
        <v>4.8923168878404241E-2</v>
      </c>
      <c r="CN16" s="16">
        <f t="shared" ref="CN16" si="64">CN15/CN4</f>
        <v>6.8494581519127878E-2</v>
      </c>
      <c r="CO16" s="428">
        <f t="shared" ref="CO16" si="65">CO15/CO4</f>
        <v>0.12694878949260494</v>
      </c>
      <c r="CP16" s="429">
        <f t="shared" ref="CP16" si="66">CP15/CP4</f>
        <v>0.13020336771370755</v>
      </c>
      <c r="CQ16" s="421">
        <f t="shared" ref="CQ16" si="67">CQ15/CQ4</f>
        <v>0.15260459645215418</v>
      </c>
      <c r="CR16" s="421">
        <f t="shared" ref="CR16" si="68">CR15/CR4</f>
        <v>0.19413396088596047</v>
      </c>
      <c r="CS16" s="421">
        <f t="shared" ref="CS16:CU16" si="69">CS15/CS4</f>
        <v>0.20121082732024817</v>
      </c>
      <c r="CT16" s="421">
        <f t="shared" si="69"/>
        <v>0.212820419184964</v>
      </c>
      <c r="CU16" s="421">
        <f t="shared" si="69"/>
        <v>0.22047625187831196</v>
      </c>
      <c r="CV16" s="156" t="s">
        <v>427</v>
      </c>
      <c r="CW16" s="156"/>
      <c r="CX16" s="156"/>
    </row>
    <row r="17" spans="2:102" x14ac:dyDescent="0.2">
      <c r="B17" s="92"/>
      <c r="C17" s="91"/>
      <c r="D17" s="9"/>
      <c r="E17" s="9"/>
      <c r="CM17" s="11"/>
      <c r="CO17" s="432"/>
      <c r="CP17" s="433"/>
    </row>
    <row r="18" spans="2:102" x14ac:dyDescent="0.2">
      <c r="B18" s="90" t="s">
        <v>55</v>
      </c>
      <c r="C18" s="91" t="s">
        <v>4</v>
      </c>
      <c r="D18" s="9"/>
      <c r="E18" s="318"/>
      <c r="F18" s="11">
        <f>Мясо!F16</f>
        <v>-840.57800000000009</v>
      </c>
      <c r="G18" s="11">
        <f>Мясо!G16</f>
        <v>-854.80499999999995</v>
      </c>
      <c r="H18" s="11">
        <f>Мясо!H16</f>
        <v>-854.80499999999995</v>
      </c>
      <c r="I18" s="11">
        <f>Мясо!I16</f>
        <v>-861.96199999999999</v>
      </c>
      <c r="J18" s="11">
        <f>Мясо!J16</f>
        <v>-787.94299999999998</v>
      </c>
      <c r="K18" s="11">
        <f>Мясо!K16</f>
        <v>-792.99599999999998</v>
      </c>
      <c r="L18" s="11">
        <f>Мясо!L16</f>
        <v>-793.68499999999995</v>
      </c>
      <c r="M18" s="11">
        <f>Мясо!M16</f>
        <v>-759.68499999999995</v>
      </c>
      <c r="N18" s="11">
        <f>Мясо!N16</f>
        <v>-736.4</v>
      </c>
      <c r="O18" s="11">
        <f>Мясо!O16</f>
        <v>-738.89499999999998</v>
      </c>
      <c r="P18" s="11">
        <f>Мясо!P16</f>
        <v>-738.89499999999998</v>
      </c>
      <c r="Q18" s="11">
        <f>Мясо!Q16</f>
        <v>-305.536</v>
      </c>
      <c r="R18" s="11">
        <f>Мясо!R16</f>
        <v>-187.66666666666669</v>
      </c>
      <c r="S18" s="11">
        <f>Мясо!S16</f>
        <v>-187.66666666666669</v>
      </c>
      <c r="T18" s="11">
        <f>Мясо!T16</f>
        <v>-187.66666666666669</v>
      </c>
      <c r="U18" s="11">
        <f>Мясо!U16</f>
        <v>-187.66666666666669</v>
      </c>
      <c r="V18" s="11">
        <f>Мясо!V16</f>
        <v>-187.66666666666669</v>
      </c>
      <c r="W18" s="11">
        <f>Мясо!W16</f>
        <v>-187.66666666666669</v>
      </c>
      <c r="X18" s="11">
        <f>Мясо!X16</f>
        <v>-491.5</v>
      </c>
      <c r="Y18" s="11">
        <f>Мясо!Y16</f>
        <v>-491.5</v>
      </c>
      <c r="Z18" s="11">
        <f>Мясо!Z16</f>
        <v>-491.5</v>
      </c>
      <c r="AA18" s="11">
        <f>Мясо!AA16</f>
        <v>-491.5</v>
      </c>
      <c r="AB18" s="11">
        <f>Мясо!AB16</f>
        <v>-491.5</v>
      </c>
      <c r="AC18" s="11">
        <f>Мясо!AC16</f>
        <v>-491.5</v>
      </c>
      <c r="AD18" s="11">
        <f>Мясо!AD16</f>
        <v>-275.83194444444439</v>
      </c>
      <c r="AE18" s="11">
        <f>Мясо!AE16</f>
        <v>-274.75209490740735</v>
      </c>
      <c r="AF18" s="11">
        <f>Мясо!AF16</f>
        <v>-283.3201330054012</v>
      </c>
      <c r="AG18" s="11">
        <f>Мясо!AG16</f>
        <v>-324.87649300813393</v>
      </c>
      <c r="AH18" s="11">
        <f>Мясо!AH16</f>
        <v>-445.4157166775106</v>
      </c>
      <c r="AI18" s="11">
        <f>Мясо!AI16</f>
        <v>-545.79766903853135</v>
      </c>
      <c r="AJ18" s="11">
        <f>Мясо!AJ16</f>
        <v>-2853.6764384632102</v>
      </c>
      <c r="AK18" s="11">
        <f>Мясо!AK16</f>
        <v>-2902.7395514760165</v>
      </c>
      <c r="AL18" s="11">
        <f>Мясо!AL16</f>
        <v>-2902.7826941026055</v>
      </c>
      <c r="AM18" s="11">
        <f>Мясо!AM16</f>
        <v>-2883.7282549850838</v>
      </c>
      <c r="AN18" s="11">
        <f>Мясо!AN16</f>
        <v>-2864.8326028602082</v>
      </c>
      <c r="AO18" s="11">
        <f>Мясо!AO16</f>
        <v>-2846.0944145030394</v>
      </c>
      <c r="AP18" s="11">
        <f>Мясо!AP16</f>
        <v>-2827.5123777155145</v>
      </c>
      <c r="AQ18" s="11">
        <f>Мясо!AQ16</f>
        <v>-2809.085191234552</v>
      </c>
      <c r="AR18" s="11">
        <f>Мясо!AR16</f>
        <v>-2790.8115646409306</v>
      </c>
      <c r="AS18" s="11">
        <f>Мясо!AS16</f>
        <v>-2772.6902182689228</v>
      </c>
      <c r="AT18" s="11">
        <f>Мясо!AT16</f>
        <v>-2754.719883116682</v>
      </c>
      <c r="AU18" s="11">
        <f>Мясо!AU16</f>
        <v>-2736.8993007573763</v>
      </c>
      <c r="AV18" s="11">
        <f>Мясо!AV16</f>
        <v>-2719.227223251065</v>
      </c>
      <c r="AW18" s="11">
        <f>Мясо!AW16</f>
        <v>-2701.7024130573059</v>
      </c>
      <c r="AX18" s="11">
        <f>Мясо!AX16</f>
        <v>-2684.323642948495</v>
      </c>
      <c r="AY18" s="11">
        <f>Мясо!AY16</f>
        <v>-2667.0896959239244</v>
      </c>
      <c r="AZ18" s="11">
        <f>Мясо!AZ16</f>
        <v>-2649.9993651245586</v>
      </c>
      <c r="BA18" s="11">
        <f>Мясо!BA16</f>
        <v>-2633.0514537485205</v>
      </c>
      <c r="BB18" s="11">
        <f>Мясо!BB16</f>
        <v>-2616.2447749672824</v>
      </c>
      <c r="BC18" s="11">
        <f>Мясо!BC16</f>
        <v>-2599.5781518425556</v>
      </c>
      <c r="BD18" s="11">
        <f>Мясо!BD16</f>
        <v>-2583.0504172438673</v>
      </c>
      <c r="BE18" s="11">
        <f>Мясо!BE16</f>
        <v>-2566.6604137668351</v>
      </c>
      <c r="BF18" s="11">
        <f>Мясо!BF16</f>
        <v>-2550.4069936521114</v>
      </c>
      <c r="BG18" s="11">
        <f>Мясо!BG16</f>
        <v>-2534.2890187050102</v>
      </c>
      <c r="BH18" s="11">
        <f>Мясо!BH16</f>
        <v>-2518.305360215802</v>
      </c>
      <c r="BI18" s="11">
        <f>Мясо!BI16</f>
        <v>-2502.4548988806705</v>
      </c>
      <c r="BJ18" s="11">
        <f>Мясо!BJ16</f>
        <v>-2486.7365247233315</v>
      </c>
      <c r="BK18" s="11">
        <f>Мясо!BK16</f>
        <v>-2471.1491370173035</v>
      </c>
      <c r="BL18" s="11">
        <f>Мясо!BL16</f>
        <v>-2455.6916442088259</v>
      </c>
      <c r="BM18" s="11">
        <f>Мясо!BM16</f>
        <v>-2440.3629638404186</v>
      </c>
      <c r="BN18" s="11">
        <f>Мясо!BN16</f>
        <v>-2425.1620224750818</v>
      </c>
      <c r="BO18" s="11">
        <f>Мясо!BO16</f>
        <v>-2410.0877556211226</v>
      </c>
      <c r="BP18" s="11">
        <f>Мясо!BP16</f>
        <v>-2395.1391076576133</v>
      </c>
      <c r="BQ18" s="11">
        <f>Мясо!BQ16</f>
        <v>-2380.3150317604668</v>
      </c>
      <c r="BR18" s="11">
        <f>Мясо!BR16</f>
        <v>-2365.6144898291295</v>
      </c>
      <c r="BS18" s="11">
        <f>Мясо!BS16</f>
        <v>-2351.0364524138868</v>
      </c>
      <c r="BT18" s="11">
        <f>Мясо!BT16</f>
        <v>-2336.5798986437712</v>
      </c>
      <c r="BU18" s="11">
        <f>Мясо!BU16</f>
        <v>-2322.2438161550731</v>
      </c>
      <c r="BV18" s="11">
        <f>Мясо!BV16</f>
        <v>-2308.0272010204476</v>
      </c>
      <c r="BW18" s="11">
        <f>Мясо!BW16</f>
        <v>-2293.9290576786102</v>
      </c>
      <c r="BX18" s="11">
        <f>Мясо!BX16</f>
        <v>-2279.948398864622</v>
      </c>
      <c r="BY18" s="11">
        <f>Мясо!BY16</f>
        <v>-2266.0842455407501</v>
      </c>
      <c r="BZ18" s="11">
        <f>Мясо!BZ16</f>
        <v>-2252.3356268279103</v>
      </c>
      <c r="CA18" s="11">
        <f>Мясо!CA16</f>
        <v>-2238.7015799376777</v>
      </c>
      <c r="CB18" s="11">
        <f>Мясо!CB16</f>
        <v>-2225.1811501048637</v>
      </c>
      <c r="CC18" s="11">
        <f>Мясо!CC16</f>
        <v>-2211.7733905206569</v>
      </c>
      <c r="CD18" s="11">
        <f>Мясо!CD16</f>
        <v>-2198.4773622663179</v>
      </c>
      <c r="CE18" s="11">
        <f>Мясо!CE16</f>
        <v>-2185.2921342474319</v>
      </c>
      <c r="CF18" s="11">
        <f>Мясо!CF16</f>
        <v>-2172.2167831287034</v>
      </c>
      <c r="CG18" s="11">
        <f>Мясо!CG16</f>
        <v>-2159.2503932692975</v>
      </c>
      <c r="CH18" s="11">
        <f>Мясо!CH16</f>
        <v>-2146.3920566587203</v>
      </c>
      <c r="CI18" s="11">
        <f>Мясо!CI16</f>
        <v>-2133.6408728532306</v>
      </c>
      <c r="CJ18" s="11">
        <f>Мясо!CJ16</f>
        <v>-2120.9959489127873</v>
      </c>
      <c r="CK18" s="11">
        <f>Мясо!CK16</f>
        <v>-2108.4563993385141</v>
      </c>
      <c r="CM18" s="11">
        <f>Мясо!CM16</f>
        <v>0</v>
      </c>
      <c r="CN18" s="11">
        <f>Мясо!CN16</f>
        <v>0</v>
      </c>
      <c r="CO18" s="430">
        <f t="shared" ref="CO18" si="70">SUMIF($F$2:$CK$2,CO$3,$F18:$CK18)</f>
        <v>-9066.1849999999995</v>
      </c>
      <c r="CP18" s="431">
        <f>SUMIF($L$2:$CK$2,CP$3,$L18:$CK18)</f>
        <v>-4075</v>
      </c>
      <c r="CQ18" s="11">
        <f>SUMIF($L$2:$CK$2,CQ$3,$L18:$CK18)</f>
        <v>-19403.848007471595</v>
      </c>
      <c r="CR18" s="11">
        <f>SUMIF($L$2:$CK$2,CR$3,$L18:$CK18)</f>
        <v>-32747.112329787851</v>
      </c>
      <c r="CS18" s="11">
        <f>SUMIF($L$2:$CK$2,CS$3,$L18:$CK18)</f>
        <v>-30324.930299064017</v>
      </c>
      <c r="CT18" s="11">
        <f t="shared" ref="CT18:CU18" si="71">SUMIF($L$2:$CK$2,CT$3,$L18:$CK18)</f>
        <v>-28134.167477660572</v>
      </c>
      <c r="CU18" s="11">
        <f t="shared" si="71"/>
        <v>-26152.713698066109</v>
      </c>
    </row>
    <row r="19" spans="2:102" x14ac:dyDescent="0.2">
      <c r="B19" s="92"/>
      <c r="C19" s="91"/>
      <c r="D19" s="9"/>
      <c r="E19" s="9"/>
      <c r="CM19" s="11"/>
      <c r="CO19" s="432"/>
      <c r="CP19" s="433"/>
    </row>
    <row r="20" spans="2:102" s="12" customFormat="1" x14ac:dyDescent="0.2">
      <c r="B20" s="88" t="s">
        <v>61</v>
      </c>
      <c r="C20" s="89" t="s">
        <v>4</v>
      </c>
      <c r="D20" s="13"/>
      <c r="E20" s="318"/>
      <c r="F20" s="18">
        <f>SUM(F15,F18)</f>
        <v>1414.848929033375</v>
      </c>
      <c r="G20" s="18">
        <f t="shared" ref="G20:K20" si="72">SUM(G15,G18)</f>
        <v>4501.8057662738984</v>
      </c>
      <c r="H20" s="18">
        <f t="shared" si="72"/>
        <v>3157.0448564059448</v>
      </c>
      <c r="I20" s="18">
        <f t="shared" si="72"/>
        <v>4408.5061111892956</v>
      </c>
      <c r="J20" s="18">
        <f t="shared" si="72"/>
        <v>4594.6902803854264</v>
      </c>
      <c r="K20" s="18">
        <f t="shared" si="72"/>
        <v>3585.8344463036492</v>
      </c>
      <c r="L20" s="18">
        <f>SUM(L15,L18)</f>
        <v>5623.2773559330617</v>
      </c>
      <c r="M20" s="18">
        <f t="shared" ref="M20:AW20" si="73">SUM(M15,M18)</f>
        <v>4715.2622781340178</v>
      </c>
      <c r="N20" s="18">
        <f t="shared" si="73"/>
        <v>4519.2604398251742</v>
      </c>
      <c r="O20" s="18">
        <f t="shared" si="73"/>
        <v>3987.2074245691051</v>
      </c>
      <c r="P20" s="18">
        <f t="shared" si="73"/>
        <v>5586.5356530676054</v>
      </c>
      <c r="Q20" s="18">
        <f t="shared" si="73"/>
        <v>7411.7868197364851</v>
      </c>
      <c r="R20" s="18">
        <f t="shared" si="73"/>
        <v>2842.4752540995287</v>
      </c>
      <c r="S20" s="18">
        <f t="shared" si="73"/>
        <v>508.59201830647731</v>
      </c>
      <c r="T20" s="14">
        <f t="shared" si="73"/>
        <v>12851.998112457992</v>
      </c>
      <c r="U20" s="14">
        <f t="shared" si="73"/>
        <v>1707.376864072271</v>
      </c>
      <c r="V20" s="14">
        <f t="shared" si="73"/>
        <v>3752.4311844860645</v>
      </c>
      <c r="W20" s="14">
        <f t="shared" si="73"/>
        <v>3675.3335728655952</v>
      </c>
      <c r="X20" s="14">
        <f t="shared" si="73"/>
        <v>3420.0051161891552</v>
      </c>
      <c r="Y20" s="14">
        <f t="shared" si="73"/>
        <v>3181.1606825879544</v>
      </c>
      <c r="Z20" s="14">
        <f t="shared" si="73"/>
        <v>3626.5187929614958</v>
      </c>
      <c r="AA20" s="14">
        <f t="shared" si="73"/>
        <v>9614.5360072012718</v>
      </c>
      <c r="AB20" s="14">
        <f t="shared" si="73"/>
        <v>9229.321303324461</v>
      </c>
      <c r="AC20" s="14">
        <f t="shared" si="73"/>
        <v>12174.382233663475</v>
      </c>
      <c r="AD20" s="14">
        <f t="shared" si="73"/>
        <v>2569.2997228817903</v>
      </c>
      <c r="AE20" s="14">
        <f t="shared" si="73"/>
        <v>2939.3952780949521</v>
      </c>
      <c r="AF20" s="14">
        <f t="shared" si="73"/>
        <v>5222.5068193491297</v>
      </c>
      <c r="AG20" s="14">
        <f t="shared" si="73"/>
        <v>5234.5314130341721</v>
      </c>
      <c r="AH20" s="14">
        <f t="shared" si="73"/>
        <v>5782.5021685878501</v>
      </c>
      <c r="AI20" s="14">
        <f t="shared" si="73"/>
        <v>5683.1682788705084</v>
      </c>
      <c r="AJ20" s="14">
        <f t="shared" si="73"/>
        <v>3215.8945762798435</v>
      </c>
      <c r="AK20" s="14">
        <f t="shared" si="73"/>
        <v>9532.5406284923338</v>
      </c>
      <c r="AL20" s="14">
        <f t="shared" si="73"/>
        <v>11264.832948795263</v>
      </c>
      <c r="AM20" s="14">
        <f t="shared" si="73"/>
        <v>11604.438882236662</v>
      </c>
      <c r="AN20" s="14">
        <f t="shared" si="73"/>
        <v>12513.251158970656</v>
      </c>
      <c r="AO20" s="14">
        <f t="shared" si="73"/>
        <v>17677.692588841644</v>
      </c>
      <c r="AP20" s="14">
        <f t="shared" si="73"/>
        <v>14932.812373686114</v>
      </c>
      <c r="AQ20" s="14">
        <f t="shared" si="73"/>
        <v>17897.393451465148</v>
      </c>
      <c r="AR20" s="14">
        <f t="shared" si="73"/>
        <v>21286.17227991873</v>
      </c>
      <c r="AS20" s="14">
        <f t="shared" si="73"/>
        <v>22481.264724368011</v>
      </c>
      <c r="AT20" s="14">
        <f t="shared" si="73"/>
        <v>23802.660645190619</v>
      </c>
      <c r="AU20" s="14">
        <f t="shared" si="73"/>
        <v>23496.968969222002</v>
      </c>
      <c r="AV20" s="14">
        <f t="shared" si="73"/>
        <v>24321.088826546686</v>
      </c>
      <c r="AW20" s="14">
        <f t="shared" si="73"/>
        <v>24096.177157263162</v>
      </c>
      <c r="AX20" s="14">
        <f t="shared" ref="AX20:BU20" si="74">SUM(AX15,AX18)</f>
        <v>23037.353227867548</v>
      </c>
      <c r="AY20" s="14">
        <f t="shared" si="74"/>
        <v>22115.532179629008</v>
      </c>
      <c r="AZ20" s="14">
        <f t="shared" si="74"/>
        <v>20607.897118442772</v>
      </c>
      <c r="BA20" s="14">
        <f t="shared" si="74"/>
        <v>30338.019498111011</v>
      </c>
      <c r="BB20" s="14">
        <f t="shared" si="74"/>
        <v>20445.276518135859</v>
      </c>
      <c r="BC20" s="14">
        <f t="shared" si="74"/>
        <v>22349.319441496409</v>
      </c>
      <c r="BD20" s="14">
        <f t="shared" si="74"/>
        <v>25395.331551388314</v>
      </c>
      <c r="BE20" s="14">
        <f t="shared" si="74"/>
        <v>27257.083576718869</v>
      </c>
      <c r="BF20" s="14">
        <f t="shared" si="74"/>
        <v>29073.452855762742</v>
      </c>
      <c r="BG20" s="14">
        <f t="shared" si="74"/>
        <v>30010.679960378307</v>
      </c>
      <c r="BH20" s="14">
        <f t="shared" si="74"/>
        <v>30966.830667393835</v>
      </c>
      <c r="BI20" s="14">
        <f t="shared" si="74"/>
        <v>29328.576881398312</v>
      </c>
      <c r="BJ20" s="14">
        <f t="shared" si="74"/>
        <v>28007.414779638424</v>
      </c>
      <c r="BK20" s="14">
        <f t="shared" si="74"/>
        <v>26730.634742122489</v>
      </c>
      <c r="BL20" s="14">
        <f t="shared" si="74"/>
        <v>25494.97006789377</v>
      </c>
      <c r="BM20" s="14">
        <f t="shared" si="74"/>
        <v>38090.614474406386</v>
      </c>
      <c r="BN20" s="14">
        <f t="shared" si="74"/>
        <v>25416.014218922239</v>
      </c>
      <c r="BO20" s="14">
        <f t="shared" si="74"/>
        <v>27629.143335207409</v>
      </c>
      <c r="BP20" s="14">
        <f t="shared" si="74"/>
        <v>32320.914418470271</v>
      </c>
      <c r="BQ20" s="14">
        <f t="shared" si="74"/>
        <v>34484.390244532457</v>
      </c>
      <c r="BR20" s="14">
        <f t="shared" si="74"/>
        <v>36598.924264843459</v>
      </c>
      <c r="BS20" s="14">
        <f t="shared" si="74"/>
        <v>37688.164967082805</v>
      </c>
      <c r="BT20" s="14">
        <f t="shared" si="74"/>
        <v>38799.534668249224</v>
      </c>
      <c r="BU20" s="14">
        <f t="shared" si="74"/>
        <v>36887.901287667708</v>
      </c>
      <c r="BV20" s="14">
        <f t="shared" ref="BV20:BX20" si="75">SUM(BV15,BV18)</f>
        <v>35343.214549947304</v>
      </c>
      <c r="BW20" s="14">
        <f t="shared" si="75"/>
        <v>34889.187246730638</v>
      </c>
      <c r="BX20" s="14">
        <f t="shared" si="75"/>
        <v>32405.41454818234</v>
      </c>
      <c r="BY20" s="14">
        <f t="shared" ref="BY20:CK20" si="76">SUM(BY15,BY18)</f>
        <v>47108.99967477376</v>
      </c>
      <c r="BZ20" s="14">
        <f t="shared" si="76"/>
        <v>30211.574162514738</v>
      </c>
      <c r="CA20" s="14">
        <f t="shared" si="76"/>
        <v>32427.73073968889</v>
      </c>
      <c r="CB20" s="14">
        <f t="shared" si="76"/>
        <v>39068.911946079308</v>
      </c>
      <c r="CC20" s="14">
        <f t="shared" si="76"/>
        <v>41549.821938217116</v>
      </c>
      <c r="CD20" s="14">
        <f t="shared" si="76"/>
        <v>43960.968658004262</v>
      </c>
      <c r="CE20" s="14">
        <f t="shared" si="76"/>
        <v>45213.104776768225</v>
      </c>
      <c r="CF20" s="14">
        <f t="shared" si="76"/>
        <v>46491.093106268956</v>
      </c>
      <c r="CG20" s="14">
        <f t="shared" si="76"/>
        <v>44328.580355903665</v>
      </c>
      <c r="CH20" s="14">
        <f t="shared" si="76"/>
        <v>43837.664331769971</v>
      </c>
      <c r="CI20" s="14">
        <f t="shared" si="76"/>
        <v>42113.866675738987</v>
      </c>
      <c r="CJ20" s="14">
        <f t="shared" si="76"/>
        <v>39298.712939401652</v>
      </c>
      <c r="CK20" s="14">
        <f t="shared" si="76"/>
        <v>55989.551106836705</v>
      </c>
      <c r="CM20" s="14">
        <f>SUM(CM15,CM18)</f>
        <v>15388</v>
      </c>
      <c r="CN20" s="14">
        <f>SUM(CN15,CN18)</f>
        <v>23075.07107339747</v>
      </c>
      <c r="CO20" s="434">
        <f t="shared" ref="CO20:CP20" si="77">SUM(CO15,CO18)</f>
        <v>53506.060360857067</v>
      </c>
      <c r="CP20" s="435">
        <f t="shared" si="77"/>
        <v>66584.131142215672</v>
      </c>
      <c r="CQ20" s="14">
        <f t="shared" ref="CQ20:CS20" si="78">SUM(CQ15,CQ18)</f>
        <v>93240.054464434797</v>
      </c>
      <c r="CR20" s="14">
        <f t="shared" si="78"/>
        <v>268413.34045171074</v>
      </c>
      <c r="CS20" s="14">
        <f t="shared" si="78"/>
        <v>333150.18551673385</v>
      </c>
      <c r="CT20" s="14">
        <f t="shared" ref="CT20:CU20" si="79">SUM(CT15,CT18)</f>
        <v>419571.80342460971</v>
      </c>
      <c r="CU20" s="14">
        <f t="shared" si="79"/>
        <v>504491.58073719271</v>
      </c>
      <c r="CV20" s="156"/>
      <c r="CW20" s="156"/>
      <c r="CX20" s="156"/>
    </row>
    <row r="21" spans="2:102" x14ac:dyDescent="0.2">
      <c r="B21" s="92"/>
      <c r="C21" s="91"/>
      <c r="D21" s="9"/>
      <c r="E21" s="9"/>
      <c r="CM21" s="11"/>
      <c r="CO21" s="432"/>
      <c r="CP21" s="433"/>
    </row>
    <row r="22" spans="2:102" x14ac:dyDescent="0.2">
      <c r="B22" s="90" t="s">
        <v>63</v>
      </c>
      <c r="C22" s="91" t="s">
        <v>4</v>
      </c>
      <c r="D22" s="9"/>
      <c r="E22" s="318"/>
      <c r="F22" s="11">
        <v>-380.88021000000003</v>
      </c>
      <c r="G22" s="11">
        <v>-393.93396000000001</v>
      </c>
      <c r="H22" s="11">
        <v>-370.53237999999999</v>
      </c>
      <c r="I22" s="11">
        <v>-488.73934000000003</v>
      </c>
      <c r="J22" s="11">
        <v>-413.36180999999999</v>
      </c>
      <c r="K22" s="11">
        <v>-431.39737000000002</v>
      </c>
      <c r="L22" s="11">
        <v>-406.07678999999996</v>
      </c>
      <c r="M22" s="11">
        <v>-441.80998999999997</v>
      </c>
      <c r="N22" s="11">
        <v>-456.26221000000004</v>
      </c>
      <c r="O22" s="11">
        <v>-467.70496999999995</v>
      </c>
      <c r="P22" s="11">
        <f>-570.72433-18</f>
        <v>-588.72433000000001</v>
      </c>
      <c r="Q22" s="11">
        <v>-661.54683</v>
      </c>
      <c r="R22" s="11">
        <v>-537.87982999999997</v>
      </c>
      <c r="S22" s="11">
        <f t="shared" ref="R22:W23" si="80">R22</f>
        <v>-537.87982999999997</v>
      </c>
      <c r="T22" s="11">
        <f t="shared" si="80"/>
        <v>-537.87982999999997</v>
      </c>
      <c r="U22" s="11">
        <f t="shared" si="80"/>
        <v>-537.87982999999997</v>
      </c>
      <c r="V22" s="11">
        <f t="shared" si="80"/>
        <v>-537.87982999999997</v>
      </c>
      <c r="W22" s="11">
        <f t="shared" si="80"/>
        <v>-537.87982999999997</v>
      </c>
      <c r="X22" s="11">
        <f>-X146</f>
        <v>-1340.77</v>
      </c>
      <c r="Y22" s="11">
        <f t="shared" ref="Y22:BX22" si="81">-Y146</f>
        <v>-1378.5070000000001</v>
      </c>
      <c r="Z22" s="11">
        <f t="shared" si="81"/>
        <v>-1669.6325530236363</v>
      </c>
      <c r="AA22" s="11">
        <f t="shared" si="81"/>
        <v>-1568.1746363569698</v>
      </c>
      <c r="AB22" s="11">
        <f t="shared" si="81"/>
        <v>-1558.8978446903031</v>
      </c>
      <c r="AC22" s="11">
        <f t="shared" si="81"/>
        <v>-1485.7910113569699</v>
      </c>
      <c r="AD22" s="11">
        <f t="shared" si="81"/>
        <v>-1515.9992334236365</v>
      </c>
      <c r="AE22" s="11">
        <f t="shared" si="81"/>
        <v>-1552.4575111236363</v>
      </c>
      <c r="AF22" s="11">
        <f t="shared" si="81"/>
        <v>-1591.0724554903031</v>
      </c>
      <c r="AG22" s="11">
        <f t="shared" si="81"/>
        <v>-1423.0295108903031</v>
      </c>
      <c r="AH22" s="11">
        <f t="shared" si="81"/>
        <v>-1393.5032885903031</v>
      </c>
      <c r="AI22" s="11">
        <f t="shared" si="81"/>
        <v>-1323.3520662903031</v>
      </c>
      <c r="AJ22" s="11">
        <f t="shared" si="81"/>
        <v>-1250.0007883569697</v>
      </c>
      <c r="AK22" s="11">
        <f t="shared" si="81"/>
        <v>-1189.2996216903032</v>
      </c>
      <c r="AL22" s="11">
        <f t="shared" si="81"/>
        <v>-1128.5984550236365</v>
      </c>
      <c r="AM22" s="11">
        <f t="shared" si="81"/>
        <v>-1067.8972883569697</v>
      </c>
      <c r="AN22" s="11">
        <f t="shared" si="81"/>
        <v>-1045.7377883569698</v>
      </c>
      <c r="AO22" s="11">
        <f t="shared" si="81"/>
        <v>-1023.5782883569698</v>
      </c>
      <c r="AP22" s="11">
        <f t="shared" si="81"/>
        <v>-984.15167662363638</v>
      </c>
      <c r="AQ22" s="11">
        <f t="shared" si="81"/>
        <v>-961.99217662363651</v>
      </c>
      <c r="AR22" s="11">
        <f t="shared" si="81"/>
        <v>-939.83267662363642</v>
      </c>
      <c r="AS22" s="11">
        <f t="shared" si="81"/>
        <v>-898.96123217919217</v>
      </c>
      <c r="AT22" s="11">
        <f t="shared" si="81"/>
        <v>-858.08978773474757</v>
      </c>
      <c r="AU22" s="11">
        <f t="shared" si="81"/>
        <v>-817.21834329030298</v>
      </c>
      <c r="AV22" s="11">
        <f t="shared" si="81"/>
        <v>-776.34689884585862</v>
      </c>
      <c r="AW22" s="11">
        <f t="shared" si="81"/>
        <v>-735.47545440141425</v>
      </c>
      <c r="AX22" s="11">
        <f t="shared" si="81"/>
        <v>-694.60400995696978</v>
      </c>
      <c r="AY22" s="11">
        <f t="shared" si="81"/>
        <v>-672.4445099569698</v>
      </c>
      <c r="AZ22" s="11">
        <f t="shared" si="81"/>
        <v>-650.28500995696982</v>
      </c>
      <c r="BA22" s="11">
        <f t="shared" si="81"/>
        <v>-628.12550995696984</v>
      </c>
      <c r="BB22" s="11">
        <f t="shared" si="81"/>
        <v>-515.01906397224252</v>
      </c>
      <c r="BC22" s="11">
        <f t="shared" si="81"/>
        <v>-401.9126179875152</v>
      </c>
      <c r="BD22" s="11">
        <f t="shared" si="81"/>
        <v>-288.80617200278789</v>
      </c>
      <c r="BE22" s="11">
        <f t="shared" si="81"/>
        <v>-175.69972601806063</v>
      </c>
      <c r="BF22" s="11">
        <f t="shared" si="81"/>
        <v>-62.593280033333379</v>
      </c>
      <c r="BG22" s="11">
        <f t="shared" si="81"/>
        <v>-62.593280033333379</v>
      </c>
      <c r="BH22" s="11">
        <f t="shared" si="81"/>
        <v>-62.593280033333379</v>
      </c>
      <c r="BI22" s="11">
        <f t="shared" si="81"/>
        <v>-62.593280033333379</v>
      </c>
      <c r="BJ22" s="11">
        <f t="shared" si="81"/>
        <v>-62.593280033333379</v>
      </c>
      <c r="BK22" s="11">
        <f t="shared" si="81"/>
        <v>-62.593280033333379</v>
      </c>
      <c r="BL22" s="11">
        <f t="shared" si="81"/>
        <v>-62.593280033333379</v>
      </c>
      <c r="BM22" s="11">
        <f t="shared" si="81"/>
        <v>-62.593280033333379</v>
      </c>
      <c r="BN22" s="11">
        <f t="shared" si="81"/>
        <v>-62.593280033333379</v>
      </c>
      <c r="BO22" s="11">
        <f t="shared" si="81"/>
        <v>-62.593280033333379</v>
      </c>
      <c r="BP22" s="11">
        <f t="shared" si="81"/>
        <v>-62.593280033333379</v>
      </c>
      <c r="BQ22" s="11">
        <f t="shared" si="81"/>
        <v>-62.593280033333379</v>
      </c>
      <c r="BR22" s="11">
        <f t="shared" si="81"/>
        <v>-62.593280033333379</v>
      </c>
      <c r="BS22" s="11">
        <f t="shared" si="81"/>
        <v>-62.593280033333379</v>
      </c>
      <c r="BT22" s="11">
        <f t="shared" si="81"/>
        <v>-62.593280033333379</v>
      </c>
      <c r="BU22" s="11">
        <f t="shared" si="81"/>
        <v>-62.593280033333379</v>
      </c>
      <c r="BV22" s="11">
        <f t="shared" si="81"/>
        <v>-62.593280033333379</v>
      </c>
      <c r="BW22" s="11">
        <f t="shared" si="81"/>
        <v>-62.593280033333379</v>
      </c>
      <c r="BX22" s="11">
        <f t="shared" si="81"/>
        <v>-62.593280033333379</v>
      </c>
      <c r="BY22" s="11">
        <f t="shared" ref="BY22:CK22" si="82">-BY146</f>
        <v>-62.593280033333379</v>
      </c>
      <c r="BZ22" s="11">
        <f t="shared" si="82"/>
        <v>-62.593280033333379</v>
      </c>
      <c r="CA22" s="11">
        <f t="shared" si="82"/>
        <v>-62.593280033333379</v>
      </c>
      <c r="CB22" s="11">
        <f t="shared" si="82"/>
        <v>-62.593280033333379</v>
      </c>
      <c r="CC22" s="11">
        <f t="shared" si="82"/>
        <v>-62.593280033333379</v>
      </c>
      <c r="CD22" s="11">
        <f t="shared" si="82"/>
        <v>-62.593280033333379</v>
      </c>
      <c r="CE22" s="11">
        <f t="shared" si="82"/>
        <v>-62.593280033333379</v>
      </c>
      <c r="CF22" s="11">
        <f t="shared" si="82"/>
        <v>-62.593280033333379</v>
      </c>
      <c r="CG22" s="11">
        <f t="shared" si="82"/>
        <v>-62.593280033333379</v>
      </c>
      <c r="CH22" s="11">
        <f t="shared" si="82"/>
        <v>-62.593280033333379</v>
      </c>
      <c r="CI22" s="11">
        <f t="shared" si="82"/>
        <v>-62.593280033333379</v>
      </c>
      <c r="CJ22" s="11">
        <f t="shared" si="82"/>
        <v>-62.593280033333379</v>
      </c>
      <c r="CK22" s="11">
        <f t="shared" si="82"/>
        <v>-62.593280033333379</v>
      </c>
      <c r="CM22" s="11"/>
      <c r="CN22" s="11">
        <f>Мясо!CN20</f>
        <v>-3516</v>
      </c>
      <c r="CO22" s="430">
        <f t="shared" ref="CO22:CO23" si="83">SUMIF($F$2:$CK$2,CO$3,$F22:$CK22)</f>
        <v>-5500.97019</v>
      </c>
      <c r="CP22" s="431">
        <f t="shared" ref="CP22:CS23" si="84">SUMIF($L$2:$CK$2,CP$3,$L22:$CK22)</f>
        <v>-12229.05202542788</v>
      </c>
      <c r="CQ22" s="11">
        <f t="shared" si="84"/>
        <v>-15504.526295950303</v>
      </c>
      <c r="CR22" s="11">
        <f t="shared" si="84"/>
        <v>-9617.5272861503054</v>
      </c>
      <c r="CS22" s="11">
        <f t="shared" si="84"/>
        <v>-1882.1838202472741</v>
      </c>
      <c r="CT22" s="11">
        <f t="shared" ref="CT22:CU23" si="85">SUMIF($L$2:$CK$2,CT$3,$L22:$CK22)</f>
        <v>-751.11936040000057</v>
      </c>
      <c r="CU22" s="11">
        <f t="shared" si="85"/>
        <v>-751.11936040000057</v>
      </c>
    </row>
    <row r="23" spans="2:102" x14ac:dyDescent="0.2">
      <c r="B23" s="90" t="s">
        <v>95</v>
      </c>
      <c r="C23" s="91" t="s">
        <v>4</v>
      </c>
      <c r="D23" s="9"/>
      <c r="E23" s="318"/>
      <c r="F23" s="11">
        <v>-88.737089999999995</v>
      </c>
      <c r="G23" s="11">
        <v>-86.213809999999995</v>
      </c>
      <c r="H23" s="11">
        <v>-73.045839999999998</v>
      </c>
      <c r="I23" s="11">
        <v>-72.906030000000001</v>
      </c>
      <c r="J23" s="11">
        <v>-66.188520000000011</v>
      </c>
      <c r="K23" s="11">
        <v>-65.847220000000007</v>
      </c>
      <c r="L23" s="11">
        <v>-53.345480000000002</v>
      </c>
      <c r="M23" s="11">
        <v>-53.481099999999998</v>
      </c>
      <c r="N23" s="11">
        <v>-47.367789999999999</v>
      </c>
      <c r="O23" s="11">
        <v>-39.507440000000003</v>
      </c>
      <c r="P23" s="11">
        <v>-36.824220000000004</v>
      </c>
      <c r="Q23" s="11">
        <v>-30.787710000000001</v>
      </c>
      <c r="R23" s="11">
        <f t="shared" si="80"/>
        <v>-30.787710000000001</v>
      </c>
      <c r="S23" s="11">
        <f t="shared" si="80"/>
        <v>-30.787710000000001</v>
      </c>
      <c r="T23" s="11">
        <f t="shared" si="80"/>
        <v>-30.787710000000001</v>
      </c>
      <c r="U23" s="11">
        <f t="shared" si="80"/>
        <v>-30.787710000000001</v>
      </c>
      <c r="V23" s="11">
        <f t="shared" si="80"/>
        <v>-30.787710000000001</v>
      </c>
      <c r="W23" s="11">
        <f t="shared" si="80"/>
        <v>-30.787710000000001</v>
      </c>
      <c r="X23" s="11">
        <f>-208</f>
        <v>-208</v>
      </c>
      <c r="Y23" s="11">
        <f>X23</f>
        <v>-208</v>
      </c>
      <c r="Z23" s="11">
        <f t="shared" ref="Z23:BX23" si="86">Y23</f>
        <v>-208</v>
      </c>
      <c r="AA23" s="11">
        <f t="shared" si="86"/>
        <v>-208</v>
      </c>
      <c r="AB23" s="11">
        <f t="shared" si="86"/>
        <v>-208</v>
      </c>
      <c r="AC23" s="11">
        <f t="shared" si="86"/>
        <v>-208</v>
      </c>
      <c r="AD23" s="11">
        <f t="shared" si="86"/>
        <v>-208</v>
      </c>
      <c r="AE23" s="11">
        <f t="shared" si="86"/>
        <v>-208</v>
      </c>
      <c r="AF23" s="11">
        <f t="shared" si="86"/>
        <v>-208</v>
      </c>
      <c r="AG23" s="11">
        <f t="shared" si="86"/>
        <v>-208</v>
      </c>
      <c r="AH23" s="11">
        <f t="shared" si="86"/>
        <v>-208</v>
      </c>
      <c r="AI23" s="11">
        <f t="shared" si="86"/>
        <v>-208</v>
      </c>
      <c r="AJ23" s="11">
        <f t="shared" si="86"/>
        <v>-208</v>
      </c>
      <c r="AK23" s="11">
        <f t="shared" si="86"/>
        <v>-208</v>
      </c>
      <c r="AL23" s="11">
        <f t="shared" si="86"/>
        <v>-208</v>
      </c>
      <c r="AM23" s="11">
        <f t="shared" si="86"/>
        <v>-208</v>
      </c>
      <c r="AN23" s="11">
        <f t="shared" si="86"/>
        <v>-208</v>
      </c>
      <c r="AO23" s="11">
        <f t="shared" si="86"/>
        <v>-208</v>
      </c>
      <c r="AP23" s="11">
        <f t="shared" si="86"/>
        <v>-208</v>
      </c>
      <c r="AQ23" s="11">
        <f t="shared" si="86"/>
        <v>-208</v>
      </c>
      <c r="AR23" s="11">
        <f t="shared" si="86"/>
        <v>-208</v>
      </c>
      <c r="AS23" s="11">
        <f t="shared" si="86"/>
        <v>-208</v>
      </c>
      <c r="AT23" s="11">
        <f t="shared" si="86"/>
        <v>-208</v>
      </c>
      <c r="AU23" s="11">
        <f t="shared" si="86"/>
        <v>-208</v>
      </c>
      <c r="AV23" s="11">
        <f t="shared" si="86"/>
        <v>-208</v>
      </c>
      <c r="AW23" s="11">
        <f t="shared" si="86"/>
        <v>-208</v>
      </c>
      <c r="AX23" s="11">
        <f t="shared" si="86"/>
        <v>-208</v>
      </c>
      <c r="AY23" s="11">
        <f t="shared" si="86"/>
        <v>-208</v>
      </c>
      <c r="AZ23" s="11">
        <f t="shared" si="86"/>
        <v>-208</v>
      </c>
      <c r="BA23" s="11">
        <f t="shared" si="86"/>
        <v>-208</v>
      </c>
      <c r="BB23" s="11">
        <f t="shared" si="86"/>
        <v>-208</v>
      </c>
      <c r="BC23" s="11">
        <f t="shared" si="86"/>
        <v>-208</v>
      </c>
      <c r="BD23" s="11">
        <f t="shared" si="86"/>
        <v>-208</v>
      </c>
      <c r="BE23" s="11">
        <f t="shared" si="86"/>
        <v>-208</v>
      </c>
      <c r="BF23" s="11">
        <f t="shared" si="86"/>
        <v>-208</v>
      </c>
      <c r="BG23" s="11">
        <f t="shared" si="86"/>
        <v>-208</v>
      </c>
      <c r="BH23" s="11">
        <f t="shared" si="86"/>
        <v>-208</v>
      </c>
      <c r="BI23" s="11">
        <f t="shared" si="86"/>
        <v>-208</v>
      </c>
      <c r="BJ23" s="11">
        <f t="shared" si="86"/>
        <v>-208</v>
      </c>
      <c r="BK23" s="11">
        <f t="shared" si="86"/>
        <v>-208</v>
      </c>
      <c r="BL23" s="11">
        <f t="shared" si="86"/>
        <v>-208</v>
      </c>
      <c r="BM23" s="11">
        <f t="shared" si="86"/>
        <v>-208</v>
      </c>
      <c r="BN23" s="11">
        <f t="shared" si="86"/>
        <v>-208</v>
      </c>
      <c r="BO23" s="11">
        <f t="shared" si="86"/>
        <v>-208</v>
      </c>
      <c r="BP23" s="11">
        <f t="shared" si="86"/>
        <v>-208</v>
      </c>
      <c r="BQ23" s="11">
        <f t="shared" si="86"/>
        <v>-208</v>
      </c>
      <c r="BR23" s="11">
        <f t="shared" si="86"/>
        <v>-208</v>
      </c>
      <c r="BS23" s="11">
        <f t="shared" si="86"/>
        <v>-208</v>
      </c>
      <c r="BT23" s="11">
        <f t="shared" si="86"/>
        <v>-208</v>
      </c>
      <c r="BU23" s="11">
        <f t="shared" si="86"/>
        <v>-208</v>
      </c>
      <c r="BV23" s="11">
        <f t="shared" si="86"/>
        <v>-208</v>
      </c>
      <c r="BW23" s="11">
        <f t="shared" si="86"/>
        <v>-208</v>
      </c>
      <c r="BX23" s="11">
        <f t="shared" si="86"/>
        <v>-208</v>
      </c>
      <c r="BY23" s="11">
        <f t="shared" ref="BY23" si="87">BX23</f>
        <v>-208</v>
      </c>
      <c r="BZ23" s="11">
        <f t="shared" ref="BZ23" si="88">BY23</f>
        <v>-208</v>
      </c>
      <c r="CA23" s="11">
        <f t="shared" ref="CA23" si="89">BZ23</f>
        <v>-208</v>
      </c>
      <c r="CB23" s="11">
        <f t="shared" ref="CB23" si="90">CA23</f>
        <v>-208</v>
      </c>
      <c r="CC23" s="11">
        <f t="shared" ref="CC23" si="91">CB23</f>
        <v>-208</v>
      </c>
      <c r="CD23" s="11">
        <f t="shared" ref="CD23" si="92">CC23</f>
        <v>-208</v>
      </c>
      <c r="CE23" s="11">
        <f t="shared" ref="CE23" si="93">CD23</f>
        <v>-208</v>
      </c>
      <c r="CF23" s="11">
        <f t="shared" ref="CF23" si="94">CE23</f>
        <v>-208</v>
      </c>
      <c r="CG23" s="11">
        <f t="shared" ref="CG23" si="95">CF23</f>
        <v>-208</v>
      </c>
      <c r="CH23" s="11">
        <f t="shared" ref="CH23" si="96">CG23</f>
        <v>-208</v>
      </c>
      <c r="CI23" s="11">
        <f t="shared" ref="CI23" si="97">CH23</f>
        <v>-208</v>
      </c>
      <c r="CJ23" s="11">
        <f t="shared" ref="CJ23" si="98">CI23</f>
        <v>-208</v>
      </c>
      <c r="CK23" s="11">
        <f t="shared" ref="CK23" si="99">CJ23</f>
        <v>-208</v>
      </c>
      <c r="CM23" s="11"/>
      <c r="CN23" s="11">
        <f>-1049</f>
        <v>-1049</v>
      </c>
      <c r="CO23" s="430">
        <f t="shared" si="83"/>
        <v>-714.25224999999989</v>
      </c>
      <c r="CP23" s="431">
        <f t="shared" si="84"/>
        <v>-1432.7262599999999</v>
      </c>
      <c r="CQ23" s="11">
        <f t="shared" si="84"/>
        <v>-2496</v>
      </c>
      <c r="CR23" s="11">
        <f t="shared" si="84"/>
        <v>-2496</v>
      </c>
      <c r="CS23" s="11">
        <f t="shared" si="84"/>
        <v>-2496</v>
      </c>
      <c r="CT23" s="11">
        <f t="shared" si="85"/>
        <v>-2496</v>
      </c>
      <c r="CU23" s="11">
        <f t="shared" si="85"/>
        <v>-2496</v>
      </c>
    </row>
    <row r="24" spans="2:102" x14ac:dyDescent="0.2">
      <c r="B24" s="90" t="s">
        <v>306</v>
      </c>
      <c r="C24" s="91"/>
      <c r="D24" s="9"/>
      <c r="E24" s="318"/>
      <c r="F24" s="11">
        <f>Мясо!F22+Мясо!F23</f>
        <v>-713.26294000000053</v>
      </c>
      <c r="G24" s="11">
        <f>Мясо!G22+Мясо!G23</f>
        <v>-657.25982000000295</v>
      </c>
      <c r="H24" s="11">
        <f>Мясо!H22+Мясо!H23</f>
        <v>-389.73338000000149</v>
      </c>
      <c r="I24" s="11">
        <f>Мясо!I22+Мясо!I23</f>
        <v>648.28993000000628</v>
      </c>
      <c r="J24" s="11">
        <f>Мясо!J22+Мясо!J23</f>
        <v>-462.16595000000052</v>
      </c>
      <c r="K24" s="11">
        <f>Мясо!K22+Мясо!K23</f>
        <v>-457.55459999999948</v>
      </c>
      <c r="L24" s="11">
        <f>Мясо!L22+Мясо!L23</f>
        <v>-616.02092000000266</v>
      </c>
      <c r="M24" s="11">
        <f>Мясо!M22+Мясо!M23</f>
        <v>-563.42616000000089</v>
      </c>
      <c r="N24" s="11">
        <f>Мясо!N22+Мясо!N23</f>
        <v>-308.66974999999911</v>
      </c>
      <c r="O24" s="11">
        <f>Мясо!O22+Мясо!O23</f>
        <v>-610.5051999999996</v>
      </c>
      <c r="P24" s="11">
        <f>Мясо!P22+Мясо!P23</f>
        <v>-556.06926999999996</v>
      </c>
      <c r="Q24" s="11">
        <f>Мясо!Q22+Мясо!Q23</f>
        <v>-603.08458000000246</v>
      </c>
      <c r="R24" s="11">
        <f>Мясо!R22+Мясо!R23</f>
        <v>-606.5</v>
      </c>
      <c r="S24" s="11">
        <f>Мясо!S22+Мясо!S23</f>
        <v>-606.5</v>
      </c>
      <c r="T24" s="11">
        <f>Мясо!T22+Мясо!T23</f>
        <v>-606.5</v>
      </c>
      <c r="U24" s="11">
        <f>Мясо!U22+Мясо!U23</f>
        <v>-606.5</v>
      </c>
      <c r="V24" s="11">
        <f>Мясо!V22+Мясо!V23</f>
        <v>-606.5</v>
      </c>
      <c r="W24" s="11">
        <f>Мясо!W22+Мясо!W23</f>
        <v>-606.5</v>
      </c>
      <c r="X24" s="11">
        <f>Мясо!X22+Мясо!X23</f>
        <v>-36.66666666666606</v>
      </c>
      <c r="Y24" s="11">
        <f>Мясо!Y22+Мясо!Y23</f>
        <v>-36.66666666666606</v>
      </c>
      <c r="Z24" s="11">
        <f>Мясо!Z22+Мясо!Z23</f>
        <v>-36.66666666666606</v>
      </c>
      <c r="AA24" s="11">
        <f>Мясо!AA22+Мясо!AA23</f>
        <v>-36.66666666666606</v>
      </c>
      <c r="AB24" s="11">
        <f>Мясо!AB22+Мясо!AB23</f>
        <v>-36.66666666666606</v>
      </c>
      <c r="AC24" s="11">
        <f>Мясо!AC22+Мясо!AC23</f>
        <v>-36.66666666666606</v>
      </c>
      <c r="AD24" s="11">
        <f>Мясо!AD22+Мясо!AD23</f>
        <v>0</v>
      </c>
      <c r="AE24" s="11">
        <f>Мясо!AE22+Мясо!AE23</f>
        <v>0</v>
      </c>
      <c r="AF24" s="11">
        <f>Мясо!AF22+Мясо!AF23</f>
        <v>0</v>
      </c>
      <c r="AG24" s="11">
        <f>Мясо!AG22+Мясо!AG23</f>
        <v>0</v>
      </c>
      <c r="AH24" s="11">
        <f>Мясо!AH22+Мясо!AH23</f>
        <v>0</v>
      </c>
      <c r="AI24" s="11">
        <f>Мясо!AI22+Мясо!AI23</f>
        <v>0</v>
      </c>
      <c r="AJ24" s="11">
        <f>Мясо!AJ22+Мясо!AJ23</f>
        <v>0</v>
      </c>
      <c r="AK24" s="11">
        <f>Мясо!AK22+Мясо!AK23</f>
        <v>0</v>
      </c>
      <c r="AL24" s="11">
        <f>Мясо!AL22+Мясо!AL23</f>
        <v>0</v>
      </c>
      <c r="AM24" s="11">
        <f>Мясо!AM22+Мясо!AM23</f>
        <v>0</v>
      </c>
      <c r="AN24" s="11">
        <f>Мясо!AN22+Мясо!AN23</f>
        <v>0</v>
      </c>
      <c r="AO24" s="11">
        <f>Мясо!AO22+Мясо!AO23</f>
        <v>0</v>
      </c>
      <c r="AP24" s="11">
        <f>Мясо!AP22+Мясо!AP23</f>
        <v>0</v>
      </c>
      <c r="AQ24" s="11">
        <f>Мясо!AQ22+Мясо!AQ23</f>
        <v>0</v>
      </c>
      <c r="AR24" s="11">
        <f>Мясо!AR22+Мясо!AR23</f>
        <v>0</v>
      </c>
      <c r="AS24" s="11">
        <f>Мясо!AS22+Мясо!AS23</f>
        <v>0</v>
      </c>
      <c r="AT24" s="11">
        <f>Мясо!AT22+Мясо!AT23</f>
        <v>0</v>
      </c>
      <c r="AU24" s="11">
        <f>Мясо!AU22+Мясо!AU23</f>
        <v>0</v>
      </c>
      <c r="AV24" s="11">
        <f>Мясо!AV22+Мясо!AV23</f>
        <v>0</v>
      </c>
      <c r="AW24" s="11">
        <f>Мясо!AW22+Мясо!AW23</f>
        <v>0</v>
      </c>
      <c r="AX24" s="11">
        <f>Мясо!AX22+Мясо!AX23</f>
        <v>0</v>
      </c>
      <c r="AY24" s="11">
        <f>Мясо!AY22+Мясо!AY23</f>
        <v>0</v>
      </c>
      <c r="AZ24" s="11">
        <f>Мясо!AZ22+Мясо!AZ23</f>
        <v>0</v>
      </c>
      <c r="BA24" s="11">
        <f>Мясо!BA22+Мясо!BA23</f>
        <v>0</v>
      </c>
      <c r="BB24" s="11">
        <f>Мясо!BB22+Мясо!BB23</f>
        <v>0</v>
      </c>
      <c r="BC24" s="11">
        <f>Мясо!BC22+Мясо!BC23</f>
        <v>0</v>
      </c>
      <c r="BD24" s="11">
        <f>Мясо!BD22+Мясо!BD23</f>
        <v>0</v>
      </c>
      <c r="BE24" s="11">
        <f>Мясо!BE22+Мясо!BE23</f>
        <v>0</v>
      </c>
      <c r="BF24" s="11">
        <f>Мясо!BF22+Мясо!BF23</f>
        <v>0</v>
      </c>
      <c r="BG24" s="11">
        <f>Мясо!BG22+Мясо!BG23</f>
        <v>0</v>
      </c>
      <c r="BH24" s="11">
        <f>Мясо!BH22+Мясо!BH23</f>
        <v>0</v>
      </c>
      <c r="BI24" s="11">
        <f>Мясо!BI22+Мясо!BI23</f>
        <v>0</v>
      </c>
      <c r="BJ24" s="11">
        <f>Мясо!BJ22+Мясо!BJ23</f>
        <v>0</v>
      </c>
      <c r="BK24" s="11">
        <f>Мясо!BK22+Мясо!BK23</f>
        <v>0</v>
      </c>
      <c r="BL24" s="11">
        <f>Мясо!BL22+Мясо!BL23</f>
        <v>0</v>
      </c>
      <c r="BM24" s="11">
        <f>Мясо!BM22+Мясо!BM23</f>
        <v>0</v>
      </c>
      <c r="BN24" s="11">
        <f>Мясо!BN22+Мясо!BN23</f>
        <v>0</v>
      </c>
      <c r="BO24" s="11">
        <f>Мясо!BO22+Мясо!BO23</f>
        <v>0</v>
      </c>
      <c r="BP24" s="11">
        <f>Мясо!BP22+Мясо!BP23</f>
        <v>0</v>
      </c>
      <c r="BQ24" s="11">
        <f>Мясо!BQ22+Мясо!BQ23</f>
        <v>0</v>
      </c>
      <c r="BR24" s="11">
        <f>Мясо!BR22+Мясо!BR23</f>
        <v>0</v>
      </c>
      <c r="BS24" s="11">
        <f>Мясо!BS22+Мясо!BS23</f>
        <v>0</v>
      </c>
      <c r="BT24" s="11">
        <f>Мясо!BT22+Мясо!BT23</f>
        <v>0</v>
      </c>
      <c r="BU24" s="11">
        <f>Мясо!BU22+Мясо!BU23</f>
        <v>0</v>
      </c>
      <c r="BV24" s="11">
        <f>Мясо!BV22+Мясо!BV23</f>
        <v>0</v>
      </c>
      <c r="BW24" s="11">
        <f>Мясо!BW22+Мясо!BW23</f>
        <v>0</v>
      </c>
      <c r="BX24" s="11">
        <f>Мясо!BX22+Мясо!BX23</f>
        <v>0</v>
      </c>
      <c r="BY24" s="11">
        <f>Мясо!BY22+Мясо!BY23</f>
        <v>0</v>
      </c>
      <c r="BZ24" s="11">
        <f>Мясо!BZ22+Мясо!BZ23</f>
        <v>0</v>
      </c>
      <c r="CA24" s="11">
        <f>Мясо!CA22+Мясо!CA23</f>
        <v>0</v>
      </c>
      <c r="CB24" s="11">
        <f>Мясо!CB22+Мясо!CB23</f>
        <v>0</v>
      </c>
      <c r="CC24" s="11">
        <f>Мясо!CC22+Мясо!CC23</f>
        <v>0</v>
      </c>
      <c r="CD24" s="11">
        <f>Мясо!CD22+Мясо!CD23</f>
        <v>0</v>
      </c>
      <c r="CE24" s="11">
        <f>Мясо!CE22+Мясо!CE23</f>
        <v>0</v>
      </c>
      <c r="CF24" s="11">
        <f>Мясо!CF22+Мясо!CF23</f>
        <v>0</v>
      </c>
      <c r="CG24" s="11">
        <f>Мясо!CG22+Мясо!CG23</f>
        <v>0</v>
      </c>
      <c r="CH24" s="11">
        <f>Мясо!CH22+Мясо!CH23</f>
        <v>0</v>
      </c>
      <c r="CI24" s="11">
        <f>Мясо!CI22+Мясо!CI23</f>
        <v>0</v>
      </c>
      <c r="CJ24" s="11">
        <f>Мясо!CJ22+Мясо!CJ23</f>
        <v>0</v>
      </c>
      <c r="CK24" s="11">
        <f>Мясо!CK22+Мясо!CK23</f>
        <v>0</v>
      </c>
      <c r="CM24" s="11">
        <f>Мясо!CM22+Мясо!CM23</f>
        <v>-7183</v>
      </c>
      <c r="CN24" s="11">
        <f t="shared" ref="CN24" si="100">SUMIF($L$2:$CK$2,CN$3,$L24:$CK24)</f>
        <v>0</v>
      </c>
      <c r="CO24" s="430">
        <f>SUMIF($F$2:$CK$2,CO$3,$F24:$CK24)</f>
        <v>-5289.4626400000034</v>
      </c>
      <c r="CP24" s="431">
        <f>SUMIF($F$2:$CK$2,CP$3,$F24:$CK24)</f>
        <v>-3858.9999999999964</v>
      </c>
      <c r="CQ24" s="11">
        <f>SUMIF($F$2:$CK$2,CQ$3,$F24:$CK24)</f>
        <v>0</v>
      </c>
      <c r="CR24" s="11">
        <f>SUMIF($F$2:$CK$2,CR$3,$F24:$CK24)</f>
        <v>0</v>
      </c>
      <c r="CS24" s="11">
        <f>SUMIF($F$2:$CK$2,CS$3,$F24:$CK24)</f>
        <v>0</v>
      </c>
      <c r="CT24" s="11">
        <f t="shared" ref="CT24:CU24" si="101">SUMIF($F$2:$CK$2,CT$3,$F24:$CK24)</f>
        <v>0</v>
      </c>
      <c r="CU24" s="11">
        <f t="shared" si="101"/>
        <v>0</v>
      </c>
    </row>
    <row r="25" spans="2:102" x14ac:dyDescent="0.2">
      <c r="B25" s="92"/>
      <c r="C25" s="91"/>
      <c r="D25" s="9"/>
      <c r="E25" s="9"/>
      <c r="CM25" s="11"/>
      <c r="CO25" s="432"/>
      <c r="CP25" s="433"/>
    </row>
    <row r="26" spans="2:102" s="12" customFormat="1" x14ac:dyDescent="0.2">
      <c r="B26" s="88" t="s">
        <v>62</v>
      </c>
      <c r="C26" s="89" t="s">
        <v>4</v>
      </c>
      <c r="D26" s="13"/>
      <c r="E26" s="318"/>
      <c r="F26" s="18">
        <f>F20+F22+F23+F24</f>
        <v>231.96868903337452</v>
      </c>
      <c r="G26" s="18">
        <f t="shared" ref="G26:BR26" si="102">G20+G22+G23+G24</f>
        <v>3364.3981762738949</v>
      </c>
      <c r="H26" s="18">
        <f t="shared" si="102"/>
        <v>2323.7332564059434</v>
      </c>
      <c r="I26" s="18">
        <f t="shared" si="102"/>
        <v>4495.1506711893016</v>
      </c>
      <c r="J26" s="18">
        <f t="shared" si="102"/>
        <v>3652.9740003854258</v>
      </c>
      <c r="K26" s="18">
        <f t="shared" si="102"/>
        <v>2631.0352563036495</v>
      </c>
      <c r="L26" s="18">
        <f t="shared" si="102"/>
        <v>4547.834165933059</v>
      </c>
      <c r="M26" s="18">
        <f t="shared" si="102"/>
        <v>3656.5450281340172</v>
      </c>
      <c r="N26" s="18">
        <f t="shared" si="102"/>
        <v>3706.9606898251755</v>
      </c>
      <c r="O26" s="18">
        <f t="shared" si="102"/>
        <v>2869.4898145691059</v>
      </c>
      <c r="P26" s="18">
        <f t="shared" si="102"/>
        <v>4404.917833067605</v>
      </c>
      <c r="Q26" s="18">
        <f t="shared" si="102"/>
        <v>6116.3676997364828</v>
      </c>
      <c r="R26" s="18">
        <f t="shared" si="102"/>
        <v>1667.3077140995288</v>
      </c>
      <c r="S26" s="18">
        <f t="shared" si="102"/>
        <v>-666.57552169352266</v>
      </c>
      <c r="T26" s="18">
        <f t="shared" si="102"/>
        <v>11676.830572457991</v>
      </c>
      <c r="U26" s="18">
        <f t="shared" si="102"/>
        <v>532.2093240722711</v>
      </c>
      <c r="V26" s="18">
        <f t="shared" si="102"/>
        <v>2577.2636444860645</v>
      </c>
      <c r="W26" s="18">
        <f t="shared" si="102"/>
        <v>2500.1660328655953</v>
      </c>
      <c r="X26" s="18">
        <f t="shared" si="102"/>
        <v>1834.5684495224891</v>
      </c>
      <c r="Y26" s="18">
        <f t="shared" si="102"/>
        <v>1557.9870159212883</v>
      </c>
      <c r="Z26" s="18">
        <f t="shared" si="102"/>
        <v>1712.2195732711934</v>
      </c>
      <c r="AA26" s="18">
        <f t="shared" si="102"/>
        <v>7801.6947041776357</v>
      </c>
      <c r="AB26" s="18">
        <f t="shared" si="102"/>
        <v>7425.7567919674921</v>
      </c>
      <c r="AC26" s="18">
        <f t="shared" si="102"/>
        <v>10443.924555639838</v>
      </c>
      <c r="AD26" s="18">
        <f t="shared" si="102"/>
        <v>845.30048945815383</v>
      </c>
      <c r="AE26" s="18">
        <f t="shared" si="102"/>
        <v>1178.9377669713158</v>
      </c>
      <c r="AF26" s="18">
        <f t="shared" si="102"/>
        <v>3423.4343638588266</v>
      </c>
      <c r="AG26" s="18">
        <f t="shared" si="102"/>
        <v>3603.5019021438693</v>
      </c>
      <c r="AH26" s="18">
        <f t="shared" si="102"/>
        <v>4180.9988799975472</v>
      </c>
      <c r="AI26" s="18">
        <f t="shared" si="102"/>
        <v>4151.8162125802055</v>
      </c>
      <c r="AJ26" s="18">
        <f t="shared" si="102"/>
        <v>1757.8937879228738</v>
      </c>
      <c r="AK26" s="18">
        <f t="shared" si="102"/>
        <v>8135.2410068020308</v>
      </c>
      <c r="AL26" s="18">
        <f t="shared" si="102"/>
        <v>9928.2344937716261</v>
      </c>
      <c r="AM26" s="18">
        <f t="shared" si="102"/>
        <v>10328.541593879692</v>
      </c>
      <c r="AN26" s="18">
        <f t="shared" si="102"/>
        <v>11259.513370613686</v>
      </c>
      <c r="AO26" s="18">
        <f t="shared" si="102"/>
        <v>16446.114300484674</v>
      </c>
      <c r="AP26" s="18">
        <f t="shared" si="102"/>
        <v>13740.660697062478</v>
      </c>
      <c r="AQ26" s="18">
        <f t="shared" si="102"/>
        <v>16727.401274841512</v>
      </c>
      <c r="AR26" s="18">
        <f t="shared" si="102"/>
        <v>20138.339603295095</v>
      </c>
      <c r="AS26" s="18">
        <f t="shared" si="102"/>
        <v>21374.303492188817</v>
      </c>
      <c r="AT26" s="18">
        <f t="shared" si="102"/>
        <v>22736.57085745587</v>
      </c>
      <c r="AU26" s="18">
        <f t="shared" si="102"/>
        <v>22471.750625931698</v>
      </c>
      <c r="AV26" s="18">
        <f t="shared" si="102"/>
        <v>23336.741927700827</v>
      </c>
      <c r="AW26" s="18">
        <f t="shared" si="102"/>
        <v>23152.701702861748</v>
      </c>
      <c r="AX26" s="18">
        <f t="shared" si="102"/>
        <v>22134.749217910579</v>
      </c>
      <c r="AY26" s="18">
        <f t="shared" si="102"/>
        <v>21235.087669672037</v>
      </c>
      <c r="AZ26" s="18">
        <f t="shared" si="102"/>
        <v>19749.612108485802</v>
      </c>
      <c r="BA26" s="18">
        <f t="shared" si="102"/>
        <v>29501.893988154043</v>
      </c>
      <c r="BB26" s="18">
        <f t="shared" si="102"/>
        <v>19722.257454163617</v>
      </c>
      <c r="BC26" s="18">
        <f t="shared" si="102"/>
        <v>21739.406823508893</v>
      </c>
      <c r="BD26" s="18">
        <f t="shared" si="102"/>
        <v>24898.525379385526</v>
      </c>
      <c r="BE26" s="18">
        <f t="shared" si="102"/>
        <v>26873.383850700808</v>
      </c>
      <c r="BF26" s="18">
        <f t="shared" si="102"/>
        <v>28802.85957572941</v>
      </c>
      <c r="BG26" s="18">
        <f t="shared" si="102"/>
        <v>29740.086680344975</v>
      </c>
      <c r="BH26" s="18">
        <f t="shared" si="102"/>
        <v>30696.237387360503</v>
      </c>
      <c r="BI26" s="18">
        <f t="shared" si="102"/>
        <v>29057.98360136498</v>
      </c>
      <c r="BJ26" s="18">
        <f t="shared" si="102"/>
        <v>27736.821499605092</v>
      </c>
      <c r="BK26" s="18">
        <f t="shared" si="102"/>
        <v>26460.041462089157</v>
      </c>
      <c r="BL26" s="18">
        <f t="shared" si="102"/>
        <v>25224.376787860438</v>
      </c>
      <c r="BM26" s="18">
        <f t="shared" si="102"/>
        <v>37820.021194373054</v>
      </c>
      <c r="BN26" s="18">
        <f t="shared" si="102"/>
        <v>25145.420938888907</v>
      </c>
      <c r="BO26" s="18">
        <f t="shared" si="102"/>
        <v>27358.550055174077</v>
      </c>
      <c r="BP26" s="18">
        <f t="shared" si="102"/>
        <v>32050.321138436939</v>
      </c>
      <c r="BQ26" s="18">
        <f t="shared" si="102"/>
        <v>34213.796964499124</v>
      </c>
      <c r="BR26" s="18">
        <f t="shared" si="102"/>
        <v>36328.330984810127</v>
      </c>
      <c r="BS26" s="18">
        <f t="shared" ref="BS26:BX26" si="103">BS20+BS22+BS23+BS24</f>
        <v>37417.571687049473</v>
      </c>
      <c r="BT26" s="18">
        <f t="shared" si="103"/>
        <v>38528.941388215891</v>
      </c>
      <c r="BU26" s="18">
        <f t="shared" si="103"/>
        <v>36617.308007634376</v>
      </c>
      <c r="BV26" s="18">
        <f t="shared" si="103"/>
        <v>35072.621269913972</v>
      </c>
      <c r="BW26" s="18">
        <f t="shared" si="103"/>
        <v>34618.593966697306</v>
      </c>
      <c r="BX26" s="18">
        <f t="shared" si="103"/>
        <v>32134.821268149008</v>
      </c>
      <c r="BY26" s="18">
        <f t="shared" ref="BY26:CK26" si="104">BY20+BY22+BY23+BY24</f>
        <v>46838.406394740428</v>
      </c>
      <c r="BZ26" s="18">
        <f t="shared" si="104"/>
        <v>29940.980882481406</v>
      </c>
      <c r="CA26" s="18">
        <f t="shared" si="104"/>
        <v>32157.137459655558</v>
      </c>
      <c r="CB26" s="18">
        <f t="shared" si="104"/>
        <v>38798.318666045976</v>
      </c>
      <c r="CC26" s="18">
        <f t="shared" si="104"/>
        <v>41279.228658183783</v>
      </c>
      <c r="CD26" s="18">
        <f t="shared" si="104"/>
        <v>43690.37537797093</v>
      </c>
      <c r="CE26" s="18">
        <f t="shared" si="104"/>
        <v>44942.511496734893</v>
      </c>
      <c r="CF26" s="18">
        <f t="shared" si="104"/>
        <v>46220.499826235624</v>
      </c>
      <c r="CG26" s="18">
        <f t="shared" si="104"/>
        <v>44057.987075870333</v>
      </c>
      <c r="CH26" s="18">
        <f t="shared" si="104"/>
        <v>43567.071051736639</v>
      </c>
      <c r="CI26" s="18">
        <f t="shared" si="104"/>
        <v>41843.273395705655</v>
      </c>
      <c r="CJ26" s="18">
        <f t="shared" si="104"/>
        <v>39028.11965936832</v>
      </c>
      <c r="CK26" s="18">
        <f t="shared" si="104"/>
        <v>55718.957826803373</v>
      </c>
      <c r="CM26" s="14">
        <f>SUM(CM20,CM22:CM24)</f>
        <v>8205</v>
      </c>
      <c r="CN26" s="14">
        <f t="shared" ref="CN26:CS26" si="105">SUM(CN20,CN22:CN24)</f>
        <v>18510.07107339747</v>
      </c>
      <c r="CO26" s="434">
        <f t="shared" si="105"/>
        <v>42001.375280857064</v>
      </c>
      <c r="CP26" s="435">
        <f t="shared" si="105"/>
        <v>49063.352856787795</v>
      </c>
      <c r="CQ26" s="14">
        <f t="shared" si="105"/>
        <v>75239.528168484496</v>
      </c>
      <c r="CR26" s="14">
        <f t="shared" si="105"/>
        <v>256299.81316556042</v>
      </c>
      <c r="CS26" s="14">
        <f t="shared" si="105"/>
        <v>328772.00169648655</v>
      </c>
      <c r="CT26" s="14">
        <f t="shared" ref="CT26:CU26" si="106">SUM(CT20,CT22:CT24)</f>
        <v>416324.68406420969</v>
      </c>
      <c r="CU26" s="14">
        <f t="shared" si="106"/>
        <v>501244.46137679269</v>
      </c>
      <c r="CV26" s="156"/>
      <c r="CW26" s="156"/>
      <c r="CX26" s="156"/>
    </row>
    <row r="27" spans="2:102" x14ac:dyDescent="0.2">
      <c r="B27" s="92"/>
      <c r="C27" s="91"/>
      <c r="D27" s="9" t="s">
        <v>322</v>
      </c>
      <c r="E27" s="9"/>
      <c r="CM27" s="11"/>
      <c r="CO27" s="432"/>
      <c r="CP27" s="433"/>
    </row>
    <row r="28" spans="2:102" x14ac:dyDescent="0.2">
      <c r="B28" s="90" t="s">
        <v>60</v>
      </c>
      <c r="C28" s="91" t="s">
        <v>4</v>
      </c>
      <c r="D28" s="234">
        <v>0.25</v>
      </c>
      <c r="E28" s="318"/>
      <c r="F28" s="11">
        <v>-24.781255175160901</v>
      </c>
      <c r="G28" s="11">
        <v>-787.84327927166157</v>
      </c>
      <c r="H28" s="11">
        <v>-541.37673163828674</v>
      </c>
      <c r="I28" s="11">
        <v>-1075.6139248620291</v>
      </c>
      <c r="J28" s="11">
        <v>-858.99445259752258</v>
      </c>
      <c r="K28" s="11">
        <v>-615.67157930474264</v>
      </c>
      <c r="L28" s="11">
        <v>-1072.4980901587635</v>
      </c>
      <c r="M28" s="11">
        <v>-861.49206670231013</v>
      </c>
      <c r="N28" s="11">
        <v>-875.52501731242148</v>
      </c>
      <c r="O28" s="11">
        <v>-792.7510796020631</v>
      </c>
      <c r="P28" s="11">
        <v>-1039.8318595404778</v>
      </c>
      <c r="Q28" s="11">
        <v>-1446.9509756154034</v>
      </c>
      <c r="R28" s="11">
        <v>-443.09815372020933</v>
      </c>
      <c r="S28" s="11">
        <v>0</v>
      </c>
      <c r="T28" s="11">
        <v>-2075.9077796446427</v>
      </c>
      <c r="U28" s="11">
        <v>-159.7500573095366</v>
      </c>
      <c r="V28" s="11">
        <v>-671.86545007917834</v>
      </c>
      <c r="W28" s="11">
        <v>-650.76482887686211</v>
      </c>
      <c r="X28" s="11">
        <v>-768.28125016722424</v>
      </c>
      <c r="Y28" s="11">
        <v>-637.32176869070372</v>
      </c>
      <c r="Z28" s="11">
        <f>-638.441291242288-298</f>
        <v>-936.441291242288</v>
      </c>
      <c r="AA28" s="11">
        <f>-IF(AA26&lt;0,0,AA26*$D28)-298</f>
        <v>-2248.4236760444091</v>
      </c>
      <c r="AB28" s="11">
        <f>-IF(AB26&lt;0,0,AB26*$D28)-298</f>
        <v>-2154.4391979918728</v>
      </c>
      <c r="AC28" s="11">
        <f>-IF(AC26&lt;0,0,AC26*$D28)-299</f>
        <v>-2909.9811389099596</v>
      </c>
      <c r="AD28" s="11">
        <f t="shared" ref="AD28:AW28" si="107">-IF(AD26&lt;0,0,AD26*$D28)</f>
        <v>-211.32512236453846</v>
      </c>
      <c r="AE28" s="11">
        <f t="shared" si="107"/>
        <v>-294.73444174282895</v>
      </c>
      <c r="AF28" s="11">
        <f t="shared" si="107"/>
        <v>-855.85859096470665</v>
      </c>
      <c r="AG28" s="11">
        <f t="shared" si="107"/>
        <v>-900.87547553596733</v>
      </c>
      <c r="AH28" s="11">
        <f t="shared" si="107"/>
        <v>-1045.2497199993868</v>
      </c>
      <c r="AI28" s="11">
        <f t="shared" si="107"/>
        <v>-1037.9540531450514</v>
      </c>
      <c r="AJ28" s="11">
        <f t="shared" si="107"/>
        <v>-439.47344698071845</v>
      </c>
      <c r="AK28" s="11">
        <f t="shared" si="107"/>
        <v>-2033.8102517005077</v>
      </c>
      <c r="AL28" s="11">
        <f t="shared" si="107"/>
        <v>-2482.0586234429065</v>
      </c>
      <c r="AM28" s="11">
        <f t="shared" si="107"/>
        <v>-2582.1353984699231</v>
      </c>
      <c r="AN28" s="11">
        <f t="shared" si="107"/>
        <v>-2814.8783426534214</v>
      </c>
      <c r="AO28" s="11">
        <f t="shared" si="107"/>
        <v>-4111.5285751211686</v>
      </c>
      <c r="AP28" s="11">
        <f t="shared" si="107"/>
        <v>-3435.1651742656195</v>
      </c>
      <c r="AQ28" s="11">
        <f t="shared" si="107"/>
        <v>-4181.8503187103779</v>
      </c>
      <c r="AR28" s="11">
        <f t="shared" si="107"/>
        <v>-5034.5849008237738</v>
      </c>
      <c r="AS28" s="11">
        <f t="shared" si="107"/>
        <v>-5343.5758730472044</v>
      </c>
      <c r="AT28" s="11">
        <f t="shared" si="107"/>
        <v>-5684.1427143639676</v>
      </c>
      <c r="AU28" s="11">
        <f t="shared" si="107"/>
        <v>-5617.9376564829245</v>
      </c>
      <c r="AV28" s="11">
        <f t="shared" si="107"/>
        <v>-5834.1854819252067</v>
      </c>
      <c r="AW28" s="11">
        <f t="shared" si="107"/>
        <v>-5788.1754257154371</v>
      </c>
      <c r="AX28" s="11">
        <f t="shared" ref="AX28:BX28" si="108">-IF(AX26&lt;0,0,AX26*$D28)</f>
        <v>-5533.6873044776448</v>
      </c>
      <c r="AY28" s="11">
        <f t="shared" si="108"/>
        <v>-5308.7719174180093</v>
      </c>
      <c r="AZ28" s="11">
        <f t="shared" si="108"/>
        <v>-4937.4030271214506</v>
      </c>
      <c r="BA28" s="11">
        <f t="shared" si="108"/>
        <v>-7375.4734970385107</v>
      </c>
      <c r="BB28" s="11">
        <f t="shared" si="108"/>
        <v>-4930.5643635409042</v>
      </c>
      <c r="BC28" s="11">
        <f t="shared" si="108"/>
        <v>-5434.8517058772231</v>
      </c>
      <c r="BD28" s="11">
        <f t="shared" si="108"/>
        <v>-6224.6313448463816</v>
      </c>
      <c r="BE28" s="11">
        <f t="shared" si="108"/>
        <v>-6718.3459626752019</v>
      </c>
      <c r="BF28" s="11">
        <f t="shared" si="108"/>
        <v>-7200.7148939323524</v>
      </c>
      <c r="BG28" s="11">
        <f t="shared" si="108"/>
        <v>-7435.0216700862438</v>
      </c>
      <c r="BH28" s="11">
        <f t="shared" si="108"/>
        <v>-7674.0593468401257</v>
      </c>
      <c r="BI28" s="11">
        <f t="shared" si="108"/>
        <v>-7264.495900341245</v>
      </c>
      <c r="BJ28" s="11">
        <f t="shared" si="108"/>
        <v>-6934.205374901273</v>
      </c>
      <c r="BK28" s="11">
        <f t="shared" si="108"/>
        <v>-6615.0103655222892</v>
      </c>
      <c r="BL28" s="11">
        <f t="shared" si="108"/>
        <v>-6306.0941969651094</v>
      </c>
      <c r="BM28" s="11">
        <f t="shared" si="108"/>
        <v>-9455.0052985932634</v>
      </c>
      <c r="BN28" s="11">
        <f t="shared" si="108"/>
        <v>-6286.3552347222267</v>
      </c>
      <c r="BO28" s="11">
        <f t="shared" si="108"/>
        <v>-6839.6375137935192</v>
      </c>
      <c r="BP28" s="11">
        <f t="shared" si="108"/>
        <v>-8012.5802846092347</v>
      </c>
      <c r="BQ28" s="11">
        <f t="shared" si="108"/>
        <v>-8553.4492411247811</v>
      </c>
      <c r="BR28" s="11">
        <f t="shared" si="108"/>
        <v>-9082.0827462025318</v>
      </c>
      <c r="BS28" s="11">
        <f t="shared" si="108"/>
        <v>-9354.3929217623681</v>
      </c>
      <c r="BT28" s="11">
        <f t="shared" si="108"/>
        <v>-9632.2353470539729</v>
      </c>
      <c r="BU28" s="11">
        <f t="shared" si="108"/>
        <v>-9154.327001908594</v>
      </c>
      <c r="BV28" s="11">
        <f t="shared" si="108"/>
        <v>-8768.1553174784931</v>
      </c>
      <c r="BW28" s="11">
        <f t="shared" si="108"/>
        <v>-8654.6484916743266</v>
      </c>
      <c r="BX28" s="11">
        <f t="shared" si="108"/>
        <v>-8033.7053170372519</v>
      </c>
      <c r="BY28" s="11">
        <f t="shared" ref="BY28:CK28" si="109">-IF(BY26&lt;0,0,BY26*$D28)</f>
        <v>-11709.601598685107</v>
      </c>
      <c r="BZ28" s="11">
        <f t="shared" si="109"/>
        <v>-7485.2452206203516</v>
      </c>
      <c r="CA28" s="11">
        <f t="shared" si="109"/>
        <v>-8039.2843649138895</v>
      </c>
      <c r="CB28" s="11">
        <f t="shared" si="109"/>
        <v>-9699.579666511494</v>
      </c>
      <c r="CC28" s="11">
        <f t="shared" si="109"/>
        <v>-10319.807164545946</v>
      </c>
      <c r="CD28" s="11">
        <f t="shared" si="109"/>
        <v>-10922.593844492732</v>
      </c>
      <c r="CE28" s="11">
        <f t="shared" si="109"/>
        <v>-11235.627874183723</v>
      </c>
      <c r="CF28" s="11">
        <f t="shared" si="109"/>
        <v>-11555.124956558906</v>
      </c>
      <c r="CG28" s="11">
        <f t="shared" si="109"/>
        <v>-11014.496768967583</v>
      </c>
      <c r="CH28" s="11">
        <f t="shared" si="109"/>
        <v>-10891.76776293416</v>
      </c>
      <c r="CI28" s="11">
        <f t="shared" si="109"/>
        <v>-10460.818348926414</v>
      </c>
      <c r="CJ28" s="11">
        <f t="shared" si="109"/>
        <v>-9757.02991484208</v>
      </c>
      <c r="CK28" s="11">
        <f t="shared" si="109"/>
        <v>-13929.739456700843</v>
      </c>
      <c r="CM28" s="11">
        <f>Мясо!CM27</f>
        <v>-840</v>
      </c>
      <c r="CN28" s="11">
        <f>Мясо!CN27</f>
        <v>-2925</v>
      </c>
      <c r="CO28" s="430">
        <f>SUMIF($F$2:$CK$2,CO$3,$F28:$CK28)</f>
        <v>-9993.3303117808427</v>
      </c>
      <c r="CP28" s="431">
        <f>SUMIF($L$2:$CK$2,CP$3,$L28:$CK28)</f>
        <v>-13656.274592676888</v>
      </c>
      <c r="CQ28" s="11">
        <f>SUMIF($L$2:$CK$2,CQ$3,$L28:$CK28)</f>
        <v>-18809.882042121128</v>
      </c>
      <c r="CR28" s="11">
        <f>SUMIF($L$2:$CK$2,CR$3,$L28:$CK28)</f>
        <v>-64074.953291390128</v>
      </c>
      <c r="CS28" s="11">
        <f>SUMIF($L$2:$CK$2,CS$3,$L28:$CK28)</f>
        <v>-82193.000424121594</v>
      </c>
      <c r="CT28" s="11">
        <f t="shared" ref="CT28:CU28" si="110">SUMIF($L$2:$CK$2,CT$3,$L28:$CK28)</f>
        <v>-104081.17101605241</v>
      </c>
      <c r="CU28" s="11">
        <f t="shared" si="110"/>
        <v>-125311.11534419813</v>
      </c>
    </row>
    <row r="29" spans="2:102" x14ac:dyDescent="0.2">
      <c r="B29" s="92"/>
      <c r="C29" s="91"/>
      <c r="D29" s="9"/>
      <c r="E29" s="9"/>
      <c r="CM29" s="11"/>
      <c r="CO29" s="430">
        <f t="shared" ref="CO29" si="111">SUMIF($F$2:$CK$2,CO$3,$F29:$CK29)</f>
        <v>0</v>
      </c>
      <c r="CP29" s="433"/>
    </row>
    <row r="30" spans="2:102" s="139" customFormat="1" x14ac:dyDescent="0.2">
      <c r="B30" s="136" t="s">
        <v>57</v>
      </c>
      <c r="C30" s="137" t="s">
        <v>4</v>
      </c>
      <c r="D30" s="138"/>
      <c r="E30" s="318"/>
      <c r="F30" s="93">
        <f>F26+F28</f>
        <v>207.18743385821361</v>
      </c>
      <c r="G30" s="93">
        <f t="shared" ref="G30:K30" si="112">G26+G28</f>
        <v>2576.5548970022332</v>
      </c>
      <c r="H30" s="93">
        <f t="shared" si="112"/>
        <v>1782.3565247676565</v>
      </c>
      <c r="I30" s="93">
        <f t="shared" si="112"/>
        <v>3419.5367463272723</v>
      </c>
      <c r="J30" s="93">
        <f t="shared" si="112"/>
        <v>2793.9795477879034</v>
      </c>
      <c r="K30" s="93">
        <f t="shared" si="112"/>
        <v>2015.3636769989068</v>
      </c>
      <c r="L30" s="93">
        <f>L26+L28</f>
        <v>3475.3360757742958</v>
      </c>
      <c r="M30" s="93">
        <f t="shared" ref="M30:AW30" si="113">M26+M28</f>
        <v>2795.052961431707</v>
      </c>
      <c r="N30" s="93">
        <f t="shared" si="113"/>
        <v>2831.4356725127541</v>
      </c>
      <c r="O30" s="93">
        <f t="shared" si="113"/>
        <v>2076.7387349670425</v>
      </c>
      <c r="P30" s="93">
        <f t="shared" si="113"/>
        <v>3365.085973527127</v>
      </c>
      <c r="Q30" s="93">
        <f t="shared" si="113"/>
        <v>4669.4167241210798</v>
      </c>
      <c r="R30" s="93">
        <f t="shared" si="113"/>
        <v>1224.2095603793196</v>
      </c>
      <c r="S30" s="93">
        <f t="shared" si="113"/>
        <v>-666.57552169352266</v>
      </c>
      <c r="T30" s="93">
        <f t="shared" si="113"/>
        <v>9600.9227928133478</v>
      </c>
      <c r="U30" s="93">
        <f t="shared" si="113"/>
        <v>372.4592667627345</v>
      </c>
      <c r="V30" s="93">
        <f t="shared" si="113"/>
        <v>1905.3981944068862</v>
      </c>
      <c r="W30" s="93">
        <f t="shared" si="113"/>
        <v>1849.4012039887332</v>
      </c>
      <c r="X30" s="93">
        <f t="shared" si="113"/>
        <v>1066.2871993552649</v>
      </c>
      <c r="Y30" s="93">
        <f t="shared" si="113"/>
        <v>920.66524723058455</v>
      </c>
      <c r="Z30" s="93">
        <f t="shared" si="113"/>
        <v>775.77828202890544</v>
      </c>
      <c r="AA30" s="93">
        <f t="shared" si="113"/>
        <v>5553.2710281332265</v>
      </c>
      <c r="AB30" s="93">
        <f t="shared" si="113"/>
        <v>5271.3175939756193</v>
      </c>
      <c r="AC30" s="93">
        <f t="shared" si="113"/>
        <v>7533.9434167298787</v>
      </c>
      <c r="AD30" s="93">
        <f t="shared" si="113"/>
        <v>633.97536709361543</v>
      </c>
      <c r="AE30" s="93">
        <f t="shared" si="113"/>
        <v>884.20332522848685</v>
      </c>
      <c r="AF30" s="93">
        <f t="shared" si="113"/>
        <v>2567.5757728941198</v>
      </c>
      <c r="AG30" s="93">
        <f t="shared" si="113"/>
        <v>2702.626426607902</v>
      </c>
      <c r="AH30" s="93">
        <f t="shared" si="113"/>
        <v>3135.7491599981604</v>
      </c>
      <c r="AI30" s="93">
        <f t="shared" si="113"/>
        <v>3113.8621594351544</v>
      </c>
      <c r="AJ30" s="93">
        <f t="shared" si="113"/>
        <v>1318.4203409421552</v>
      </c>
      <c r="AK30" s="93">
        <f t="shared" si="113"/>
        <v>6101.4307551015227</v>
      </c>
      <c r="AL30" s="93">
        <f t="shared" si="113"/>
        <v>7446.1758703287196</v>
      </c>
      <c r="AM30" s="93">
        <f t="shared" si="113"/>
        <v>7746.4061954097688</v>
      </c>
      <c r="AN30" s="93">
        <f t="shared" si="113"/>
        <v>8444.6350279602648</v>
      </c>
      <c r="AO30" s="93">
        <f t="shared" si="113"/>
        <v>12334.585725363506</v>
      </c>
      <c r="AP30" s="93">
        <f t="shared" si="113"/>
        <v>10305.495522796858</v>
      </c>
      <c r="AQ30" s="93">
        <f t="shared" si="113"/>
        <v>12545.550956131134</v>
      </c>
      <c r="AR30" s="93">
        <f t="shared" si="113"/>
        <v>15103.75470247132</v>
      </c>
      <c r="AS30" s="93">
        <f t="shared" si="113"/>
        <v>16030.727619141613</v>
      </c>
      <c r="AT30" s="93">
        <f t="shared" si="113"/>
        <v>17052.428143091904</v>
      </c>
      <c r="AU30" s="93">
        <f t="shared" si="113"/>
        <v>16853.812969448772</v>
      </c>
      <c r="AV30" s="93">
        <f t="shared" si="113"/>
        <v>17502.556445775619</v>
      </c>
      <c r="AW30" s="93">
        <f t="shared" si="113"/>
        <v>17364.526277146309</v>
      </c>
      <c r="AX30" s="93">
        <f t="shared" ref="AX30:BU30" si="114">AX26+AX28</f>
        <v>16601.061913432935</v>
      </c>
      <c r="AY30" s="93">
        <f t="shared" si="114"/>
        <v>15926.315752254028</v>
      </c>
      <c r="AZ30" s="93">
        <f t="shared" si="114"/>
        <v>14812.209081364352</v>
      </c>
      <c r="BA30" s="93">
        <f t="shared" si="114"/>
        <v>22126.420491115532</v>
      </c>
      <c r="BB30" s="93">
        <f t="shared" si="114"/>
        <v>14791.693090622713</v>
      </c>
      <c r="BC30" s="93">
        <f t="shared" si="114"/>
        <v>16304.555117631669</v>
      </c>
      <c r="BD30" s="93">
        <f t="shared" si="114"/>
        <v>18673.894034539146</v>
      </c>
      <c r="BE30" s="93">
        <f t="shared" si="114"/>
        <v>20155.037888025607</v>
      </c>
      <c r="BF30" s="93">
        <f t="shared" si="114"/>
        <v>21602.144681797057</v>
      </c>
      <c r="BG30" s="93">
        <f t="shared" si="114"/>
        <v>22305.065010258731</v>
      </c>
      <c r="BH30" s="93">
        <f t="shared" si="114"/>
        <v>23022.178040520375</v>
      </c>
      <c r="BI30" s="93">
        <f t="shared" si="114"/>
        <v>21793.487701023736</v>
      </c>
      <c r="BJ30" s="93">
        <f t="shared" si="114"/>
        <v>20802.616124703818</v>
      </c>
      <c r="BK30" s="93">
        <f t="shared" si="114"/>
        <v>19845.031096566869</v>
      </c>
      <c r="BL30" s="93">
        <f t="shared" si="114"/>
        <v>18918.282590895327</v>
      </c>
      <c r="BM30" s="93">
        <f t="shared" si="114"/>
        <v>28365.01589577979</v>
      </c>
      <c r="BN30" s="93">
        <f t="shared" si="114"/>
        <v>18859.065704166678</v>
      </c>
      <c r="BO30" s="93">
        <f t="shared" si="114"/>
        <v>20518.91254138056</v>
      </c>
      <c r="BP30" s="93">
        <f t="shared" si="114"/>
        <v>24037.740853827705</v>
      </c>
      <c r="BQ30" s="93">
        <f t="shared" si="114"/>
        <v>25660.347723374343</v>
      </c>
      <c r="BR30" s="93">
        <f t="shared" si="114"/>
        <v>27246.248238607594</v>
      </c>
      <c r="BS30" s="93">
        <f t="shared" si="114"/>
        <v>28063.178765287106</v>
      </c>
      <c r="BT30" s="93">
        <f t="shared" si="114"/>
        <v>28896.706041161917</v>
      </c>
      <c r="BU30" s="93">
        <f t="shared" si="114"/>
        <v>27462.981005725782</v>
      </c>
      <c r="BV30" s="93">
        <f t="shared" ref="BV30:BX30" si="115">BV26+BV28</f>
        <v>26304.465952435479</v>
      </c>
      <c r="BW30" s="93">
        <f t="shared" si="115"/>
        <v>25963.945475022978</v>
      </c>
      <c r="BX30" s="93">
        <f t="shared" si="115"/>
        <v>24101.115951111755</v>
      </c>
      <c r="BY30" s="93">
        <f t="shared" ref="BY30:CK30" si="116">BY26+BY28</f>
        <v>35128.804796055323</v>
      </c>
      <c r="BZ30" s="93">
        <f t="shared" si="116"/>
        <v>22455.735661861054</v>
      </c>
      <c r="CA30" s="93">
        <f t="shared" si="116"/>
        <v>24117.853094741669</v>
      </c>
      <c r="CB30" s="93">
        <f t="shared" si="116"/>
        <v>29098.738999534482</v>
      </c>
      <c r="CC30" s="93">
        <f t="shared" si="116"/>
        <v>30959.421493637838</v>
      </c>
      <c r="CD30" s="93">
        <f t="shared" si="116"/>
        <v>32767.781533478199</v>
      </c>
      <c r="CE30" s="93">
        <f t="shared" si="116"/>
        <v>33706.88362255117</v>
      </c>
      <c r="CF30" s="93">
        <f t="shared" si="116"/>
        <v>34665.374869676714</v>
      </c>
      <c r="CG30" s="93">
        <f t="shared" si="116"/>
        <v>33043.49030690275</v>
      </c>
      <c r="CH30" s="93">
        <f t="shared" si="116"/>
        <v>32675.303288802479</v>
      </c>
      <c r="CI30" s="93">
        <f t="shared" si="116"/>
        <v>31382.455046779243</v>
      </c>
      <c r="CJ30" s="93">
        <f t="shared" si="116"/>
        <v>29271.089744526238</v>
      </c>
      <c r="CK30" s="93">
        <f t="shared" si="116"/>
        <v>41789.218370102528</v>
      </c>
      <c r="CM30" s="140">
        <f>CM26+CM28</f>
        <v>7365</v>
      </c>
      <c r="CN30" s="140">
        <f>CN26+CN28</f>
        <v>15585.07107339747</v>
      </c>
      <c r="CO30" s="436">
        <f>CO26+CO28</f>
        <v>32008.044969076222</v>
      </c>
      <c r="CP30" s="437">
        <f t="shared" ref="CP30" si="117">CP26+CP28</f>
        <v>35407.078264110911</v>
      </c>
      <c r="CQ30" s="140">
        <f t="shared" ref="CQ30:CS30" si="118">CQ26+CQ28</f>
        <v>56429.646126363368</v>
      </c>
      <c r="CR30" s="140">
        <f t="shared" si="118"/>
        <v>192224.8598741703</v>
      </c>
      <c r="CS30" s="140">
        <f t="shared" si="118"/>
        <v>246579.00127236496</v>
      </c>
      <c r="CT30" s="140">
        <f t="shared" ref="CT30:CU30" si="119">CT26+CT28</f>
        <v>312243.51304815727</v>
      </c>
      <c r="CU30" s="140">
        <f t="shared" si="119"/>
        <v>375933.34603259456</v>
      </c>
      <c r="CV30" s="460" t="s">
        <v>465</v>
      </c>
      <c r="CW30" s="460"/>
      <c r="CX30" s="181"/>
    </row>
    <row r="31" spans="2:102" s="5" customFormat="1" x14ac:dyDescent="0.2">
      <c r="B31" s="5" t="s">
        <v>64</v>
      </c>
      <c r="C31" s="15" t="s">
        <v>59</v>
      </c>
      <c r="F31" s="16">
        <f t="shared" ref="F31:K31" si="120">F30/F4</f>
        <v>6.0693455368816575E-3</v>
      </c>
      <c r="G31" s="16">
        <f t="shared" si="120"/>
        <v>6.9511291857362933E-2</v>
      </c>
      <c r="H31" s="16">
        <f t="shared" si="120"/>
        <v>5.2036306625099761E-2</v>
      </c>
      <c r="I31" s="16">
        <f t="shared" si="120"/>
        <v>8.6056390837710703E-2</v>
      </c>
      <c r="J31" s="16">
        <f t="shared" si="120"/>
        <v>7.1140081824625154E-2</v>
      </c>
      <c r="K31" s="16">
        <f t="shared" si="120"/>
        <v>5.0532360186304311E-2</v>
      </c>
      <c r="L31" s="16">
        <f>L30/L4</f>
        <v>7.6125618732440128E-2</v>
      </c>
      <c r="M31" s="16">
        <f t="shared" ref="M31:CP31" si="121">M30/M4</f>
        <v>6.6574298735386367E-2</v>
      </c>
      <c r="N31" s="16">
        <f t="shared" si="121"/>
        <v>7.118750860040203E-2</v>
      </c>
      <c r="O31" s="16">
        <f t="shared" si="121"/>
        <v>4.5031175272173485E-2</v>
      </c>
      <c r="P31" s="16">
        <f t="shared" si="121"/>
        <v>7.7558647383332055E-2</v>
      </c>
      <c r="Q31" s="16">
        <f t="shared" si="121"/>
        <v>9.0442329355622089E-2</v>
      </c>
      <c r="R31" s="16">
        <f t="shared" si="121"/>
        <v>3.31200887837532E-2</v>
      </c>
      <c r="S31" s="16">
        <f t="shared" si="121"/>
        <v>-1.9643916460793481E-2</v>
      </c>
      <c r="T31" s="16">
        <f t="shared" si="121"/>
        <v>0.20286916781476214</v>
      </c>
      <c r="U31" s="16">
        <f t="shared" si="121"/>
        <v>9.8055007029937968E-3</v>
      </c>
      <c r="V31" s="16">
        <f t="shared" si="121"/>
        <v>4.8742174041989127E-2</v>
      </c>
      <c r="W31" s="16">
        <f t="shared" si="121"/>
        <v>4.5951306081648553E-2</v>
      </c>
      <c r="X31" s="16">
        <f t="shared" si="121"/>
        <v>2.0371609752950843E-2</v>
      </c>
      <c r="Y31" s="16">
        <f t="shared" si="121"/>
        <v>1.8106991240962319E-2</v>
      </c>
      <c r="Z31" s="16">
        <f t="shared" si="121"/>
        <v>1.4989712845387838E-2</v>
      </c>
      <c r="AA31" s="16">
        <f t="shared" si="121"/>
        <v>0.11365241211836903</v>
      </c>
      <c r="AB31" s="16">
        <f t="shared" si="121"/>
        <v>0.11132159029575255</v>
      </c>
      <c r="AC31" s="16">
        <f t="shared" si="121"/>
        <v>0.13457643558591512</v>
      </c>
      <c r="AD31" s="16">
        <f t="shared" si="121"/>
        <v>1.8144111025144211E-2</v>
      </c>
      <c r="AE31" s="16">
        <f t="shared" si="121"/>
        <v>2.4003657735327279E-2</v>
      </c>
      <c r="AF31" s="16">
        <f t="shared" si="121"/>
        <v>5.5867064143720876E-2</v>
      </c>
      <c r="AG31" s="16">
        <f t="shared" si="121"/>
        <v>5.8580530580747983E-2</v>
      </c>
      <c r="AH31" s="16">
        <f t="shared" si="121"/>
        <v>6.3976035464352377E-2</v>
      </c>
      <c r="AI31" s="16">
        <f t="shared" si="121"/>
        <v>6.1336451661778688E-2</v>
      </c>
      <c r="AJ31" s="16">
        <f t="shared" si="121"/>
        <v>2.4410331349968454E-2</v>
      </c>
      <c r="AK31" s="16">
        <f t="shared" si="121"/>
        <v>8.4563557856413438E-2</v>
      </c>
      <c r="AL31" s="16">
        <f t="shared" si="121"/>
        <v>9.2491564651847408E-2</v>
      </c>
      <c r="AM31" s="16">
        <f t="shared" si="121"/>
        <v>9.5880606805101354E-2</v>
      </c>
      <c r="AN31" s="16">
        <f t="shared" si="121"/>
        <v>9.8787656819243536E-2</v>
      </c>
      <c r="AO31" s="16">
        <f t="shared" si="121"/>
        <v>0.12146854506723596</v>
      </c>
      <c r="AP31" s="16">
        <f t="shared" si="121"/>
        <v>0.11678553900733139</v>
      </c>
      <c r="AQ31" s="16">
        <f t="shared" si="121"/>
        <v>0.12255773410060206</v>
      </c>
      <c r="AR31" s="16">
        <f t="shared" si="121"/>
        <v>0.12264461578929613</v>
      </c>
      <c r="AS31" s="16">
        <f t="shared" si="121"/>
        <v>0.1209575939580589</v>
      </c>
      <c r="AT31" s="16">
        <f t="shared" si="121"/>
        <v>0.12363792410974882</v>
      </c>
      <c r="AU31" s="16">
        <f t="shared" si="121"/>
        <v>0.11979959718141772</v>
      </c>
      <c r="AV31" s="16">
        <f t="shared" si="121"/>
        <v>0.12196774512719433</v>
      </c>
      <c r="AW31" s="16">
        <f t="shared" si="121"/>
        <v>0.12715167535503361</v>
      </c>
      <c r="AX31" s="16">
        <f t="shared" ref="AX31:BU31" si="122">AX30/AX4</f>
        <v>0.12516742221631355</v>
      </c>
      <c r="AY31" s="16">
        <f t="shared" si="122"/>
        <v>0.12362522371557703</v>
      </c>
      <c r="AZ31" s="16">
        <f t="shared" si="122"/>
        <v>0.12076663791018627</v>
      </c>
      <c r="BA31" s="16">
        <f t="shared" si="122"/>
        <v>0.13638907672697695</v>
      </c>
      <c r="BB31" s="16">
        <f t="shared" si="122"/>
        <v>0.1443781263638852</v>
      </c>
      <c r="BC31" s="16">
        <f t="shared" si="122"/>
        <v>0.13681468721064649</v>
      </c>
      <c r="BD31" s="16">
        <f t="shared" si="122"/>
        <v>0.13032360463467188</v>
      </c>
      <c r="BE31" s="16">
        <f t="shared" si="122"/>
        <v>0.13073557300922456</v>
      </c>
      <c r="BF31" s="16">
        <f t="shared" si="122"/>
        <v>0.13464747385574877</v>
      </c>
      <c r="BG31" s="16">
        <f t="shared" si="122"/>
        <v>0.13630367530432688</v>
      </c>
      <c r="BH31" s="16">
        <f t="shared" si="122"/>
        <v>0.13792638982542429</v>
      </c>
      <c r="BI31" s="16">
        <f t="shared" si="122"/>
        <v>0.13717793195602276</v>
      </c>
      <c r="BJ31" s="16">
        <f t="shared" si="122"/>
        <v>0.13482500420984589</v>
      </c>
      <c r="BK31" s="16">
        <f t="shared" si="122"/>
        <v>0.13241200923784702</v>
      </c>
      <c r="BL31" s="16">
        <f t="shared" si="122"/>
        <v>0.13082613199260354</v>
      </c>
      <c r="BM31" s="16">
        <f t="shared" si="122"/>
        <v>0.15029937668719073</v>
      </c>
      <c r="BN31" s="16">
        <f t="shared" si="122"/>
        <v>0.15803507980512799</v>
      </c>
      <c r="BO31" s="16">
        <f t="shared" si="122"/>
        <v>0.14793651513573428</v>
      </c>
      <c r="BP31" s="16">
        <f t="shared" si="122"/>
        <v>0.14421657745858193</v>
      </c>
      <c r="BQ31" s="16">
        <f t="shared" si="122"/>
        <v>0.14312345612156965</v>
      </c>
      <c r="BR31" s="16">
        <f t="shared" si="122"/>
        <v>0.14603223661422973</v>
      </c>
      <c r="BS31" s="16">
        <f t="shared" si="122"/>
        <v>0.14746234881146775</v>
      </c>
      <c r="BT31" s="16">
        <f t="shared" si="122"/>
        <v>0.14886373474098821</v>
      </c>
      <c r="BU31" s="16">
        <f t="shared" si="122"/>
        <v>0.14862127552027579</v>
      </c>
      <c r="BV31" s="16">
        <f t="shared" ref="BV31:BX31" si="123">BV30/BV4</f>
        <v>0.14657136145133548</v>
      </c>
      <c r="BW31" s="16">
        <f t="shared" si="123"/>
        <v>0.146959455430726</v>
      </c>
      <c r="BX31" s="16">
        <f t="shared" si="123"/>
        <v>0.14327782139717085</v>
      </c>
      <c r="BY31" s="16">
        <f t="shared" ref="BY31:CK31" si="124">BY30/BY4</f>
        <v>0.16000993010808917</v>
      </c>
      <c r="BZ31" s="16">
        <f t="shared" si="124"/>
        <v>0.1653180596442925</v>
      </c>
      <c r="CA31" s="16">
        <f t="shared" si="124"/>
        <v>0.15249796108677835</v>
      </c>
      <c r="CB31" s="16">
        <f t="shared" si="124"/>
        <v>0.15291568335551697</v>
      </c>
      <c r="CC31" s="16">
        <f t="shared" si="124"/>
        <v>0.15114366831055562</v>
      </c>
      <c r="CD31" s="16">
        <f t="shared" si="124"/>
        <v>0.15369965937873348</v>
      </c>
      <c r="CE31" s="16">
        <f t="shared" si="124"/>
        <v>0.15496727087255677</v>
      </c>
      <c r="CF31" s="16">
        <f t="shared" si="124"/>
        <v>0.15620946853687614</v>
      </c>
      <c r="CG31" s="16">
        <f t="shared" si="124"/>
        <v>0.15641163495416024</v>
      </c>
      <c r="CH31" s="16">
        <f t="shared" si="124"/>
        <v>0.15705035143502838</v>
      </c>
      <c r="CI31" s="16">
        <f t="shared" si="124"/>
        <v>0.15525671556150514</v>
      </c>
      <c r="CJ31" s="16">
        <f t="shared" si="124"/>
        <v>0.15206628044242182</v>
      </c>
      <c r="CK31" s="16">
        <f t="shared" si="124"/>
        <v>0.16639826879145153</v>
      </c>
      <c r="CM31" s="16">
        <f t="shared" si="121"/>
        <v>2.3415592590944063E-2</v>
      </c>
      <c r="CN31" s="16">
        <f t="shared" si="121"/>
        <v>4.6261739247637858E-2</v>
      </c>
      <c r="CO31" s="428">
        <f t="shared" si="121"/>
        <v>6.4939056276714577E-2</v>
      </c>
      <c r="CP31" s="429">
        <f t="shared" si="121"/>
        <v>6.5244516262325136E-2</v>
      </c>
      <c r="CQ31" s="421">
        <f t="shared" ref="CQ31:CS31" si="125">CQ30/CQ4</f>
        <v>7.6448198136594689E-2</v>
      </c>
      <c r="CR31" s="421">
        <f t="shared" si="125"/>
        <v>0.12391193160808647</v>
      </c>
      <c r="CS31" s="421">
        <f t="shared" si="125"/>
        <v>0.13650003174070569</v>
      </c>
      <c r="CT31" s="421">
        <f t="shared" ref="CT31:CU31" si="126">CT30/CT4</f>
        <v>0.14842731536676415</v>
      </c>
      <c r="CU31" s="421">
        <f t="shared" si="126"/>
        <v>0.15619573405109177</v>
      </c>
      <c r="CV31" s="182"/>
      <c r="CW31" s="182"/>
      <c r="CX31" s="182"/>
    </row>
    <row r="32" spans="2:102" x14ac:dyDescent="0.2">
      <c r="B32" s="12" t="s">
        <v>283</v>
      </c>
      <c r="E32" s="318"/>
      <c r="AG32" s="187">
        <f>HLOOKUP((AG2-1),$CP$3:$CU$32,30,0)</f>
        <v>0</v>
      </c>
      <c r="AJ32" s="187"/>
      <c r="AP32" s="187"/>
      <c r="AS32" s="187"/>
      <c r="AT32" s="187">
        <f>HLOOKUP((AT2-1),$CP$3:$CU$32,30,0)/2</f>
        <v>0</v>
      </c>
      <c r="AV32" s="187"/>
      <c r="BA32" s="187">
        <f>HLOOKUP((BA2-1),$CP$3:$CU$32,30,0)/2</f>
        <v>0</v>
      </c>
      <c r="BB32" s="187"/>
      <c r="BE32" s="187"/>
      <c r="BF32" s="187">
        <f>HLOOKUP((BF2-1),$CP$3:$CU$32,30,0)/2</f>
        <v>67278.700955959604</v>
      </c>
      <c r="BH32" s="187"/>
      <c r="BM32" s="187">
        <f>HLOOKUP((BM2-1),$CP$3:$CU$32,30,0)/2</f>
        <v>67278.700955959604</v>
      </c>
      <c r="BN32" s="187"/>
      <c r="BQ32" s="187"/>
      <c r="BR32" s="187">
        <f>HLOOKUP((BR2-1),$CP$3:$CU$32,30,0)/2</f>
        <v>86302.65044532773</v>
      </c>
      <c r="BT32" s="187"/>
      <c r="BY32" s="187">
        <f>HLOOKUP((BY2-1),$CP$3:$CU$32,30,0)/2</f>
        <v>86302.65044532773</v>
      </c>
      <c r="CD32" s="187">
        <f>HLOOKUP((CD2-1),$CP$3:$CU$32,30,0)/2</f>
        <v>109285.22956685504</v>
      </c>
      <c r="CF32" s="187"/>
      <c r="CK32" s="187">
        <f>HLOOKUP((CK2-1),$CP$3:$CU$32,30,0)/2</f>
        <v>109285.22956685504</v>
      </c>
      <c r="CO32" s="434"/>
      <c r="CP32" s="435">
        <f>CP30*CP33</f>
        <v>0</v>
      </c>
      <c r="CQ32" s="14">
        <f>CQ30*CQ33</f>
        <v>0</v>
      </c>
      <c r="CR32" s="14">
        <f t="shared" ref="CR32:CS32" si="127">CR30*CR33</f>
        <v>134557.40191191921</v>
      </c>
      <c r="CS32" s="14">
        <f t="shared" si="127"/>
        <v>172605.30089065546</v>
      </c>
      <c r="CT32" s="14">
        <f t="shared" ref="CT32:CU32" si="128">CT30*CT33</f>
        <v>218570.45913371007</v>
      </c>
      <c r="CU32" s="14">
        <f t="shared" si="128"/>
        <v>263153.34222281619</v>
      </c>
    </row>
    <row r="33" spans="1:107" ht="13.5" thickBot="1" x14ac:dyDescent="0.25">
      <c r="B33" s="5" t="s">
        <v>304</v>
      </c>
      <c r="E33" s="10">
        <f>E32-E20</f>
        <v>0</v>
      </c>
      <c r="F33" s="18"/>
      <c r="G33" s="18"/>
      <c r="H33" s="18"/>
      <c r="I33" s="18"/>
      <c r="J33" s="18"/>
      <c r="K33" s="18"/>
      <c r="L33" s="18"/>
      <c r="M33" s="18"/>
      <c r="N33" s="18"/>
      <c r="O33" s="18"/>
      <c r="P33" s="18"/>
      <c r="Q33" s="18"/>
      <c r="S33" s="10"/>
      <c r="T33" s="10"/>
      <c r="Z33" s="11"/>
      <c r="AC33" s="11"/>
      <c r="AJ33" s="16"/>
      <c r="AP33" s="16"/>
      <c r="AS33" s="16"/>
      <c r="AV33" s="16"/>
      <c r="BB33" s="16"/>
      <c r="BH33" s="16"/>
      <c r="BN33" s="16"/>
      <c r="BT33" s="16"/>
      <c r="CO33" s="438"/>
      <c r="CP33" s="439">
        <v>0</v>
      </c>
      <c r="CQ33" s="16">
        <v>0</v>
      </c>
      <c r="CR33" s="16">
        <v>0.7</v>
      </c>
      <c r="CS33" s="16">
        <f t="shared" ref="CS33" si="129">CR33</f>
        <v>0.7</v>
      </c>
      <c r="CT33" s="16">
        <f t="shared" ref="CT33" si="130">CS33</f>
        <v>0.7</v>
      </c>
      <c r="CU33" s="16">
        <f t="shared" ref="CU33" si="131">CT33</f>
        <v>0.7</v>
      </c>
    </row>
    <row r="34" spans="1:107" x14ac:dyDescent="0.2">
      <c r="E34" s="10"/>
      <c r="F34" s="10"/>
      <c r="G34" s="10"/>
      <c r="H34" s="10"/>
      <c r="I34" s="10"/>
      <c r="N34" s="11"/>
    </row>
    <row r="35" spans="1:107" s="5" customFormat="1" x14ac:dyDescent="0.2">
      <c r="B35" s="5" t="s">
        <v>380</v>
      </c>
      <c r="D35" s="323"/>
      <c r="E35" s="5">
        <f>49875-32006</f>
        <v>17869</v>
      </c>
      <c r="F35" s="316">
        <f>F30+E35-F32</f>
        <v>18076.187433858213</v>
      </c>
      <c r="G35" s="316">
        <f t="shared" ref="G35:BR35" si="132">G30+F35-G32</f>
        <v>20652.742330860445</v>
      </c>
      <c r="H35" s="316">
        <f t="shared" si="132"/>
        <v>22435.098855628101</v>
      </c>
      <c r="I35" s="316">
        <f t="shared" si="132"/>
        <v>25854.635601955371</v>
      </c>
      <c r="J35" s="316">
        <f t="shared" si="132"/>
        <v>28648.615149743273</v>
      </c>
      <c r="K35" s="316">
        <f t="shared" si="132"/>
        <v>30663.978826742179</v>
      </c>
      <c r="L35" s="316">
        <f t="shared" si="132"/>
        <v>34139.314902516475</v>
      </c>
      <c r="M35" s="316">
        <f t="shared" si="132"/>
        <v>36934.36786394818</v>
      </c>
      <c r="N35" s="316">
        <f t="shared" si="132"/>
        <v>39765.803536460931</v>
      </c>
      <c r="O35" s="316">
        <f t="shared" si="132"/>
        <v>41842.54227142797</v>
      </c>
      <c r="P35" s="316">
        <f t="shared" si="132"/>
        <v>45207.6282449551</v>
      </c>
      <c r="Q35" s="316">
        <f t="shared" si="132"/>
        <v>49877.044969076182</v>
      </c>
      <c r="R35" s="316">
        <f t="shared" si="132"/>
        <v>51101.254529455502</v>
      </c>
      <c r="S35" s="316">
        <f t="shared" si="132"/>
        <v>50434.679007761981</v>
      </c>
      <c r="T35" s="316">
        <f t="shared" si="132"/>
        <v>60035.601800575329</v>
      </c>
      <c r="U35" s="316">
        <f t="shared" si="132"/>
        <v>60408.061067338065</v>
      </c>
      <c r="V35" s="316">
        <f t="shared" si="132"/>
        <v>62313.459261744953</v>
      </c>
      <c r="W35" s="316">
        <f t="shared" si="132"/>
        <v>64162.860465733684</v>
      </c>
      <c r="X35" s="316">
        <f t="shared" si="132"/>
        <v>65229.147665088945</v>
      </c>
      <c r="Y35" s="316">
        <f t="shared" si="132"/>
        <v>66149.812912319525</v>
      </c>
      <c r="Z35" s="316">
        <f t="shared" si="132"/>
        <v>66925.591194348424</v>
      </c>
      <c r="AA35" s="316">
        <f t="shared" si="132"/>
        <v>72478.86222248165</v>
      </c>
      <c r="AB35" s="316">
        <f t="shared" si="132"/>
        <v>77750.179816457268</v>
      </c>
      <c r="AC35" s="316">
        <f t="shared" si="132"/>
        <v>85284.123233187143</v>
      </c>
      <c r="AD35" s="316">
        <f t="shared" si="132"/>
        <v>85918.098600280762</v>
      </c>
      <c r="AE35" s="316">
        <f t="shared" si="132"/>
        <v>86802.301925509251</v>
      </c>
      <c r="AF35" s="316">
        <f t="shared" si="132"/>
        <v>89369.877698403376</v>
      </c>
      <c r="AG35" s="316">
        <f t="shared" si="132"/>
        <v>92072.504125011284</v>
      </c>
      <c r="AH35" s="316">
        <f t="shared" si="132"/>
        <v>95208.253285009443</v>
      </c>
      <c r="AI35" s="316">
        <f t="shared" si="132"/>
        <v>98322.1154444446</v>
      </c>
      <c r="AJ35" s="316">
        <f t="shared" si="132"/>
        <v>99640.535785386761</v>
      </c>
      <c r="AK35" s="316">
        <f t="shared" si="132"/>
        <v>105741.96654048828</v>
      </c>
      <c r="AL35" s="316">
        <f t="shared" si="132"/>
        <v>113188.142410817</v>
      </c>
      <c r="AM35" s="316">
        <f t="shared" si="132"/>
        <v>120934.54860622677</v>
      </c>
      <c r="AN35" s="316">
        <f t="shared" si="132"/>
        <v>129379.18363418704</v>
      </c>
      <c r="AO35" s="316">
        <f t="shared" si="132"/>
        <v>141713.76935955056</v>
      </c>
      <c r="AP35" s="316">
        <f t="shared" si="132"/>
        <v>152019.2648823474</v>
      </c>
      <c r="AQ35" s="316">
        <f t="shared" si="132"/>
        <v>164564.81583847853</v>
      </c>
      <c r="AR35" s="316">
        <f t="shared" si="132"/>
        <v>179668.57054094985</v>
      </c>
      <c r="AS35" s="316">
        <f t="shared" si="132"/>
        <v>195699.29816009145</v>
      </c>
      <c r="AT35" s="316">
        <f t="shared" si="132"/>
        <v>212751.72630318336</v>
      </c>
      <c r="AU35" s="316">
        <f t="shared" si="132"/>
        <v>229605.53927263213</v>
      </c>
      <c r="AV35" s="316">
        <f t="shared" si="132"/>
        <v>247108.09571840774</v>
      </c>
      <c r="AW35" s="316">
        <f t="shared" si="132"/>
        <v>264472.62199555407</v>
      </c>
      <c r="AX35" s="316">
        <f t="shared" si="132"/>
        <v>281073.68390898703</v>
      </c>
      <c r="AY35" s="316">
        <f t="shared" si="132"/>
        <v>296999.99966124108</v>
      </c>
      <c r="AZ35" s="316">
        <f t="shared" si="132"/>
        <v>311812.20874260541</v>
      </c>
      <c r="BA35" s="316">
        <f t="shared" si="132"/>
        <v>333938.62923372095</v>
      </c>
      <c r="BB35" s="316">
        <f t="shared" si="132"/>
        <v>348730.32232434367</v>
      </c>
      <c r="BC35" s="316">
        <f t="shared" si="132"/>
        <v>365034.87744197535</v>
      </c>
      <c r="BD35" s="316">
        <f t="shared" si="132"/>
        <v>383708.77147651452</v>
      </c>
      <c r="BE35" s="316">
        <f t="shared" si="132"/>
        <v>403863.80936454015</v>
      </c>
      <c r="BF35" s="316">
        <f t="shared" si="132"/>
        <v>358187.25309037761</v>
      </c>
      <c r="BG35" s="316">
        <f t="shared" si="132"/>
        <v>380492.31810063636</v>
      </c>
      <c r="BH35" s="316">
        <f t="shared" si="132"/>
        <v>403514.49614115676</v>
      </c>
      <c r="BI35" s="316">
        <f t="shared" si="132"/>
        <v>425307.98384218052</v>
      </c>
      <c r="BJ35" s="316">
        <f t="shared" si="132"/>
        <v>446110.59996688436</v>
      </c>
      <c r="BK35" s="316">
        <f t="shared" si="132"/>
        <v>465955.63106345123</v>
      </c>
      <c r="BL35" s="316">
        <f t="shared" si="132"/>
        <v>484873.91365434654</v>
      </c>
      <c r="BM35" s="316">
        <f>BM30+BL35-BM32</f>
        <v>445960.22859416669</v>
      </c>
      <c r="BN35" s="316">
        <f t="shared" si="132"/>
        <v>464819.29429833335</v>
      </c>
      <c r="BO35" s="316">
        <f t="shared" si="132"/>
        <v>485338.20683971391</v>
      </c>
      <c r="BP35" s="316">
        <f t="shared" si="132"/>
        <v>509375.94769354159</v>
      </c>
      <c r="BQ35" s="316">
        <f t="shared" si="132"/>
        <v>535036.29541691591</v>
      </c>
      <c r="BR35" s="316">
        <f t="shared" si="132"/>
        <v>475979.8932101957</v>
      </c>
      <c r="BS35" s="316">
        <f t="shared" ref="BS35:BX35" si="133">BS30+BR35-BS32</f>
        <v>504043.0719754828</v>
      </c>
      <c r="BT35" s="316">
        <f t="shared" si="133"/>
        <v>532939.77801664476</v>
      </c>
      <c r="BU35" s="316">
        <f t="shared" si="133"/>
        <v>560402.75902237056</v>
      </c>
      <c r="BV35" s="316">
        <f t="shared" si="133"/>
        <v>586707.22497480607</v>
      </c>
      <c r="BW35" s="316">
        <f t="shared" si="133"/>
        <v>612671.17044982908</v>
      </c>
      <c r="BX35" s="316">
        <f t="shared" si="133"/>
        <v>636772.28640094085</v>
      </c>
      <c r="BY35" s="316">
        <f t="shared" ref="BY35" si="134">BY30+BX35-BY32</f>
        <v>585598.44075166842</v>
      </c>
      <c r="BZ35" s="316">
        <f t="shared" ref="BZ35" si="135">BZ30+BY35-BZ32</f>
        <v>608054.17641352944</v>
      </c>
      <c r="CA35" s="316">
        <f t="shared" ref="CA35" si="136">CA30+BZ35-CA32</f>
        <v>632172.02950827114</v>
      </c>
      <c r="CB35" s="316">
        <f t="shared" ref="CB35" si="137">CB30+CA35-CB32</f>
        <v>661270.76850780565</v>
      </c>
      <c r="CC35" s="316">
        <f t="shared" ref="CC35" si="138">CC30+CB35-CC32</f>
        <v>692230.19000144349</v>
      </c>
      <c r="CD35" s="316">
        <f t="shared" ref="CD35" si="139">CD30+CC35-CD32</f>
        <v>615712.74196806666</v>
      </c>
      <c r="CE35" s="316">
        <f t="shared" ref="CE35" si="140">CE30+CD35-CE32</f>
        <v>649419.62559061788</v>
      </c>
      <c r="CF35" s="316">
        <f t="shared" ref="CF35" si="141">CF30+CE35-CF32</f>
        <v>684085.00046029454</v>
      </c>
      <c r="CG35" s="316">
        <f t="shared" ref="CG35" si="142">CG30+CF35-CG32</f>
        <v>717128.49076719733</v>
      </c>
      <c r="CH35" s="316">
        <f t="shared" ref="CH35" si="143">CH30+CG35-CH32</f>
        <v>749803.79405599984</v>
      </c>
      <c r="CI35" s="316">
        <f t="shared" ref="CI35" si="144">CI30+CH35-CI32</f>
        <v>781186.24910277908</v>
      </c>
      <c r="CJ35" s="316">
        <f t="shared" ref="CJ35" si="145">CJ30+CI35-CJ32</f>
        <v>810457.33884730528</v>
      </c>
      <c r="CK35" s="316">
        <f t="shared" ref="CK35" si="146">CK30+CJ35-CK32</f>
        <v>742961.32765055285</v>
      </c>
      <c r="CP35" s="323"/>
      <c r="CQ35" s="323"/>
    </row>
    <row r="36" spans="1:107" x14ac:dyDescent="0.2">
      <c r="T36" s="11"/>
    </row>
    <row r="37" spans="1:107" x14ac:dyDescent="0.2">
      <c r="A37" s="19"/>
      <c r="B37" s="20" t="s">
        <v>89</v>
      </c>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row>
    <row r="38" spans="1:107" x14ac:dyDescent="0.2">
      <c r="O38" s="459"/>
      <c r="P38" s="459"/>
      <c r="Q38" s="459"/>
      <c r="AD38" s="448" t="s">
        <v>165</v>
      </c>
      <c r="AE38" s="448" t="s">
        <v>165</v>
      </c>
      <c r="AF38" s="448" t="s">
        <v>165</v>
      </c>
    </row>
    <row r="39" spans="1:107" x14ac:dyDescent="0.2">
      <c r="B39" s="12" t="s">
        <v>65</v>
      </c>
      <c r="F39" s="188" t="s">
        <v>284</v>
      </c>
      <c r="G39" s="188" t="s">
        <v>284</v>
      </c>
      <c r="H39" s="188" t="s">
        <v>284</v>
      </c>
      <c r="I39" s="188" t="s">
        <v>284</v>
      </c>
      <c r="J39" s="188" t="s">
        <v>284</v>
      </c>
      <c r="K39" s="188" t="s">
        <v>284</v>
      </c>
      <c r="L39" s="188" t="s">
        <v>284</v>
      </c>
      <c r="M39" s="188" t="s">
        <v>284</v>
      </c>
      <c r="N39" s="188" t="s">
        <v>284</v>
      </c>
      <c r="O39" s="188" t="s">
        <v>284</v>
      </c>
      <c r="P39" s="188" t="s">
        <v>284</v>
      </c>
      <c r="Q39" s="188" t="s">
        <v>284</v>
      </c>
      <c r="R39" s="188" t="s">
        <v>284</v>
      </c>
      <c r="S39" s="188" t="s">
        <v>284</v>
      </c>
      <c r="T39" s="188" t="s">
        <v>284</v>
      </c>
      <c r="U39" s="3">
        <v>4</v>
      </c>
      <c r="V39" s="3">
        <f t="shared" ref="V39:BX39" si="147">U39+1</f>
        <v>5</v>
      </c>
      <c r="W39" s="3">
        <f t="shared" si="147"/>
        <v>6</v>
      </c>
      <c r="X39" s="3">
        <f t="shared" si="147"/>
        <v>7</v>
      </c>
      <c r="Y39" s="3">
        <f t="shared" si="147"/>
        <v>8</v>
      </c>
      <c r="Z39" s="3">
        <f t="shared" si="147"/>
        <v>9</v>
      </c>
      <c r="AA39" s="3">
        <f t="shared" si="147"/>
        <v>10</v>
      </c>
      <c r="AB39" s="3">
        <f t="shared" si="147"/>
        <v>11</v>
      </c>
      <c r="AC39" s="3">
        <f t="shared" si="147"/>
        <v>12</v>
      </c>
      <c r="AD39" s="3">
        <f t="shared" si="147"/>
        <v>13</v>
      </c>
      <c r="AE39" s="3">
        <f t="shared" si="147"/>
        <v>14</v>
      </c>
      <c r="AF39" s="3">
        <f t="shared" si="147"/>
        <v>15</v>
      </c>
      <c r="AG39" s="3">
        <f t="shared" si="147"/>
        <v>16</v>
      </c>
      <c r="AH39" s="3">
        <f t="shared" si="147"/>
        <v>17</v>
      </c>
      <c r="AI39" s="3">
        <f t="shared" si="147"/>
        <v>18</v>
      </c>
      <c r="AJ39" s="3">
        <f t="shared" si="147"/>
        <v>19</v>
      </c>
      <c r="AK39" s="3">
        <f t="shared" si="147"/>
        <v>20</v>
      </c>
      <c r="AL39" s="3">
        <f t="shared" si="147"/>
        <v>21</v>
      </c>
      <c r="AM39" s="3">
        <f t="shared" si="147"/>
        <v>22</v>
      </c>
      <c r="AN39" s="3">
        <f t="shared" si="147"/>
        <v>23</v>
      </c>
      <c r="AO39" s="3">
        <f t="shared" si="147"/>
        <v>24</v>
      </c>
      <c r="AP39" s="3">
        <f t="shared" si="147"/>
        <v>25</v>
      </c>
      <c r="AQ39" s="3">
        <f t="shared" si="147"/>
        <v>26</v>
      </c>
      <c r="AR39" s="3">
        <f t="shared" si="147"/>
        <v>27</v>
      </c>
      <c r="AS39" s="3">
        <f t="shared" si="147"/>
        <v>28</v>
      </c>
      <c r="AT39" s="3">
        <f t="shared" si="147"/>
        <v>29</v>
      </c>
      <c r="AU39" s="3">
        <f t="shared" si="147"/>
        <v>30</v>
      </c>
      <c r="AV39" s="3">
        <f t="shared" si="147"/>
        <v>31</v>
      </c>
      <c r="AW39" s="3">
        <f t="shared" si="147"/>
        <v>32</v>
      </c>
      <c r="AX39" s="3">
        <f t="shared" si="147"/>
        <v>33</v>
      </c>
      <c r="AY39" s="3">
        <f t="shared" si="147"/>
        <v>34</v>
      </c>
      <c r="AZ39" s="3">
        <f t="shared" si="147"/>
        <v>35</v>
      </c>
      <c r="BA39" s="3">
        <f t="shared" si="147"/>
        <v>36</v>
      </c>
      <c r="BB39" s="3">
        <f t="shared" si="147"/>
        <v>37</v>
      </c>
      <c r="BC39" s="3">
        <f t="shared" si="147"/>
        <v>38</v>
      </c>
      <c r="BD39" s="3">
        <f t="shared" si="147"/>
        <v>39</v>
      </c>
      <c r="BE39" s="3">
        <f t="shared" si="147"/>
        <v>40</v>
      </c>
      <c r="BF39" s="3">
        <f t="shared" si="147"/>
        <v>41</v>
      </c>
      <c r="BG39" s="3">
        <f t="shared" si="147"/>
        <v>42</v>
      </c>
      <c r="BH39" s="3">
        <f t="shared" si="147"/>
        <v>43</v>
      </c>
      <c r="BI39" s="3">
        <f t="shared" si="147"/>
        <v>44</v>
      </c>
      <c r="BJ39" s="3">
        <f t="shared" si="147"/>
        <v>45</v>
      </c>
      <c r="BK39" s="3">
        <f t="shared" si="147"/>
        <v>46</v>
      </c>
      <c r="BL39" s="3">
        <f t="shared" si="147"/>
        <v>47</v>
      </c>
      <c r="BM39" s="3">
        <f t="shared" si="147"/>
        <v>48</v>
      </c>
      <c r="BN39" s="3">
        <f t="shared" si="147"/>
        <v>49</v>
      </c>
      <c r="BO39" s="3">
        <f t="shared" si="147"/>
        <v>50</v>
      </c>
      <c r="BP39" s="3">
        <f t="shared" si="147"/>
        <v>51</v>
      </c>
      <c r="BQ39" s="3">
        <f t="shared" si="147"/>
        <v>52</v>
      </c>
      <c r="BR39" s="3">
        <f t="shared" si="147"/>
        <v>53</v>
      </c>
      <c r="BS39" s="3">
        <f t="shared" si="147"/>
        <v>54</v>
      </c>
      <c r="BT39" s="3">
        <f t="shared" si="147"/>
        <v>55</v>
      </c>
      <c r="BU39" s="3">
        <f t="shared" si="147"/>
        <v>56</v>
      </c>
      <c r="BV39" s="3">
        <f t="shared" si="147"/>
        <v>57</v>
      </c>
      <c r="BW39" s="3">
        <f t="shared" si="147"/>
        <v>58</v>
      </c>
      <c r="BX39" s="3">
        <f t="shared" si="147"/>
        <v>59</v>
      </c>
      <c r="BY39" s="3">
        <f t="shared" ref="BY39" si="148">BX39+1</f>
        <v>60</v>
      </c>
      <c r="BZ39" s="3">
        <f t="shared" ref="BZ39" si="149">BY39+1</f>
        <v>61</v>
      </c>
      <c r="CA39" s="3">
        <f t="shared" ref="CA39" si="150">BZ39+1</f>
        <v>62</v>
      </c>
      <c r="CB39" s="3">
        <f t="shared" ref="CB39" si="151">CA39+1</f>
        <v>63</v>
      </c>
      <c r="CC39" s="3">
        <f t="shared" ref="CC39" si="152">CB39+1</f>
        <v>64</v>
      </c>
      <c r="CD39" s="3">
        <f t="shared" ref="CD39" si="153">CC39+1</f>
        <v>65</v>
      </c>
      <c r="CE39" s="3">
        <f t="shared" ref="CE39" si="154">CD39+1</f>
        <v>66</v>
      </c>
      <c r="CF39" s="3">
        <f t="shared" ref="CF39" si="155">CE39+1</f>
        <v>67</v>
      </c>
      <c r="CG39" s="3">
        <f t="shared" ref="CG39" si="156">CF39+1</f>
        <v>68</v>
      </c>
      <c r="CH39" s="3">
        <f t="shared" ref="CH39" si="157">CG39+1</f>
        <v>69</v>
      </c>
      <c r="CI39" s="3">
        <f t="shared" ref="CI39" si="158">CH39+1</f>
        <v>70</v>
      </c>
      <c r="CJ39" s="3">
        <f t="shared" ref="CJ39" si="159">CI39+1</f>
        <v>71</v>
      </c>
      <c r="CK39" s="3">
        <f t="shared" ref="CK39" si="160">CJ39+1</f>
        <v>72</v>
      </c>
      <c r="CN39" s="193"/>
      <c r="CW39" s="184" t="s">
        <v>422</v>
      </c>
    </row>
    <row r="40" spans="1:107" x14ac:dyDescent="0.2">
      <c r="B40" s="128" t="s">
        <v>1</v>
      </c>
      <c r="C40" s="128" t="s">
        <v>2</v>
      </c>
      <c r="D40" s="102"/>
      <c r="E40" s="102"/>
      <c r="F40" s="129">
        <f t="shared" ref="F40:K40" si="161">F3</f>
        <v>45292</v>
      </c>
      <c r="G40" s="129">
        <f t="shared" si="161"/>
        <v>45323</v>
      </c>
      <c r="H40" s="129">
        <f t="shared" si="161"/>
        <v>45352</v>
      </c>
      <c r="I40" s="129">
        <f t="shared" si="161"/>
        <v>45383</v>
      </c>
      <c r="J40" s="129">
        <f t="shared" si="161"/>
        <v>45413</v>
      </c>
      <c r="K40" s="129">
        <f t="shared" si="161"/>
        <v>45444</v>
      </c>
      <c r="L40" s="129">
        <f>L3</f>
        <v>45474</v>
      </c>
      <c r="M40" s="129">
        <f t="shared" ref="M40:BU40" si="162">M3</f>
        <v>45505</v>
      </c>
      <c r="N40" s="129">
        <f t="shared" si="162"/>
        <v>45536</v>
      </c>
      <c r="O40" s="129">
        <f t="shared" si="162"/>
        <v>45566</v>
      </c>
      <c r="P40" s="129">
        <f t="shared" si="162"/>
        <v>45597</v>
      </c>
      <c r="Q40" s="129">
        <f t="shared" si="162"/>
        <v>45627</v>
      </c>
      <c r="R40" s="129">
        <f t="shared" si="162"/>
        <v>45658</v>
      </c>
      <c r="S40" s="129">
        <f t="shared" si="162"/>
        <v>45689</v>
      </c>
      <c r="T40" s="129">
        <f t="shared" si="162"/>
        <v>45717</v>
      </c>
      <c r="U40" s="129">
        <f t="shared" si="162"/>
        <v>45748</v>
      </c>
      <c r="V40" s="129">
        <f t="shared" si="162"/>
        <v>45778</v>
      </c>
      <c r="W40" s="129">
        <f t="shared" si="162"/>
        <v>45809</v>
      </c>
      <c r="X40" s="129">
        <f t="shared" si="162"/>
        <v>45839</v>
      </c>
      <c r="Y40" s="129">
        <f t="shared" si="162"/>
        <v>45870</v>
      </c>
      <c r="Z40" s="129">
        <f t="shared" si="162"/>
        <v>45901</v>
      </c>
      <c r="AA40" s="129">
        <f t="shared" si="162"/>
        <v>45931</v>
      </c>
      <c r="AB40" s="129">
        <f t="shared" si="162"/>
        <v>45962</v>
      </c>
      <c r="AC40" s="129">
        <f t="shared" si="162"/>
        <v>45992</v>
      </c>
      <c r="AD40" s="129">
        <f t="shared" si="162"/>
        <v>46023</v>
      </c>
      <c r="AE40" s="129">
        <f t="shared" si="162"/>
        <v>46054</v>
      </c>
      <c r="AF40" s="129">
        <f t="shared" si="162"/>
        <v>46082</v>
      </c>
      <c r="AG40" s="129">
        <f t="shared" si="162"/>
        <v>46113</v>
      </c>
      <c r="AH40" s="129">
        <f t="shared" si="162"/>
        <v>46143</v>
      </c>
      <c r="AI40" s="129">
        <f t="shared" si="162"/>
        <v>46174</v>
      </c>
      <c r="AJ40" s="129">
        <f t="shared" si="162"/>
        <v>46204</v>
      </c>
      <c r="AK40" s="129">
        <f t="shared" si="162"/>
        <v>46235</v>
      </c>
      <c r="AL40" s="129">
        <f t="shared" si="162"/>
        <v>46266</v>
      </c>
      <c r="AM40" s="129">
        <f t="shared" si="162"/>
        <v>46296</v>
      </c>
      <c r="AN40" s="129">
        <f t="shared" si="162"/>
        <v>46327</v>
      </c>
      <c r="AO40" s="129">
        <f t="shared" si="162"/>
        <v>46357</v>
      </c>
      <c r="AP40" s="129">
        <f t="shared" si="162"/>
        <v>46388</v>
      </c>
      <c r="AQ40" s="129">
        <f t="shared" si="162"/>
        <v>46419</v>
      </c>
      <c r="AR40" s="129">
        <f t="shared" si="162"/>
        <v>46447</v>
      </c>
      <c r="AS40" s="129">
        <f t="shared" si="162"/>
        <v>46478</v>
      </c>
      <c r="AT40" s="129">
        <f t="shared" si="162"/>
        <v>46508</v>
      </c>
      <c r="AU40" s="129">
        <f t="shared" si="162"/>
        <v>46539</v>
      </c>
      <c r="AV40" s="129">
        <f t="shared" si="162"/>
        <v>46569</v>
      </c>
      <c r="AW40" s="129">
        <f t="shared" si="162"/>
        <v>46600</v>
      </c>
      <c r="AX40" s="129">
        <f t="shared" si="162"/>
        <v>46631</v>
      </c>
      <c r="AY40" s="129">
        <f t="shared" si="162"/>
        <v>46661</v>
      </c>
      <c r="AZ40" s="129">
        <f t="shared" si="162"/>
        <v>46692</v>
      </c>
      <c r="BA40" s="129">
        <f t="shared" si="162"/>
        <v>46722</v>
      </c>
      <c r="BB40" s="129">
        <f t="shared" si="162"/>
        <v>46753</v>
      </c>
      <c r="BC40" s="129">
        <f t="shared" si="162"/>
        <v>46784</v>
      </c>
      <c r="BD40" s="129">
        <f t="shared" si="162"/>
        <v>46813</v>
      </c>
      <c r="BE40" s="129">
        <f t="shared" si="162"/>
        <v>46844</v>
      </c>
      <c r="BF40" s="129">
        <f t="shared" si="162"/>
        <v>46874</v>
      </c>
      <c r="BG40" s="129">
        <f t="shared" si="162"/>
        <v>46905</v>
      </c>
      <c r="BH40" s="129">
        <f t="shared" si="162"/>
        <v>46935</v>
      </c>
      <c r="BI40" s="129">
        <f t="shared" si="162"/>
        <v>46966</v>
      </c>
      <c r="BJ40" s="129">
        <f t="shared" si="162"/>
        <v>46997</v>
      </c>
      <c r="BK40" s="129">
        <f t="shared" si="162"/>
        <v>47027</v>
      </c>
      <c r="BL40" s="129">
        <f t="shared" si="162"/>
        <v>47058</v>
      </c>
      <c r="BM40" s="129">
        <f t="shared" si="162"/>
        <v>47088</v>
      </c>
      <c r="BN40" s="129">
        <f t="shared" si="162"/>
        <v>47119</v>
      </c>
      <c r="BO40" s="129">
        <f t="shared" si="162"/>
        <v>47150</v>
      </c>
      <c r="BP40" s="129">
        <f t="shared" si="162"/>
        <v>47178</v>
      </c>
      <c r="BQ40" s="129">
        <f t="shared" si="162"/>
        <v>47209</v>
      </c>
      <c r="BR40" s="129">
        <f t="shared" si="162"/>
        <v>47239</v>
      </c>
      <c r="BS40" s="129">
        <f t="shared" si="162"/>
        <v>47270</v>
      </c>
      <c r="BT40" s="129">
        <f t="shared" si="162"/>
        <v>47300</v>
      </c>
      <c r="BU40" s="129">
        <f t="shared" si="162"/>
        <v>47331</v>
      </c>
      <c r="BV40" s="129">
        <f t="shared" ref="BV40:BX40" si="163">BV3</f>
        <v>47362</v>
      </c>
      <c r="BW40" s="129">
        <f t="shared" si="163"/>
        <v>47392</v>
      </c>
      <c r="BX40" s="129">
        <f t="shared" si="163"/>
        <v>47423</v>
      </c>
      <c r="BY40" s="129">
        <f t="shared" ref="BY40:CK40" si="164">BY3</f>
        <v>47453</v>
      </c>
      <c r="BZ40" s="129">
        <f t="shared" si="164"/>
        <v>47484</v>
      </c>
      <c r="CA40" s="129">
        <f t="shared" si="164"/>
        <v>47515</v>
      </c>
      <c r="CB40" s="129">
        <f t="shared" si="164"/>
        <v>47543</v>
      </c>
      <c r="CC40" s="129">
        <f t="shared" si="164"/>
        <v>47574</v>
      </c>
      <c r="CD40" s="129">
        <f t="shared" si="164"/>
        <v>47604</v>
      </c>
      <c r="CE40" s="129">
        <f t="shared" si="164"/>
        <v>47635</v>
      </c>
      <c r="CF40" s="129">
        <f t="shared" si="164"/>
        <v>47665</v>
      </c>
      <c r="CG40" s="129">
        <f t="shared" si="164"/>
        <v>47696</v>
      </c>
      <c r="CH40" s="129">
        <f t="shared" si="164"/>
        <v>47727</v>
      </c>
      <c r="CI40" s="129">
        <f t="shared" si="164"/>
        <v>47757</v>
      </c>
      <c r="CJ40" s="129">
        <f t="shared" si="164"/>
        <v>47788</v>
      </c>
      <c r="CK40" s="129">
        <f t="shared" si="164"/>
        <v>47818</v>
      </c>
      <c r="CN40" s="145"/>
      <c r="CO40" s="130">
        <v>2024</v>
      </c>
      <c r="CP40" s="130">
        <f t="shared" ref="CP40" si="165">CO40+1</f>
        <v>2025</v>
      </c>
      <c r="CQ40" s="130">
        <f t="shared" ref="CQ40" si="166">CP40+1</f>
        <v>2026</v>
      </c>
      <c r="CR40" s="130">
        <f t="shared" ref="CR40" si="167">CQ40+1</f>
        <v>2027</v>
      </c>
      <c r="CS40" s="130">
        <f t="shared" ref="CS40" si="168">CR40+1</f>
        <v>2028</v>
      </c>
      <c r="CT40" s="130">
        <f t="shared" ref="CT40" si="169">CS40+1</f>
        <v>2029</v>
      </c>
      <c r="CU40" s="130">
        <f t="shared" ref="CU40" si="170">CT40+1</f>
        <v>2030</v>
      </c>
      <c r="CW40" s="130">
        <v>2024</v>
      </c>
      <c r="CX40" s="130">
        <f t="shared" ref="CX40" si="171">CW40+1</f>
        <v>2025</v>
      </c>
      <c r="CY40" s="130">
        <f t="shared" ref="CY40" si="172">CX40+1</f>
        <v>2026</v>
      </c>
      <c r="CZ40" s="130">
        <f t="shared" ref="CZ40" si="173">CY40+1</f>
        <v>2027</v>
      </c>
      <c r="DA40" s="130">
        <f t="shared" ref="DA40" si="174">CZ40+1</f>
        <v>2028</v>
      </c>
      <c r="DB40" s="130">
        <f t="shared" ref="DB40" si="175">DA40+1</f>
        <v>2029</v>
      </c>
      <c r="DC40" s="130">
        <f t="shared" ref="DC40" si="176">DB40+1</f>
        <v>2030</v>
      </c>
    </row>
    <row r="41" spans="1:107" x14ac:dyDescent="0.2">
      <c r="B41" s="96" t="s">
        <v>3</v>
      </c>
      <c r="C41" s="101" t="s">
        <v>4</v>
      </c>
      <c r="D41" s="13"/>
      <c r="E41" s="13"/>
      <c r="F41" s="21">
        <f t="shared" ref="F41:AK41" si="177">SUM(F42:F43)</f>
        <v>26205.764999999999</v>
      </c>
      <c r="G41" s="21">
        <f t="shared" si="177"/>
        <v>25711.405999999999</v>
      </c>
      <c r="H41" s="21">
        <f t="shared" si="177"/>
        <v>22178</v>
      </c>
      <c r="I41" s="21">
        <f t="shared" si="177"/>
        <v>24234.28</v>
      </c>
      <c r="J41" s="21">
        <f t="shared" si="177"/>
        <v>23579</v>
      </c>
      <c r="K41" s="21">
        <f t="shared" si="177"/>
        <v>23525.792000000001</v>
      </c>
      <c r="L41" s="21">
        <f t="shared" si="177"/>
        <v>28106.821</v>
      </c>
      <c r="M41" s="21">
        <f t="shared" si="177"/>
        <v>24774</v>
      </c>
      <c r="N41" s="21">
        <f t="shared" si="177"/>
        <v>24181.965</v>
      </c>
      <c r="O41" s="21">
        <f t="shared" si="177"/>
        <v>33251.415999999997</v>
      </c>
      <c r="P41" s="21">
        <f t="shared" si="177"/>
        <v>29438.987000000001</v>
      </c>
      <c r="Q41" s="21">
        <f t="shared" si="177"/>
        <v>34841.324999999997</v>
      </c>
      <c r="R41" s="21">
        <f t="shared" si="177"/>
        <v>27436.246060000001</v>
      </c>
      <c r="S41" s="21">
        <f t="shared" si="177"/>
        <v>24500.007539999999</v>
      </c>
      <c r="T41" s="21">
        <f t="shared" si="177"/>
        <v>23567.70854</v>
      </c>
      <c r="U41" s="21">
        <f t="shared" si="177"/>
        <v>25102.982320000003</v>
      </c>
      <c r="V41" s="21">
        <f t="shared" si="177"/>
        <v>25727.1734</v>
      </c>
      <c r="W41" s="21">
        <f t="shared" si="177"/>
        <v>24424.72176</v>
      </c>
      <c r="X41" s="21">
        <f t="shared" si="177"/>
        <v>24875.682919999999</v>
      </c>
      <c r="Y41" s="21">
        <f t="shared" si="177"/>
        <v>23462.5609</v>
      </c>
      <c r="Z41" s="21">
        <f t="shared" si="177"/>
        <v>25802.622719999999</v>
      </c>
      <c r="AA41" s="21">
        <f t="shared" si="177"/>
        <v>24363.966639999999</v>
      </c>
      <c r="AB41" s="21">
        <f t="shared" si="177"/>
        <v>25502.678820000001</v>
      </c>
      <c r="AC41" s="21">
        <f t="shared" si="177"/>
        <v>36034.359250000001</v>
      </c>
      <c r="AD41" s="21">
        <f t="shared" si="177"/>
        <v>30804.473999999998</v>
      </c>
      <c r="AE41" s="21">
        <f t="shared" si="177"/>
        <v>28662.611000000001</v>
      </c>
      <c r="AF41" s="21">
        <f t="shared" si="177"/>
        <v>36335.96</v>
      </c>
      <c r="AG41" s="21">
        <f t="shared" si="177"/>
        <v>32662.956385000001</v>
      </c>
      <c r="AH41" s="21">
        <f t="shared" si="177"/>
        <v>34757.781710274998</v>
      </c>
      <c r="AI41" s="21">
        <f t="shared" si="177"/>
        <v>36156.740262903877</v>
      </c>
      <c r="AJ41" s="21">
        <f t="shared" si="177"/>
        <v>36220.045340499768</v>
      </c>
      <c r="AK41" s="21">
        <f t="shared" si="177"/>
        <v>38752.967012297704</v>
      </c>
      <c r="AL41" s="21">
        <f t="shared" ref="AL41:BQ41" si="178">SUM(AL42:AL43)</f>
        <v>44826.028464279414</v>
      </c>
      <c r="AM41" s="21">
        <f t="shared" si="178"/>
        <v>43865.110835238898</v>
      </c>
      <c r="AN41" s="21">
        <f t="shared" si="178"/>
        <v>44407.043238072591</v>
      </c>
      <c r="AO41" s="21">
        <f t="shared" si="178"/>
        <v>54842.793939492825</v>
      </c>
      <c r="AP41" s="21">
        <f t="shared" si="178"/>
        <v>47273.172680331241</v>
      </c>
      <c r="AQ41" s="21">
        <f t="shared" si="178"/>
        <v>49131.514372602629</v>
      </c>
      <c r="AR41" s="21">
        <f t="shared" si="178"/>
        <v>54264.479684368773</v>
      </c>
      <c r="AS41" s="21">
        <f t="shared" si="178"/>
        <v>55873.759428165497</v>
      </c>
      <c r="AT41" s="21">
        <f t="shared" si="178"/>
        <v>58098.338979859742</v>
      </c>
      <c r="AU41" s="21">
        <f t="shared" si="178"/>
        <v>59243.054087776247</v>
      </c>
      <c r="AV41" s="21">
        <f t="shared" si="178"/>
        <v>60412.119296509583</v>
      </c>
      <c r="AW41" s="21">
        <f t="shared" si="178"/>
        <v>58729.610337039579</v>
      </c>
      <c r="AX41" s="21">
        <f t="shared" si="178"/>
        <v>57100.279467797285</v>
      </c>
      <c r="AY41" s="21">
        <f t="shared" si="178"/>
        <v>55530.808322000943</v>
      </c>
      <c r="AZ41" s="21">
        <f t="shared" si="178"/>
        <v>52970.429024895777</v>
      </c>
      <c r="BA41" s="21">
        <f t="shared" si="178"/>
        <v>69509.203908983822</v>
      </c>
      <c r="BB41" s="21">
        <f t="shared" si="178"/>
        <v>54712.862897239975</v>
      </c>
      <c r="BC41" s="21">
        <f t="shared" si="178"/>
        <v>57388.650870372716</v>
      </c>
      <c r="BD41" s="21">
        <f t="shared" si="178"/>
        <v>63388.196551197187</v>
      </c>
      <c r="BE41" s="21">
        <f t="shared" si="178"/>
        <v>65269.874418780768</v>
      </c>
      <c r="BF41" s="21">
        <f t="shared" si="178"/>
        <v>67870.718309615651</v>
      </c>
      <c r="BG41" s="21">
        <f t="shared" si="178"/>
        <v>69205.253623025681</v>
      </c>
      <c r="BH41" s="21">
        <f t="shared" si="178"/>
        <v>70568.29409992561</v>
      </c>
      <c r="BI41" s="21">
        <f t="shared" si="178"/>
        <v>68598.901436132917</v>
      </c>
      <c r="BJ41" s="21">
        <f t="shared" si="178"/>
        <v>66691.726077328931</v>
      </c>
      <c r="BK41" s="21">
        <f t="shared" si="178"/>
        <v>64859.019704807215</v>
      </c>
      <c r="BL41" s="21">
        <f t="shared" si="178"/>
        <v>61868.452947284459</v>
      </c>
      <c r="BM41" s="21">
        <f t="shared" si="178"/>
        <v>81198.293755307226</v>
      </c>
      <c r="BN41" s="21">
        <f t="shared" si="178"/>
        <v>63885.719061951298</v>
      </c>
      <c r="BO41" s="21">
        <f t="shared" si="178"/>
        <v>67012.806293329995</v>
      </c>
      <c r="BP41" s="21">
        <f t="shared" si="178"/>
        <v>74024.641734953912</v>
      </c>
      <c r="BQ41" s="21">
        <f t="shared" si="178"/>
        <v>76224.196702773857</v>
      </c>
      <c r="BR41" s="21">
        <f t="shared" ref="BR41:BX41" si="179">SUM(BR42:BR43)</f>
        <v>79264.277521310112</v>
      </c>
      <c r="BS41" s="21">
        <f t="shared" si="179"/>
        <v>80824.81098043095</v>
      </c>
      <c r="BT41" s="21">
        <f t="shared" si="179"/>
        <v>82418.748658750323</v>
      </c>
      <c r="BU41" s="21">
        <f t="shared" si="179"/>
        <v>80118.338998173873</v>
      </c>
      <c r="BV41" s="21">
        <f t="shared" si="179"/>
        <v>77890.750128557265</v>
      </c>
      <c r="BW41" s="21">
        <f t="shared" si="179"/>
        <v>75750.06421014716</v>
      </c>
      <c r="BX41" s="21">
        <f t="shared" si="179"/>
        <v>72256.374486769419</v>
      </c>
      <c r="BY41" s="21">
        <f t="shared" ref="BY41:CK41" si="180">SUM(BY42:BY43)</f>
        <v>94881.698369018995</v>
      </c>
      <c r="BZ41" s="21">
        <f t="shared" si="180"/>
        <v>71078.218684555919</v>
      </c>
      <c r="CA41" s="21">
        <f t="shared" si="180"/>
        <v>74605.547131889121</v>
      </c>
      <c r="CB41" s="21">
        <f t="shared" si="180"/>
        <v>82451.43508081304</v>
      </c>
      <c r="CC41" s="21">
        <f t="shared" si="180"/>
        <v>84937.188093170582</v>
      </c>
      <c r="CD41" s="21">
        <f t="shared" si="180"/>
        <v>88362.606539255503</v>
      </c>
      <c r="CE41" s="21">
        <f t="shared" si="180"/>
        <v>90156.980353906823</v>
      </c>
      <c r="CF41" s="21">
        <f t="shared" si="180"/>
        <v>91990.596321584366</v>
      </c>
      <c r="CG41" s="21">
        <f t="shared" si="180"/>
        <v>89477.034455998059</v>
      </c>
      <c r="CH41" s="21">
        <f t="shared" si="180"/>
        <v>87043.581815713434</v>
      </c>
      <c r="CI41" s="21">
        <f t="shared" si="180"/>
        <v>84688.299310944116</v>
      </c>
      <c r="CJ41" s="21">
        <f t="shared" si="180"/>
        <v>80818.797754328043</v>
      </c>
      <c r="CK41" s="21">
        <f t="shared" si="180"/>
        <v>106122.13827586597</v>
      </c>
      <c r="CN41" s="14"/>
      <c r="CO41" s="21">
        <f>SUMIF($F$2:$CK$2,CO$3,$F41:$CK41)</f>
        <v>320028.75700000004</v>
      </c>
      <c r="CP41" s="21">
        <f t="shared" ref="CP41:CS47" si="181">SUMIF($L$2:$CK$2,CP$3,$L41:$CK41)</f>
        <v>310800.71086999995</v>
      </c>
      <c r="CQ41" s="21">
        <f t="shared" si="181"/>
        <v>462294.51218806009</v>
      </c>
      <c r="CR41" s="21">
        <f t="shared" si="181"/>
        <v>678136.76959033113</v>
      </c>
      <c r="CS41" s="21">
        <f t="shared" si="181"/>
        <v>791620.24469101825</v>
      </c>
      <c r="CT41" s="21">
        <f t="shared" ref="CT41:CU47" si="182">SUMIF($L$2:$CK$2,CT$3,$L41:$CK41)</f>
        <v>924552.42714616715</v>
      </c>
      <c r="CU41" s="21">
        <f t="shared" si="182"/>
        <v>1031732.4238180249</v>
      </c>
      <c r="CV41" s="184"/>
      <c r="CW41" s="369">
        <f t="shared" ref="CW41:DA47" si="183">CO41/CO$48</f>
        <v>0.58772534225139139</v>
      </c>
      <c r="CX41" s="369">
        <f t="shared" si="183"/>
        <v>0.51776460557062698</v>
      </c>
      <c r="CY41" s="369">
        <f t="shared" si="183"/>
        <v>0.56683622878749695</v>
      </c>
      <c r="CZ41" s="369">
        <f t="shared" si="183"/>
        <v>0.39624053487076066</v>
      </c>
      <c r="DA41" s="369">
        <f t="shared" si="183"/>
        <v>0.39719906691709517</v>
      </c>
      <c r="DB41" s="369">
        <f t="shared" ref="DB41:DC48" si="184">CT41/CT$48</f>
        <v>0.3983409471246846</v>
      </c>
      <c r="DC41" s="369">
        <f t="shared" si="184"/>
        <v>0.388525926946234</v>
      </c>
    </row>
    <row r="42" spans="1:107" outlineLevel="1" x14ac:dyDescent="0.2">
      <c r="B42" s="95" t="s">
        <v>90</v>
      </c>
      <c r="C42" s="97" t="s">
        <v>4</v>
      </c>
      <c r="D42" s="9"/>
      <c r="E42" s="9"/>
      <c r="F42" s="22">
        <f>Мясо!F40</f>
        <v>26205.764999999999</v>
      </c>
      <c r="G42" s="22">
        <f>Мясо!G40</f>
        <v>25711.405999999999</v>
      </c>
      <c r="H42" s="22">
        <f>Мясо!H40</f>
        <v>22178</v>
      </c>
      <c r="I42" s="22">
        <f>Мясо!I40</f>
        <v>24234.28</v>
      </c>
      <c r="J42" s="22">
        <f>Мясо!J40</f>
        <v>23579</v>
      </c>
      <c r="K42" s="22">
        <f>Мясо!K40</f>
        <v>23525.792000000001</v>
      </c>
      <c r="L42" s="22">
        <f>Мясо!L40</f>
        <v>28083.907999999999</v>
      </c>
      <c r="M42" s="22">
        <f>Мясо!M40</f>
        <v>24710.223000000002</v>
      </c>
      <c r="N42" s="22">
        <f>Мясо!N40</f>
        <v>24061.894</v>
      </c>
      <c r="O42" s="22">
        <f>Мясо!O40</f>
        <v>33188.900999999998</v>
      </c>
      <c r="P42" s="22">
        <f>Мясо!P40</f>
        <v>29389.4</v>
      </c>
      <c r="Q42" s="22">
        <f>Мясо!Q40</f>
        <v>34781.237999999998</v>
      </c>
      <c r="R42" s="22">
        <f>Мясо!R40</f>
        <v>27359.57806</v>
      </c>
      <c r="S42" s="22">
        <f>Мясо!S40</f>
        <v>24378.48054</v>
      </c>
      <c r="T42" s="22">
        <f>Мясо!T40</f>
        <v>23464.82662</v>
      </c>
      <c r="U42" s="22">
        <f>Мясо!U40</f>
        <v>24478.325270000001</v>
      </c>
      <c r="V42" s="22">
        <f>Мясо!V40</f>
        <v>25141.750079999998</v>
      </c>
      <c r="W42" s="22">
        <f>Мясо!W40</f>
        <v>23675.300760000002</v>
      </c>
      <c r="X42" s="22">
        <f>Мясо!X40</f>
        <v>23266.685600000001</v>
      </c>
      <c r="Y42" s="22">
        <f>Мясо!Y40</f>
        <v>22296.771059999999</v>
      </c>
      <c r="Z42" s="22">
        <f>Мясо!Z40</f>
        <v>24878.807069999999</v>
      </c>
      <c r="AA42" s="22">
        <f>Мясо!AA40</f>
        <v>23316.054669999998</v>
      </c>
      <c r="AB42" s="22">
        <f>Мясо!AB40</f>
        <v>24764.84203</v>
      </c>
      <c r="AC42" s="22">
        <f>Мясо!AC40</f>
        <v>34689.43965</v>
      </c>
      <c r="AD42" s="22">
        <f>Мясо!AD40</f>
        <v>30326.956999999999</v>
      </c>
      <c r="AE42" s="22">
        <f>Мясо!AE40</f>
        <v>28106.159</v>
      </c>
      <c r="AF42" s="22">
        <f>Мясо!AF40</f>
        <v>35682.800999999999</v>
      </c>
      <c r="AG42" s="22">
        <f>Мясо!AG40</f>
        <v>32000</v>
      </c>
      <c r="AH42" s="22">
        <f>Мясо!AH40</f>
        <v>33000</v>
      </c>
      <c r="AI42" s="22">
        <f>Мясо!AI40</f>
        <v>33500</v>
      </c>
      <c r="AJ42" s="22">
        <f>Мясо!AJ40</f>
        <v>33500</v>
      </c>
      <c r="AK42" s="22">
        <f>Мясо!AK40</f>
        <v>35999.999999999993</v>
      </c>
      <c r="AL42" s="22">
        <f>Мясо!AL40</f>
        <v>42000</v>
      </c>
      <c r="AM42" s="22">
        <f>Мясо!AM40</f>
        <v>41000</v>
      </c>
      <c r="AN42" s="22">
        <f>Мясо!AN40</f>
        <v>41500</v>
      </c>
      <c r="AO42" s="22">
        <f>Мясо!AO40</f>
        <v>51875</v>
      </c>
      <c r="AP42" s="22">
        <f>Мясо!AP40</f>
        <v>44093.750000000007</v>
      </c>
      <c r="AQ42" s="22">
        <f>Мясо!AQ40</f>
        <v>45930.989583333336</v>
      </c>
      <c r="AR42" s="22">
        <f>Мясо!AR40</f>
        <v>51034.432870370372</v>
      </c>
      <c r="AS42" s="22">
        <f>Мясо!AS40</f>
        <v>52612.817392134406</v>
      </c>
      <c r="AT42" s="22">
        <f>Мясо!AT40</f>
        <v>54805.018116806677</v>
      </c>
      <c r="AU42" s="22">
        <f>Мясо!AU40</f>
        <v>55923.487874292528</v>
      </c>
      <c r="AV42" s="22">
        <f>Мясо!AV40</f>
        <v>57064.783545196457</v>
      </c>
      <c r="AW42" s="22">
        <f>Мясо!AW40</f>
        <v>55352.840038840564</v>
      </c>
      <c r="AX42" s="22">
        <f>Мясо!AX40</f>
        <v>53692.254837675348</v>
      </c>
      <c r="AY42" s="22">
        <f>Мясо!AY40</f>
        <v>52081.487192545086</v>
      </c>
      <c r="AZ42" s="22">
        <f>Мясо!AZ40</f>
        <v>49477.412832917827</v>
      </c>
      <c r="BA42" s="22">
        <f>Мясо!BA40</f>
        <v>65969.883777223775</v>
      </c>
      <c r="BB42" s="22">
        <f>Мясо!BB40</f>
        <v>51010.879638232807</v>
      </c>
      <c r="BC42" s="22">
        <f>Мясо!BC40</f>
        <v>53677.250976562507</v>
      </c>
      <c r="BD42" s="22">
        <f>Мясо!BD40</f>
        <v>59641.389973958343</v>
      </c>
      <c r="BE42" s="22">
        <f>Мясо!BE40</f>
        <v>61485.96904531787</v>
      </c>
      <c r="BF42" s="22">
        <f>Мясо!BF40</f>
        <v>64047.884422206116</v>
      </c>
      <c r="BG42" s="22">
        <f>Мясо!BG40</f>
        <v>65354.984104291958</v>
      </c>
      <c r="BH42" s="22">
        <f>Мясо!BH40</f>
        <v>66688.759290093847</v>
      </c>
      <c r="BI42" s="22">
        <f>Мясо!BI40</f>
        <v>64688.096511391035</v>
      </c>
      <c r="BJ42" s="22">
        <f>Мясо!BJ40</f>
        <v>62747.453616049301</v>
      </c>
      <c r="BK42" s="22">
        <f>Мясо!BK40</f>
        <v>60865.030007567817</v>
      </c>
      <c r="BL42" s="22">
        <f>Мясо!BL40</f>
        <v>57821.778507189425</v>
      </c>
      <c r="BM42" s="22">
        <f>Мясо!BM40</f>
        <v>77095.704676252557</v>
      </c>
      <c r="BN42" s="22">
        <f>Мясо!BN40</f>
        <v>59613.864489220767</v>
      </c>
      <c r="BO42" s="22">
        <f>Мясо!BO40</f>
        <v>62729.919353759775</v>
      </c>
      <c r="BP42" s="22">
        <f>Мясо!BP40</f>
        <v>69699.910393066413</v>
      </c>
      <c r="BQ42" s="22">
        <f>Мясо!BQ40</f>
        <v>71855.577724810719</v>
      </c>
      <c r="BR42" s="22">
        <f>Мясо!BR40</f>
        <v>74849.560130011174</v>
      </c>
      <c r="BS42" s="22">
        <f>Мясо!BS40</f>
        <v>76377.102173480802</v>
      </c>
      <c r="BT42" s="22">
        <f>Мясо!BT40</f>
        <v>77935.818544368172</v>
      </c>
      <c r="BU42" s="22">
        <f>Мясо!BU40</f>
        <v>75597.743988037124</v>
      </c>
      <c r="BV42" s="22">
        <f>Мясо!BV40</f>
        <v>73329.811668396011</v>
      </c>
      <c r="BW42" s="22">
        <f>Мясо!BW40</f>
        <v>71129.917318344131</v>
      </c>
      <c r="BX42" s="22">
        <f>Мясо!BX40</f>
        <v>67573.421452426919</v>
      </c>
      <c r="BY42" s="22">
        <f>Мясо!BY40</f>
        <v>90132.021725089537</v>
      </c>
      <c r="BZ42" s="22">
        <f>Мясо!BZ40</f>
        <v>66400.494241674387</v>
      </c>
      <c r="CA42" s="22">
        <f>Мясо!CA40</f>
        <v>69897.735762388184</v>
      </c>
      <c r="CB42" s="22">
        <f>Мясо!CB40</f>
        <v>77693.534373636328</v>
      </c>
      <c r="CC42" s="22">
        <f>Мясо!CC40</f>
        <v>80126.719484716159</v>
      </c>
      <c r="CD42" s="22">
        <f>Мясо!CD40</f>
        <v>83496.887270954714</v>
      </c>
      <c r="CE42" s="22">
        <f>Мясо!CE40</f>
        <v>85233.103821765413</v>
      </c>
      <c r="CF42" s="22">
        <f>Мясо!CF40</f>
        <v>87005.410474495511</v>
      </c>
      <c r="CG42" s="22">
        <f>Мясо!CG40</f>
        <v>84427.118047957556</v>
      </c>
      <c r="CH42" s="22">
        <f>Мясо!CH40</f>
        <v>81925.218297584841</v>
      </c>
      <c r="CI42" s="22">
        <f>Мясо!CI40</f>
        <v>79497.448125991301</v>
      </c>
      <c r="CJ42" s="22">
        <f>Мясо!CJ40</f>
        <v>75551.062778159059</v>
      </c>
      <c r="CK42" s="22">
        <f>Мясо!CK40</f>
        <v>100772.73311550186</v>
      </c>
      <c r="CN42" s="10"/>
      <c r="CO42" s="10">
        <f>SUMIF($F$2:$CK$2,CO$3,$F42:$CK42)</f>
        <v>319649.80700000003</v>
      </c>
      <c r="CP42" s="10">
        <f t="shared" si="181"/>
        <v>301710.86141000001</v>
      </c>
      <c r="CQ42" s="10">
        <f t="shared" si="181"/>
        <v>438490.91700000002</v>
      </c>
      <c r="CR42" s="10">
        <f t="shared" si="181"/>
        <v>638039.15806133638</v>
      </c>
      <c r="CS42" s="10">
        <f t="shared" si="181"/>
        <v>745125.18076911371</v>
      </c>
      <c r="CT42" s="10">
        <f t="shared" si="182"/>
        <v>870824.66896101146</v>
      </c>
      <c r="CU42" s="10">
        <f t="shared" si="182"/>
        <v>972027.46579482523</v>
      </c>
      <c r="CV42" s="183">
        <f>SUM(CO42:CU42)</f>
        <v>4285868.0589962872</v>
      </c>
      <c r="CW42" s="210">
        <f t="shared" si="183"/>
        <v>0.5870294094216858</v>
      </c>
      <c r="CX42" s="210">
        <f t="shared" si="183"/>
        <v>0.50262177559710797</v>
      </c>
      <c r="CY42" s="210">
        <f t="shared" si="183"/>
        <v>0.53764976913405549</v>
      </c>
      <c r="CZ42" s="210">
        <f t="shared" si="183"/>
        <v>0.37281119177690791</v>
      </c>
      <c r="DA42" s="210">
        <f t="shared" si="183"/>
        <v>0.37386995661466799</v>
      </c>
      <c r="DB42" s="210">
        <f t="shared" si="184"/>
        <v>0.37519248582171366</v>
      </c>
      <c r="DC42" s="210">
        <f t="shared" si="184"/>
        <v>0.36604245776009831</v>
      </c>
    </row>
    <row r="43" spans="1:107" outlineLevel="1" x14ac:dyDescent="0.2">
      <c r="B43" s="95" t="s">
        <v>282</v>
      </c>
      <c r="C43" s="97" t="s">
        <v>4</v>
      </c>
      <c r="D43" s="9"/>
      <c r="E43" s="9"/>
      <c r="F43" s="22">
        <f>Пицца!F35+Снеки!F35+'Мясная гастрономия'!F35+Сыр!F35+'Кондитерские изделия'!F35</f>
        <v>0</v>
      </c>
      <c r="G43" s="22">
        <f>Пицца!G35+Снеки!G35+'Мясная гастрономия'!G35+Сыр!G35+'Кондитерские изделия'!G35</f>
        <v>0</v>
      </c>
      <c r="H43" s="22">
        <f>Пицца!H35+Снеки!H35+'Мясная гастрономия'!H35+Сыр!H35+'Кондитерские изделия'!H35</f>
        <v>0</v>
      </c>
      <c r="I43" s="22">
        <f>Пицца!I35+Снеки!I35+'Мясная гастрономия'!I35+Сыр!I35+'Кондитерские изделия'!I35</f>
        <v>0</v>
      </c>
      <c r="J43" s="22">
        <f>Пицца!J35+Снеки!J35+'Мясная гастрономия'!J35+Сыр!J35+'Кондитерские изделия'!J35</f>
        <v>0</v>
      </c>
      <c r="K43" s="22">
        <f>Пицца!K35+Снеки!K35+'Мясная гастрономия'!K35+Сыр!K35+'Кондитерские изделия'!K35</f>
        <v>0</v>
      </c>
      <c r="L43" s="22">
        <f>Пицца!L35+Снеки!L35+'Мясная гастрономия'!L35+Сыр!L35+'Кондитерские изделия'!L35</f>
        <v>22.913</v>
      </c>
      <c r="M43" s="22">
        <f>Пицца!M35+Снеки!M35+'Мясная гастрономия'!M35+Сыр!M35+'Кондитерские изделия'!M35</f>
        <v>63.777000000000001</v>
      </c>
      <c r="N43" s="22">
        <f>Пицца!N35+Снеки!N35+'Мясная гастрономия'!N35+Сыр!N35+'Кондитерские изделия'!N35</f>
        <v>120.071</v>
      </c>
      <c r="O43" s="22">
        <f>Пицца!O35+Снеки!O35+'Мясная гастрономия'!O35+Сыр!O35+'Кондитерские изделия'!O35</f>
        <v>62.515000000000001</v>
      </c>
      <c r="P43" s="22">
        <f>Пицца!P35+Снеки!P35+'Мясная гастрономия'!P35+Сыр!P35+'Кондитерские изделия'!P35</f>
        <v>49.587000000000003</v>
      </c>
      <c r="Q43" s="22">
        <f>Пицца!Q35+Снеки!Q35+'Мясная гастрономия'!Q35+Сыр!Q35+'Кондитерские изделия'!Q35</f>
        <v>60.087000000000003</v>
      </c>
      <c r="R43" s="22">
        <f>Пицца!R35+Снеки!R35+'Мясная гастрономия'!R35+Сыр!R35+'Кондитерские изделия'!R35</f>
        <v>76.668000000000006</v>
      </c>
      <c r="S43" s="22">
        <f>Пицца!S35+Снеки!S35+'Мясная гастрономия'!S35+Сыр!S35+'Кондитерские изделия'!S35</f>
        <v>121.527</v>
      </c>
      <c r="T43" s="22">
        <f>Пицца!T35+Снеки!T35+'Мясная гастрономия'!T35+Сыр!T35+'Кондитерские изделия'!T35</f>
        <v>102.88192000000001</v>
      </c>
      <c r="U43" s="22">
        <f>Пицца!U35+Снеки!U35+'Мясная гастрономия'!U35+Сыр!U35+'Кондитерские изделия'!U35</f>
        <v>624.65705000000003</v>
      </c>
      <c r="V43" s="22">
        <f>Пицца!V35+Снеки!V35+'Мясная гастрономия'!V35+Сыр!V35+'Кондитерские изделия'!V35</f>
        <v>585.42331999999999</v>
      </c>
      <c r="W43" s="22">
        <f>Пицца!W35+Снеки!W35+'Мясная гастрономия'!W35+Сыр!W35+'Кондитерские изделия'!W35</f>
        <v>749.42100000000005</v>
      </c>
      <c r="X43" s="22">
        <f>Пицца!X35+Снеки!X35+'Мясная гастрономия'!X35+Сыр!X35+'Кондитерские изделия'!X35</f>
        <v>1608.9973199999999</v>
      </c>
      <c r="Y43" s="22">
        <f>Пицца!Y35+Снеки!Y35+'Мясная гастрономия'!Y35+Сыр!Y35+'Кондитерские изделия'!Y35</f>
        <v>1165.7898399999999</v>
      </c>
      <c r="Z43" s="22">
        <f>Пицца!Z35+Снеки!Z35+'Мясная гастрономия'!Z35+Сыр!Z35+'Кондитерские изделия'!Z35</f>
        <v>923.81565000000012</v>
      </c>
      <c r="AA43" s="22">
        <f>Пицца!AA35+Снеки!AA35+'Мясная гастрономия'!AA35+Сыр!AA35+'Кондитерские изделия'!AA35</f>
        <v>1047.9119700000001</v>
      </c>
      <c r="AB43" s="22">
        <f>Пицца!AB35+Снеки!AB35+'Мясная гастрономия'!AB35+Сыр!AB35+'Кондитерские изделия'!AB35</f>
        <v>737.83678999999995</v>
      </c>
      <c r="AC43" s="22">
        <f>Пицца!AC35+Снеки!AC35+'Мясная гастрономия'!AC35+Сыр!AC35+'Кондитерские изделия'!AC35</f>
        <v>1344.9195999999999</v>
      </c>
      <c r="AD43" s="22">
        <f>Пицца!AD35+Снеки!AD35+'Мясная гастрономия'!AD35+Сыр!AD35+'Кондитерские изделия'!AD35</f>
        <v>477.517</v>
      </c>
      <c r="AE43" s="22">
        <f>Пицца!AE35+Снеки!AE35+'Мясная гастрономия'!AE35+Сыр!AE35+'Кондитерские изделия'!AE35</f>
        <v>556.452</v>
      </c>
      <c r="AF43" s="22">
        <f>Пицца!AF35+Снеки!AF35+'Мясная гастрономия'!AF35+Сыр!AF35+'Кондитерские изделия'!AF35</f>
        <v>653.15899999999999</v>
      </c>
      <c r="AG43" s="22">
        <f>Пицца!AG35+Снеки!AG35+'Мясная гастрономия'!AG35+Сыр!AG35+'Кондитерские изделия'!AG35</f>
        <v>662.95638499999995</v>
      </c>
      <c r="AH43" s="22">
        <f>Пицца!AH35+Снеки!AH35+'Мясная гастрономия'!AH35+Сыр!AH35+'Кондитерские изделия'!AH35</f>
        <v>1757.7817102749998</v>
      </c>
      <c r="AI43" s="22">
        <f>Пицца!AI35+Снеки!AI35+'Мясная гастрономия'!AI35+Сыр!AI35+'Кондитерские изделия'!AI35</f>
        <v>2656.7402629038752</v>
      </c>
      <c r="AJ43" s="22">
        <f>Пицца!AJ35+Снеки!AJ35+'Мясная гастрономия'!AJ35+Сыр!AJ35+'Кондитерские изделия'!AJ35</f>
        <v>2720.0453404997693</v>
      </c>
      <c r="AK43" s="22">
        <f>Пицца!AK35+Снеки!AK35+'Мясная гастрономия'!AK35+Сыр!AK35+'Кондитерские изделия'!AK35</f>
        <v>2752.9670122977118</v>
      </c>
      <c r="AL43" s="22">
        <f>Пицца!AL35+Снеки!AL35+'Мясная гастрономия'!AL35+Сыр!AL35+'Кондитерские изделия'!AL35</f>
        <v>2826.0284642794163</v>
      </c>
      <c r="AM43" s="22">
        <f>Пицца!AM35+Снеки!AM35+'Мясная гастрономия'!AM35+Сыр!AM35+'Кондитерские изделия'!AM35</f>
        <v>2865.110835238901</v>
      </c>
      <c r="AN43" s="22">
        <f>Пицца!AN35+Снеки!AN35+'Мясная гастрономия'!AN35+Сыр!AN35+'Кондитерские изделия'!AN35</f>
        <v>2907.0432380725892</v>
      </c>
      <c r="AO43" s="22">
        <f>Пицца!AO35+Снеки!AO35+'Мясная гастрономия'!AO35+Сыр!AO35+'Кондитерские изделия'!AO35</f>
        <v>2967.7939394928258</v>
      </c>
      <c r="AP43" s="22">
        <f>Пицца!AP35+Снеки!AP35+'Мясная гастрономия'!AP35+Сыр!AP35+'Кондитерские изделия'!AP35</f>
        <v>3179.4226803312331</v>
      </c>
      <c r="AQ43" s="22">
        <f>Пицца!AQ35+Снеки!AQ35+'Мясная гастрономия'!AQ35+Сыр!AQ35+'Кондитерские изделия'!AQ35</f>
        <v>3200.5247892692942</v>
      </c>
      <c r="AR43" s="22">
        <f>Пицца!AR35+Снеки!AR35+'Мясная гастрономия'!AR35+Сыр!AR35+'Кондитерские изделия'!AR35</f>
        <v>3230.0468139984</v>
      </c>
      <c r="AS43" s="22">
        <f>Пицца!AS35+Снеки!AS35+'Мясная гастрономия'!AS35+Сыр!AS35+'Кондитерские изделия'!AS35</f>
        <v>3260.9420360310928</v>
      </c>
      <c r="AT43" s="22">
        <f>Пицца!AT35+Снеки!AT35+'Мясная гастрономия'!AT35+Сыр!AT35+'Кондитерские изделия'!AT35</f>
        <v>3293.3208630530621</v>
      </c>
      <c r="AU43" s="22">
        <f>Пицца!AU35+Снеки!AU35+'Мясная гастрономия'!AU35+Сыр!AU35+'Кондитерские изделия'!AU35</f>
        <v>3319.5662134837162</v>
      </c>
      <c r="AV43" s="22">
        <f>Пицца!AV35+Снеки!AV35+'Мясная гастрономия'!AV35+Сыр!AV35+'Кондитерские изделия'!AV35</f>
        <v>3347.3357513131264</v>
      </c>
      <c r="AW43" s="22">
        <f>Пицца!AW35+Снеки!AW35+'Мясная гастрономия'!AW35+Сыр!AW35+'Кондитерские изделия'!AW35</f>
        <v>3376.7702981990142</v>
      </c>
      <c r="AX43" s="22">
        <f>Пицца!AX35+Снеки!AX35+'Мясная гастрономия'!AX35+Сыр!AX35+'Кондитерские изделия'!AX35</f>
        <v>3408.0246301219377</v>
      </c>
      <c r="AY43" s="22">
        <f>Пицца!AY35+Снеки!AY35+'Мясная гастрономия'!AY35+Сыр!AY35+'Кондитерские изделия'!AY35</f>
        <v>3449.321129455855</v>
      </c>
      <c r="AZ43" s="22">
        <f>Пицца!AZ35+Снеки!AZ35+'Мясная гастрономия'!AZ35+Сыр!AZ35+'Кондитерские изделия'!AZ35</f>
        <v>3493.016191977948</v>
      </c>
      <c r="BA43" s="22">
        <f>Пицца!BA35+Снеки!BA35+'Мясная гастрономия'!BA35+Сыр!BA35+'Кондитерские изделия'!BA35</f>
        <v>3539.3201317600542</v>
      </c>
      <c r="BB43" s="22">
        <f>Пицца!BB35+Снеки!BB35+'Мясная гастрономия'!BB35+Сыр!BB35+'Кондитерские изделия'!BB35</f>
        <v>3701.9832590071701</v>
      </c>
      <c r="BC43" s="22">
        <f>Пицца!BC35+Снеки!BC35+'Мясная гастрономия'!BC35+Сыр!BC35+'Кондитерские изделия'!BC35</f>
        <v>3711.3998938102086</v>
      </c>
      <c r="BD43" s="22">
        <f>Пицца!BD35+Снеки!BD35+'Мясная гастрономия'!BD35+Сыр!BD35+'Кондитерские изделия'!BD35</f>
        <v>3746.8065772388427</v>
      </c>
      <c r="BE43" s="22">
        <f>Пицца!BE35+Снеки!BE35+'Мясная гастрономия'!BE35+Сыр!BE35+'Кондитерские изделия'!BE35</f>
        <v>3783.9053734628965</v>
      </c>
      <c r="BF43" s="22">
        <f>Пицца!BF35+Снеки!BF35+'Мясная гастрономия'!BF35+Сыр!BF35+'Кондитерские изделия'!BF35</f>
        <v>3822.8338874095357</v>
      </c>
      <c r="BG43" s="22">
        <f>Пицца!BG35+Снеки!BG35+'Мясная гастрономия'!BG35+Сыр!BG35+'Кондитерские изделия'!BG35</f>
        <v>3850.2695187337163</v>
      </c>
      <c r="BH43" s="22">
        <f>Пицца!BH35+Снеки!BH35+'Мясная гастрономия'!BH35+Сыр!BH35+'Кондитерские изделия'!BH35</f>
        <v>3879.5348098317636</v>
      </c>
      <c r="BI43" s="22">
        <f>Пицца!BI35+Снеки!BI35+'Мясная гастрономия'!BI35+Сыр!BI35+'Кондитерские изделия'!BI35</f>
        <v>3910.8049247418794</v>
      </c>
      <c r="BJ43" s="22">
        <f>Пицца!BJ35+Снеки!BJ35+'Мясная гастрономия'!BJ35+Сыр!BJ35+'Кондитерские изделия'!BJ35</f>
        <v>3944.2724612796283</v>
      </c>
      <c r="BK43" s="22">
        <f>Пицца!BK35+Снеки!BK35+'Мясная гастрономия'!BK35+Сыр!BK35+'Кондитерские изделия'!BK35</f>
        <v>3993.9896972393994</v>
      </c>
      <c r="BL43" s="22">
        <f>Пицца!BL35+Снеки!BL35+'Мясная гастрономия'!BL35+Сыр!BL35+'Кондитерские изделия'!BL35</f>
        <v>4046.6744400950347</v>
      </c>
      <c r="BM43" s="22">
        <f>Пицца!BM35+Снеки!BM35+'Мясная гастрономия'!BM35+Сыр!BM35+'Кондитерские изделия'!BM35</f>
        <v>4102.5890790546664</v>
      </c>
      <c r="BN43" s="22">
        <f>Пицца!BN35+Снеки!BN35+'Мясная гастрономия'!BN35+Сыр!BN35+'Кондитерские изделия'!BN35</f>
        <v>4271.85457273053</v>
      </c>
      <c r="BO43" s="22">
        <f>Пицца!BO35+Снеки!BO35+'Мясная гастрономия'!BO35+Сыр!BO35+'Кондитерские изделия'!BO35</f>
        <v>4282.8869395702195</v>
      </c>
      <c r="BP43" s="22">
        <f>Пицца!BP35+Снеки!BP35+'Мясная гастрономия'!BP35+Сыр!BP35+'Кондитерские изделия'!BP35</f>
        <v>4324.7313418874928</v>
      </c>
      <c r="BQ43" s="22">
        <f>Пицца!BQ35+Снеки!BQ35+'Мясная гастрономия'!BQ35+Сыр!BQ35+'Кондитерские изделия'!BQ35</f>
        <v>4368.6189779631441</v>
      </c>
      <c r="BR43" s="22">
        <f>Пицца!BR35+Снеки!BR35+'Мясная гастрономия'!BR35+Сыр!BR35+'Кондитерские изделия'!BR35</f>
        <v>4414.7173912989338</v>
      </c>
      <c r="BS43" s="22">
        <f>Пицца!BS35+Снеки!BS35+'Мясная гастрономия'!BS35+Сыр!BS35+'Кондитерские изделия'!BS35</f>
        <v>4447.7088069501533</v>
      </c>
      <c r="BT43" s="22">
        <f>Пицца!BT35+Снеки!BT35+'Мясная гастрономия'!BT35+Сыр!BT35+'Кондитерские изделия'!BT35</f>
        <v>4482.9301143821467</v>
      </c>
      <c r="BU43" s="22">
        <f>Пицца!BU35+Снеки!BU35+'Мясная гастрономия'!BU35+Сыр!BU35+'Кондитерские изделия'!BU35</f>
        <v>4520.595010136748</v>
      </c>
      <c r="BV43" s="22">
        <f>Пицца!BV35+Снеки!BV35+'Мясная гастрономия'!BV35+Сыр!BV35+'Кондитерские изделия'!BV35</f>
        <v>4560.9384601612537</v>
      </c>
      <c r="BW43" s="22">
        <f>Пицца!BW35+Снеки!BW35+'Мясная гастрономия'!BW35+Сыр!BW35+'Кондитерские изделия'!BW35</f>
        <v>4620.1468918030223</v>
      </c>
      <c r="BX43" s="22">
        <f>Пицца!BX35+Снеки!BX35+'Мясная гастрономия'!BX35+Сыр!BX35+'Кондитерские изделия'!BX35</f>
        <v>4682.9530343425013</v>
      </c>
      <c r="BY43" s="22">
        <f>Пицца!BY35+Снеки!BY35+'Мясная гастрономия'!BY35+Сыр!BY35+'Кондитерские изделия'!BY35</f>
        <v>4749.6766439294533</v>
      </c>
      <c r="BZ43" s="22">
        <f>Пицца!BZ35+Снеки!BZ35+'Мясная гастрономия'!BZ35+Сыр!BZ35+'Кондитерские изделия'!BZ35</f>
        <v>4677.7244428815275</v>
      </c>
      <c r="CA43" s="22">
        <f>Пицца!CA35+Снеки!CA35+'Мясная гастрономия'!CA35+Сыр!CA35+'Кондитерские изделия'!CA35</f>
        <v>4707.8113695009442</v>
      </c>
      <c r="CB43" s="22">
        <f>Пицца!CB35+Снеки!CB35+'Мясная гастрономия'!CB35+Сыр!CB35+'Кондитерские изделия'!CB35</f>
        <v>4757.9007071767082</v>
      </c>
      <c r="CC43" s="22">
        <f>Пицца!CC35+Снеки!CC35+'Мясная гастрономия'!CC35+Сыр!CC35+'Кондитерские изделия'!CC35</f>
        <v>4810.4686084544282</v>
      </c>
      <c r="CD43" s="22">
        <f>Пицца!CD35+Снеки!CD35+'Мясная гастрономия'!CD35+Сыр!CD35+'Кондитерские изделия'!CD35</f>
        <v>4865.7192683007852</v>
      </c>
      <c r="CE43" s="22">
        <f>Пицца!CE35+Снеки!CE35+'Мясная гастрономия'!CE35+Сыр!CE35+'Кондитерские изделия'!CE35</f>
        <v>4923.8765321414066</v>
      </c>
      <c r="CF43" s="22">
        <f>Пицца!CF35+Снеки!CF35+'Мясная гастрономия'!CF35+Сыр!CF35+'Кондитерские изделия'!CF35</f>
        <v>4985.1858470888537</v>
      </c>
      <c r="CG43" s="22">
        <f>Пицца!CG35+Снеки!CG35+'Мясная гастрономия'!CG35+Сыр!CG35+'Кондитерские изделия'!CG35</f>
        <v>5049.9164080405044</v>
      </c>
      <c r="CH43" s="22">
        <f>Пицца!CH35+Снеки!CH35+'Мясная гастрономия'!CH35+Сыр!CH35+'Кондитерские изделия'!CH35</f>
        <v>5118.3635181285881</v>
      </c>
      <c r="CI43" s="22">
        <f>Пицца!CI35+Снеки!CI35+'Мясная гастрономия'!CI35+Сыр!CI35+'Кондитерские изделия'!CI35</f>
        <v>5190.8511849528213</v>
      </c>
      <c r="CJ43" s="22">
        <f>Пицца!CJ35+Снеки!CJ35+'Мясная гастрономия'!CJ35+Сыр!CJ35+'Кондитерские изделия'!CJ35</f>
        <v>5267.7349761689893</v>
      </c>
      <c r="CK43" s="22">
        <f>Пицца!CK35+Снеки!CK35+'Мясная гастрономия'!CK35+Сыр!CK35+'Кондитерские изделия'!CK35</f>
        <v>5349.4051603641165</v>
      </c>
      <c r="CN43" s="10"/>
      <c r="CO43" s="10">
        <f t="shared" ref="CO43" si="185">SUMIF($F$2:$CK$2,CO$3,$F43:$CK43)</f>
        <v>378.95</v>
      </c>
      <c r="CP43" s="10">
        <f t="shared" si="181"/>
        <v>9089.8494600000013</v>
      </c>
      <c r="CQ43" s="10">
        <f t="shared" si="181"/>
        <v>23803.595188060088</v>
      </c>
      <c r="CR43" s="10">
        <f t="shared" si="181"/>
        <v>40097.611528994734</v>
      </c>
      <c r="CS43" s="10">
        <f t="shared" si="181"/>
        <v>46495.063921904737</v>
      </c>
      <c r="CT43" s="10">
        <f t="shared" si="182"/>
        <v>53727.758185155595</v>
      </c>
      <c r="CU43" s="10">
        <f t="shared" si="182"/>
        <v>59704.958023199666</v>
      </c>
      <c r="CV43" s="183">
        <f t="shared" ref="CV43:CV47" si="186">SUM(CO43:CU43)</f>
        <v>233297.78630731482</v>
      </c>
      <c r="CW43" s="210">
        <f t="shared" si="183"/>
        <v>6.9593282970556523E-4</v>
      </c>
      <c r="CX43" s="210">
        <f t="shared" si="183"/>
        <v>1.5142829973519095E-2</v>
      </c>
      <c r="CY43" s="210">
        <f t="shared" si="183"/>
        <v>2.9186459653441396E-2</v>
      </c>
      <c r="CZ43" s="210">
        <f t="shared" si="183"/>
        <v>2.3429343093852771E-2</v>
      </c>
      <c r="DA43" s="210">
        <f t="shared" si="183"/>
        <v>2.3329110302427306E-2</v>
      </c>
      <c r="DB43" s="210">
        <f t="shared" si="184"/>
        <v>2.3148461302970935E-2</v>
      </c>
      <c r="DC43" s="210">
        <f t="shared" si="184"/>
        <v>2.2483469186135679E-2</v>
      </c>
    </row>
    <row r="44" spans="1:107" x14ac:dyDescent="0.2">
      <c r="B44" s="141" t="s">
        <v>5</v>
      </c>
      <c r="C44" s="142" t="s">
        <v>4</v>
      </c>
      <c r="D44" s="13"/>
      <c r="E44" s="13"/>
      <c r="F44" s="21">
        <f t="shared" ref="F44:AK44" si="187">SUM(F45:F46)</f>
        <v>11594.235000000001</v>
      </c>
      <c r="G44" s="21">
        <f t="shared" si="187"/>
        <v>15258.594000000001</v>
      </c>
      <c r="H44" s="21">
        <f t="shared" si="187"/>
        <v>15694</v>
      </c>
      <c r="I44" s="21">
        <f t="shared" si="187"/>
        <v>19690.662000000004</v>
      </c>
      <c r="J44" s="21">
        <f t="shared" si="187"/>
        <v>19785</v>
      </c>
      <c r="K44" s="21">
        <f t="shared" si="187"/>
        <v>20534.207999999995</v>
      </c>
      <c r="L44" s="21">
        <f t="shared" si="187"/>
        <v>22303.179</v>
      </c>
      <c r="M44" s="21">
        <f t="shared" si="187"/>
        <v>21593</v>
      </c>
      <c r="N44" s="21">
        <f t="shared" si="187"/>
        <v>19798.034999999996</v>
      </c>
      <c r="O44" s="21">
        <f t="shared" si="187"/>
        <v>17673.583999999999</v>
      </c>
      <c r="P44" s="21">
        <f t="shared" si="187"/>
        <v>18512.012999999999</v>
      </c>
      <c r="Q44" s="21">
        <f t="shared" si="187"/>
        <v>22055.674999999999</v>
      </c>
      <c r="R44" s="21">
        <f t="shared" si="187"/>
        <v>13508.707449999998</v>
      </c>
      <c r="S44" s="21">
        <f t="shared" si="187"/>
        <v>13092.638859999999</v>
      </c>
      <c r="T44" s="21">
        <f t="shared" si="187"/>
        <v>28857.00288</v>
      </c>
      <c r="U44" s="21">
        <f t="shared" si="187"/>
        <v>17016.16217</v>
      </c>
      <c r="V44" s="21">
        <f t="shared" si="187"/>
        <v>17614.636640000004</v>
      </c>
      <c r="W44" s="21">
        <f t="shared" si="187"/>
        <v>20216.15638</v>
      </c>
      <c r="X44" s="21">
        <f t="shared" si="187"/>
        <v>33225.134389999999</v>
      </c>
      <c r="Y44" s="21">
        <f t="shared" si="187"/>
        <v>32945.762190000009</v>
      </c>
      <c r="Z44" s="21">
        <f t="shared" si="187"/>
        <v>31208.567070000001</v>
      </c>
      <c r="AA44" s="21">
        <f t="shared" si="187"/>
        <v>29476.8315</v>
      </c>
      <c r="AB44" s="21">
        <f t="shared" si="187"/>
        <v>26648.458069999997</v>
      </c>
      <c r="AC44" s="21">
        <f t="shared" si="187"/>
        <v>25663.386090000004</v>
      </c>
      <c r="AD44" s="21">
        <f t="shared" si="187"/>
        <v>7866.67</v>
      </c>
      <c r="AE44" s="21">
        <f t="shared" si="187"/>
        <v>12281.736999999999</v>
      </c>
      <c r="AF44" s="21">
        <f t="shared" si="187"/>
        <v>14797.612999999999</v>
      </c>
      <c r="AG44" s="21">
        <f t="shared" si="187"/>
        <v>18144.777740000001</v>
      </c>
      <c r="AH44" s="21">
        <f t="shared" si="187"/>
        <v>19323.175306099998</v>
      </c>
      <c r="AI44" s="21">
        <f t="shared" si="187"/>
        <v>19927.1888481305</v>
      </c>
      <c r="AJ44" s="21">
        <f t="shared" si="187"/>
        <v>23456.492841146155</v>
      </c>
      <c r="AK44" s="21">
        <f t="shared" si="187"/>
        <v>25920.355256565632</v>
      </c>
      <c r="AL44" s="21">
        <f t="shared" ref="AL44:BQ44" si="188">SUM(AL45:AL46)</f>
        <v>25054.547081192897</v>
      </c>
      <c r="AM44" s="21">
        <f t="shared" si="188"/>
        <v>24336.451200402535</v>
      </c>
      <c r="AN44" s="21">
        <f t="shared" si="188"/>
        <v>24961.280338659948</v>
      </c>
      <c r="AO44" s="21">
        <f t="shared" si="188"/>
        <v>28205.003509782575</v>
      </c>
      <c r="AP44" s="21">
        <f t="shared" si="188"/>
        <v>24287.975480811958</v>
      </c>
      <c r="AQ44" s="21">
        <f t="shared" si="188"/>
        <v>25339.90018071606</v>
      </c>
      <c r="AR44" s="21">
        <f t="shared" si="188"/>
        <v>28104.933643424978</v>
      </c>
      <c r="AS44" s="21">
        <f t="shared" si="188"/>
        <v>29045.445459348568</v>
      </c>
      <c r="AT44" s="21">
        <f t="shared" si="188"/>
        <v>30201.188888907098</v>
      </c>
      <c r="AU44" s="21">
        <f t="shared" si="188"/>
        <v>30794.106444489695</v>
      </c>
      <c r="AV44" s="21">
        <f t="shared" si="188"/>
        <v>31398.984081409893</v>
      </c>
      <c r="AW44" s="21">
        <f t="shared" si="188"/>
        <v>30518.882588433378</v>
      </c>
      <c r="AX44" s="21">
        <f t="shared" si="188"/>
        <v>29665.593160944216</v>
      </c>
      <c r="AY44" s="21">
        <f t="shared" si="188"/>
        <v>28842.652002032115</v>
      </c>
      <c r="AZ44" s="21">
        <f t="shared" si="188"/>
        <v>27502.923841483163</v>
      </c>
      <c r="BA44" s="21">
        <f t="shared" si="188"/>
        <v>36222.383687023066</v>
      </c>
      <c r="BB44" s="21">
        <f t="shared" si="188"/>
        <v>28528.847569887879</v>
      </c>
      <c r="BC44" s="21">
        <f t="shared" si="188"/>
        <v>29649.046520468437</v>
      </c>
      <c r="BD44" s="21">
        <f t="shared" si="188"/>
        <v>32882.537626948033</v>
      </c>
      <c r="BE44" s="21">
        <f t="shared" si="188"/>
        <v>33988.934445955165</v>
      </c>
      <c r="BF44" s="21">
        <f t="shared" si="188"/>
        <v>35337.62103169581</v>
      </c>
      <c r="BG44" s="21">
        <f t="shared" si="188"/>
        <v>36029.484386916607</v>
      </c>
      <c r="BH44" s="21">
        <f t="shared" si="188"/>
        <v>36735.296423966945</v>
      </c>
      <c r="BI44" s="21">
        <f t="shared" si="188"/>
        <v>35709.176921858925</v>
      </c>
      <c r="BJ44" s="21">
        <f t="shared" si="188"/>
        <v>34714.327932651242</v>
      </c>
      <c r="BK44" s="21">
        <f t="shared" si="188"/>
        <v>33755.284777706816</v>
      </c>
      <c r="BL44" s="21">
        <f t="shared" si="188"/>
        <v>34295.947474280671</v>
      </c>
      <c r="BM44" s="21">
        <f t="shared" si="188"/>
        <v>42373.802098661879</v>
      </c>
      <c r="BN44" s="21">
        <f t="shared" si="188"/>
        <v>33352.520153077574</v>
      </c>
      <c r="BO44" s="21">
        <f t="shared" si="188"/>
        <v>34659.152735409851</v>
      </c>
      <c r="BP44" s="21">
        <f t="shared" si="188"/>
        <v>38437.368087949355</v>
      </c>
      <c r="BQ44" s="21">
        <f t="shared" si="188"/>
        <v>39735.432836874708</v>
      </c>
      <c r="BR44" s="21">
        <f t="shared" ref="BR44:BX44" si="189">SUM(BR45:BR46)</f>
        <v>41309.076612998892</v>
      </c>
      <c r="BS44" s="21">
        <f t="shared" si="189"/>
        <v>42116.562272392628</v>
      </c>
      <c r="BT44" s="21">
        <f t="shared" si="189"/>
        <v>42940.320253133563</v>
      </c>
      <c r="BU44" s="21">
        <f t="shared" si="189"/>
        <v>41744.130489473362</v>
      </c>
      <c r="BV44" s="21">
        <f t="shared" si="189"/>
        <v>40584.415571152203</v>
      </c>
      <c r="BW44" s="21">
        <f t="shared" si="189"/>
        <v>42047.699379948899</v>
      </c>
      <c r="BX44" s="21">
        <f t="shared" si="189"/>
        <v>40097.864828850164</v>
      </c>
      <c r="BY44" s="21">
        <f t="shared" ref="BY44:CK44" si="190">SUM(BY45:BY46)</f>
        <v>49527.80773237384</v>
      </c>
      <c r="BZ44" s="21">
        <f t="shared" si="190"/>
        <v>39002.671610455298</v>
      </c>
      <c r="CA44" s="21">
        <f t="shared" si="190"/>
        <v>40533.856445333447</v>
      </c>
      <c r="CB44" s="21">
        <f t="shared" si="190"/>
        <v>44949.192917862783</v>
      </c>
      <c r="CC44" s="21">
        <f t="shared" si="190"/>
        <v>46472.763971383625</v>
      </c>
      <c r="CD44" s="21">
        <f t="shared" si="190"/>
        <v>48309.203928373579</v>
      </c>
      <c r="CE44" s="21">
        <f t="shared" si="190"/>
        <v>49259.385575032917</v>
      </c>
      <c r="CF44" s="21">
        <f t="shared" si="190"/>
        <v>50228.771599161359</v>
      </c>
      <c r="CG44" s="21">
        <f t="shared" si="190"/>
        <v>48842.523614291138</v>
      </c>
      <c r="CH44" s="21">
        <f t="shared" si="190"/>
        <v>50602.512554949724</v>
      </c>
      <c r="CI44" s="21">
        <f t="shared" si="190"/>
        <v>49207.448638098853</v>
      </c>
      <c r="CJ44" s="21">
        <f t="shared" si="190"/>
        <v>46935.152424854445</v>
      </c>
      <c r="CK44" s="21">
        <f t="shared" si="190"/>
        <v>57944.910321083247</v>
      </c>
      <c r="CN44" s="14"/>
      <c r="CO44" s="21">
        <f>SUMIF($F$2:$CK$2,CO$3,$F44:$CK44)</f>
        <v>224492.18500000003</v>
      </c>
      <c r="CP44" s="21">
        <f t="shared" si="181"/>
        <v>289473.44368999999</v>
      </c>
      <c r="CQ44" s="21">
        <f t="shared" si="181"/>
        <v>244275.29212198025</v>
      </c>
      <c r="CR44" s="21">
        <f t="shared" si="181"/>
        <v>351924.96945902426</v>
      </c>
      <c r="CS44" s="21">
        <f t="shared" si="181"/>
        <v>414000.30721099844</v>
      </c>
      <c r="CT44" s="21">
        <f t="shared" si="182"/>
        <v>486552.35095363494</v>
      </c>
      <c r="CU44" s="21">
        <f t="shared" si="182"/>
        <v>572288.39360088052</v>
      </c>
      <c r="CV44" s="183">
        <f>SUM(CO44:CU44)</f>
        <v>2583006.9420365184</v>
      </c>
      <c r="CW44" s="369">
        <f t="shared" si="183"/>
        <v>0.41227465774860872</v>
      </c>
      <c r="CX44" s="369">
        <f t="shared" si="183"/>
        <v>0.48223539442937302</v>
      </c>
      <c r="CY44" s="369">
        <f t="shared" si="183"/>
        <v>0.29951488006429255</v>
      </c>
      <c r="CZ44" s="369">
        <f t="shared" si="183"/>
        <v>0.20563246882640077</v>
      </c>
      <c r="DA44" s="369">
        <f t="shared" si="183"/>
        <v>0.20772654164723015</v>
      </c>
      <c r="DB44" s="369">
        <f t="shared" si="184"/>
        <v>0.20962978259963175</v>
      </c>
      <c r="DC44" s="369">
        <f t="shared" si="184"/>
        <v>0.21551021705950651</v>
      </c>
    </row>
    <row r="45" spans="1:107" outlineLevel="1" x14ac:dyDescent="0.2">
      <c r="B45" s="95" t="s">
        <v>90</v>
      </c>
      <c r="C45" s="97" t="s">
        <v>4</v>
      </c>
      <c r="D45" s="9"/>
      <c r="E45" s="9"/>
      <c r="F45" s="22">
        <f>Мясо!F42+Мясо!F44</f>
        <v>11594.235000000001</v>
      </c>
      <c r="G45" s="22">
        <f>Мясо!G42+Мясо!G44</f>
        <v>15258.594000000001</v>
      </c>
      <c r="H45" s="22">
        <f>Мясо!H42+Мясо!H44</f>
        <v>15694</v>
      </c>
      <c r="I45" s="22">
        <f>Мясо!I42+Мясо!I44</f>
        <v>19690.662000000004</v>
      </c>
      <c r="J45" s="22">
        <f>Мясо!J42</f>
        <v>19785</v>
      </c>
      <c r="K45" s="22">
        <f>Мясо!K42</f>
        <v>20534.207999999995</v>
      </c>
      <c r="L45" s="22">
        <f>Мясо!L42</f>
        <v>22303.179</v>
      </c>
      <c r="M45" s="22">
        <f>Мясо!M42</f>
        <v>21593</v>
      </c>
      <c r="N45" s="22">
        <f>Мясо!N42</f>
        <v>19798.034999999996</v>
      </c>
      <c r="O45" s="22">
        <f>Мясо!O42</f>
        <v>17673.583999999999</v>
      </c>
      <c r="P45" s="22">
        <f>Мясо!P42</f>
        <v>18512.012999999999</v>
      </c>
      <c r="Q45" s="22">
        <f>Мясо!Q42</f>
        <v>22055.674999999999</v>
      </c>
      <c r="R45" s="22">
        <f>Мясо!R42</f>
        <v>13508.707449999998</v>
      </c>
      <c r="S45" s="22">
        <f>Мясо!S42</f>
        <v>13092.638859999999</v>
      </c>
      <c r="T45" s="22">
        <f>Мясо!T42</f>
        <v>28857.00288</v>
      </c>
      <c r="U45" s="22">
        <f>Мясо!U42</f>
        <v>17015.282169999999</v>
      </c>
      <c r="V45" s="22">
        <f>Мясо!V42</f>
        <v>17613.756640000003</v>
      </c>
      <c r="W45" s="22">
        <f>Мясо!W42</f>
        <v>20130.756379999999</v>
      </c>
      <c r="X45" s="22">
        <f>Мясо!X42</f>
        <v>33168.609389999998</v>
      </c>
      <c r="Y45" s="22">
        <f>Мясо!Y42</f>
        <v>32908.030190000005</v>
      </c>
      <c r="Z45" s="22">
        <f>Мясо!Z42</f>
        <v>31151.50707</v>
      </c>
      <c r="AA45" s="22">
        <f>Мясо!AA42</f>
        <v>29412.040499999999</v>
      </c>
      <c r="AB45" s="22">
        <f>Мясо!AB42</f>
        <v>26621.145069999999</v>
      </c>
      <c r="AC45" s="22">
        <f>Мясо!AC42</f>
        <v>25606.138090000004</v>
      </c>
      <c r="AD45" s="22">
        <f>Мясо!AD42</f>
        <v>7850.07</v>
      </c>
      <c r="AE45" s="22">
        <f>Мясо!AE42</f>
        <v>12248.197999999999</v>
      </c>
      <c r="AF45" s="22">
        <f>Мясо!AF42</f>
        <v>14753.496999999999</v>
      </c>
      <c r="AG45" s="22">
        <f>Мясо!AG42</f>
        <v>18100</v>
      </c>
      <c r="AH45" s="22">
        <f>Мясо!AH42</f>
        <v>19099.999999999996</v>
      </c>
      <c r="AI45" s="22">
        <f>Мясо!AI42</f>
        <v>19700</v>
      </c>
      <c r="AJ45" s="22">
        <f>Мясо!AJ42</f>
        <v>23000.000000000004</v>
      </c>
      <c r="AK45" s="22">
        <f>Мясо!AK42</f>
        <v>25000</v>
      </c>
      <c r="AL45" s="22">
        <f>Мясо!AL42</f>
        <v>24000</v>
      </c>
      <c r="AM45" s="22">
        <f>Мясо!AM42</f>
        <v>23240</v>
      </c>
      <c r="AN45" s="22">
        <f>Мясо!AN42</f>
        <v>23820</v>
      </c>
      <c r="AO45" s="22">
        <f>Мясо!AO42</f>
        <v>27000</v>
      </c>
      <c r="AP45" s="22">
        <f>Мясо!AP42</f>
        <v>22950</v>
      </c>
      <c r="AQ45" s="22">
        <f>Мясо!AQ42</f>
        <v>23906.25</v>
      </c>
      <c r="AR45" s="22">
        <f>Мясо!AR42</f>
        <v>26562.5</v>
      </c>
      <c r="AS45" s="22">
        <f>Мясо!AS42</f>
        <v>27384.0206185567</v>
      </c>
      <c r="AT45" s="22">
        <f>Мясо!AT42</f>
        <v>28525.021477663231</v>
      </c>
      <c r="AU45" s="22">
        <f>Мясо!AU42</f>
        <v>29107.164773125747</v>
      </c>
      <c r="AV45" s="22">
        <f>Мясо!AV42</f>
        <v>29701.188544005861</v>
      </c>
      <c r="AW45" s="22">
        <f>Мясо!AW42</f>
        <v>28810.15288768569</v>
      </c>
      <c r="AX45" s="22">
        <f>Мясо!AX42</f>
        <v>27945.848301055114</v>
      </c>
      <c r="AY45" s="22">
        <f>Мясо!AY42</f>
        <v>27107.47285202346</v>
      </c>
      <c r="AZ45" s="22">
        <f>Мясо!AZ42</f>
        <v>25752.099209422286</v>
      </c>
      <c r="BA45" s="22">
        <f>Мясо!BA42</f>
        <v>34336.132279229707</v>
      </c>
      <c r="BB45" s="22">
        <f>Мясо!BB42</f>
        <v>26766.584999999995</v>
      </c>
      <c r="BC45" s="22">
        <f>Мясо!BC42</f>
        <v>27881.859374999993</v>
      </c>
      <c r="BD45" s="22">
        <f>Мясо!BD42</f>
        <v>30979.843749999996</v>
      </c>
      <c r="BE45" s="22">
        <f>Мясо!BE42</f>
        <v>31937.983247422671</v>
      </c>
      <c r="BF45" s="22">
        <f>Мясо!BF42</f>
        <v>33268.732549398621</v>
      </c>
      <c r="BG45" s="22">
        <f>Мясо!BG42</f>
        <v>33947.686274896558</v>
      </c>
      <c r="BH45" s="22">
        <f>Мясо!BH42</f>
        <v>34640.496198874032</v>
      </c>
      <c r="BI45" s="22">
        <f>Мясо!BI42</f>
        <v>33601.281312907813</v>
      </c>
      <c r="BJ45" s="22">
        <f>Мясо!BJ42</f>
        <v>32593.242873520576</v>
      </c>
      <c r="BK45" s="22">
        <f>Мясо!BK42</f>
        <v>31615.445587314956</v>
      </c>
      <c r="BL45" s="22">
        <f>Мясо!BL42</f>
        <v>32137.100439505644</v>
      </c>
      <c r="BM45" s="22">
        <f>Мясо!BM42</f>
        <v>40046.231077265606</v>
      </c>
      <c r="BN45" s="22">
        <f>Мясо!BN42</f>
        <v>31217.868085499995</v>
      </c>
      <c r="BO45" s="22">
        <f>Мясо!BO42</f>
        <v>32518.61258906249</v>
      </c>
      <c r="BP45" s="22">
        <f>Мясо!BP42</f>
        <v>36131.791765624992</v>
      </c>
      <c r="BQ45" s="22">
        <f>Мясо!BQ42</f>
        <v>37249.26986146906</v>
      </c>
      <c r="BR45" s="22">
        <f>Мясо!BR42</f>
        <v>38801.322772363608</v>
      </c>
      <c r="BS45" s="22">
        <f>Мясо!BS42</f>
        <v>39593.186502411845</v>
      </c>
      <c r="BT45" s="22">
        <f>Мясо!BT42</f>
        <v>40401.210716746777</v>
      </c>
      <c r="BU45" s="22">
        <f>Мясо!BU42</f>
        <v>39189.174395244379</v>
      </c>
      <c r="BV45" s="22">
        <f>Мясо!BV42</f>
        <v>38013.499163387045</v>
      </c>
      <c r="BW45" s="22">
        <f>Мясо!BW42</f>
        <v>39454.210781679409</v>
      </c>
      <c r="BX45" s="22">
        <f>Мясо!BX42</f>
        <v>37481.500242595437</v>
      </c>
      <c r="BY45" s="22">
        <f>Мясо!BY42</f>
        <v>46705.919305414878</v>
      </c>
      <c r="BZ45" s="22">
        <f>Мясо!BZ42</f>
        <v>36409.399548118643</v>
      </c>
      <c r="CA45" s="22">
        <f>Мясо!CA42</f>
        <v>37926.457862623582</v>
      </c>
      <c r="CB45" s="22">
        <f>Мясо!CB42</f>
        <v>42140.508736248426</v>
      </c>
      <c r="CC45" s="22">
        <f>Мясо!CC42</f>
        <v>43443.823439431362</v>
      </c>
      <c r="CD45" s="22">
        <f>Мясо!CD42</f>
        <v>45253.982749407682</v>
      </c>
      <c r="CE45" s="22">
        <f>Мясо!CE42</f>
        <v>46177.533417762934</v>
      </c>
      <c r="CF45" s="22">
        <f>Мясо!CF42</f>
        <v>47119.932058941769</v>
      </c>
      <c r="CG45" s="22">
        <f>Мясо!CG42</f>
        <v>45706.334097173516</v>
      </c>
      <c r="CH45" s="22">
        <f>Мясо!CH42</f>
        <v>47438.604159456379</v>
      </c>
      <c r="CI45" s="22">
        <f>Мясо!CI42</f>
        <v>46015.446034672692</v>
      </c>
      <c r="CJ45" s="22">
        <f>Мясо!CJ42</f>
        <v>43714.673732939053</v>
      </c>
      <c r="CK45" s="22">
        <f>Мясо!CK42</f>
        <v>54473.113685905366</v>
      </c>
      <c r="CN45" s="10"/>
      <c r="CO45" s="10">
        <f>SUMIF($F$2:$CK$2,CO$3,$F45:$CK45)</f>
        <v>224492.18500000003</v>
      </c>
      <c r="CP45" s="10">
        <f t="shared" si="181"/>
        <v>289085.61469000007</v>
      </c>
      <c r="CQ45" s="10">
        <f t="shared" si="181"/>
        <v>237811.76500000001</v>
      </c>
      <c r="CR45" s="10">
        <f t="shared" si="181"/>
        <v>332087.85094276781</v>
      </c>
      <c r="CS45" s="10">
        <f t="shared" si="181"/>
        <v>389416.48768610647</v>
      </c>
      <c r="CT45" s="10">
        <f t="shared" si="182"/>
        <v>456757.56618149998</v>
      </c>
      <c r="CU45" s="10">
        <f t="shared" si="182"/>
        <v>535819.8095226814</v>
      </c>
      <c r="CV45" s="183">
        <f t="shared" si="186"/>
        <v>2465471.2790230559</v>
      </c>
      <c r="CW45" s="210">
        <f t="shared" si="183"/>
        <v>0.41227465774860872</v>
      </c>
      <c r="CX45" s="210">
        <f t="shared" si="183"/>
        <v>0.48158930797528571</v>
      </c>
      <c r="CY45" s="210">
        <f t="shared" si="183"/>
        <v>0.29158971279127377</v>
      </c>
      <c r="CZ45" s="210">
        <f t="shared" si="183"/>
        <v>0.19404148776822192</v>
      </c>
      <c r="DA45" s="210">
        <f t="shared" si="183"/>
        <v>0.19539149811842721</v>
      </c>
      <c r="DB45" s="210">
        <f t="shared" si="184"/>
        <v>0.1967927790538804</v>
      </c>
      <c r="DC45" s="210">
        <f t="shared" si="184"/>
        <v>0.20177701443225432</v>
      </c>
    </row>
    <row r="46" spans="1:107" outlineLevel="1" x14ac:dyDescent="0.2">
      <c r="B46" s="95" t="s">
        <v>282</v>
      </c>
      <c r="C46" s="97" t="s">
        <v>4</v>
      </c>
      <c r="D46" s="9"/>
      <c r="E46" s="9"/>
      <c r="F46" s="22">
        <f>Пицца!F37+Снеки!F37+'Мясная гастрономия'!F37+Сыр!F37+'Кондитерские изделия'!F37</f>
        <v>0</v>
      </c>
      <c r="G46" s="22">
        <f>Пицца!G37+Снеки!G37+'Мясная гастрономия'!G37+Сыр!G37+'Кондитерские изделия'!G37</f>
        <v>0</v>
      </c>
      <c r="H46" s="22">
        <f>Пицца!H37+Снеки!H37+'Мясная гастрономия'!H37+Сыр!H37+'Кондитерские изделия'!H37</f>
        <v>0</v>
      </c>
      <c r="I46" s="22">
        <f>Пицца!I37+Снеки!I37+'Мясная гастрономия'!I37+Сыр!I37+'Кондитерские изделия'!I37</f>
        <v>0</v>
      </c>
      <c r="J46" s="22">
        <f>Пицца!J37+Снеки!J37+'Мясная гастрономия'!J37+Сыр!J37+'Кондитерские изделия'!J37</f>
        <v>0</v>
      </c>
      <c r="K46" s="22">
        <f>Пицца!K37+Снеки!K37+'Мясная гастрономия'!K37+Сыр!K37+'Кондитерские изделия'!K37</f>
        <v>0</v>
      </c>
      <c r="L46" s="22">
        <f>Пицца!L37+Снеки!L37+'Мясная гастрономия'!L37+Сыр!L37+'Кондитерские изделия'!L37</f>
        <v>0</v>
      </c>
      <c r="M46" s="22">
        <f>Пицца!M37+Снеки!M37+'Мясная гастрономия'!M37+Сыр!M37+'Кондитерские изделия'!M37</f>
        <v>0</v>
      </c>
      <c r="N46" s="22">
        <f>Пицца!N37+Снеки!N37+'Мясная гастрономия'!N37+Сыр!N37+'Кондитерские изделия'!N37</f>
        <v>0</v>
      </c>
      <c r="O46" s="22">
        <f>Пицца!O37+Снеки!O37+'Мясная гастрономия'!O37+Сыр!O37+'Кондитерские изделия'!O37</f>
        <v>0</v>
      </c>
      <c r="P46" s="22">
        <f>Пицца!P37+Снеки!P37+'Мясная гастрономия'!P37+Сыр!P37+'Кондитерские изделия'!P37</f>
        <v>0</v>
      </c>
      <c r="Q46" s="22">
        <f>Пицца!Q37+Снеки!Q37+'Мясная гастрономия'!Q37+Сыр!Q37+'Кондитерские изделия'!Q37</f>
        <v>0</v>
      </c>
      <c r="R46" s="22">
        <f>Пицца!R37+Снеки!R37+'Мясная гастрономия'!R37+Сыр!R37+'Кондитерские изделия'!R37</f>
        <v>0</v>
      </c>
      <c r="S46" s="22">
        <f>Пицца!S37+Снеки!S37+'Мясная гастрономия'!S37+Сыр!S37+'Кондитерские изделия'!S37</f>
        <v>0</v>
      </c>
      <c r="T46" s="22">
        <f>Пицца!T37+Снеки!T37+'Мясная гастрономия'!T37+Сыр!T37+'Кондитерские изделия'!T37</f>
        <v>0</v>
      </c>
      <c r="U46" s="22">
        <f>Пицца!U37+Снеки!U37+'Мясная гастрономия'!U37+Сыр!U37+'Кондитерские изделия'!U37</f>
        <v>0.88</v>
      </c>
      <c r="V46" s="22">
        <f>Пицца!V37+Снеки!V37+'Мясная гастрономия'!V37+Сыр!V37+'Кондитерские изделия'!V37</f>
        <v>0.88</v>
      </c>
      <c r="W46" s="22">
        <f>Пицца!W37+Снеки!W37+'Мясная гастрономия'!W37+Сыр!W37+'Кондитерские изделия'!W37</f>
        <v>85.4</v>
      </c>
      <c r="X46" s="22">
        <f>Пицца!X37+Снеки!X37+'Мясная гастрономия'!X37+Сыр!X37+'Кондитерские изделия'!X37</f>
        <v>56.524999999999999</v>
      </c>
      <c r="Y46" s="22">
        <f>Пицца!Y37+Снеки!Y37+'Мясная гастрономия'!Y37+Сыр!Y37+'Кондитерские изделия'!Y37</f>
        <v>37.731999999999999</v>
      </c>
      <c r="Z46" s="22">
        <f>Пицца!Z37+Снеки!Z37+'Мясная гастрономия'!Z37+Сыр!Z37+'Кондитерские изделия'!Z37</f>
        <v>57.06</v>
      </c>
      <c r="AA46" s="22">
        <f>Пицца!AA37+Снеки!AA37+'Мясная гастрономия'!AA37+Сыр!AA37+'Кондитерские изделия'!AA37</f>
        <v>64.790999999999997</v>
      </c>
      <c r="AB46" s="22">
        <f>Пицца!AB37+Снеки!AB37+'Мясная гастрономия'!AB37+Сыр!AB37+'Кондитерские изделия'!AB37</f>
        <v>27.313000000000002</v>
      </c>
      <c r="AC46" s="22">
        <f>Пицца!AC37+Снеки!AC37+'Мясная гастрономия'!AC37+Сыр!AC37+'Кондитерские изделия'!AC37</f>
        <v>57.247999999999998</v>
      </c>
      <c r="AD46" s="22">
        <f>Пицца!AD37+Снеки!AD37+'Мясная гастрономия'!AD37+Сыр!AD37+'Кондитерские изделия'!AD37</f>
        <v>16.600000000000001</v>
      </c>
      <c r="AE46" s="22">
        <f>Пицца!AE37+Снеки!AE37+'Мясная гастрономия'!AE37+Сыр!AE37+'Кондитерские изделия'!AE37</f>
        <v>33.539000000000001</v>
      </c>
      <c r="AF46" s="22">
        <f>Пицца!AF37+Снеки!AF37+'Мясная гастрономия'!AF37+Сыр!AF37+'Кондитерские изделия'!AF37</f>
        <v>44.116</v>
      </c>
      <c r="AG46" s="22">
        <f>Пицца!AG37+Снеки!AG37+'Мясная гастрономия'!AG37+Сыр!AG37+'Кондитерские изделия'!AG37</f>
        <v>44.777739999999994</v>
      </c>
      <c r="AH46" s="22">
        <f>Пицца!AH37+Снеки!AH37+'Мясная гастрономия'!AH37+Сыр!AH37+'Кондитерские изделия'!AH37</f>
        <v>223.17530609999997</v>
      </c>
      <c r="AI46" s="22">
        <f>Пицца!AI37+Снеки!AI37+'Мясная гастрономия'!AI37+Сыр!AI37+'Кондитерские изделия'!AI37</f>
        <v>227.18884813049999</v>
      </c>
      <c r="AJ46" s="22">
        <f>Пицца!AJ37+Снеки!AJ37+'Мясная гастрономия'!AJ37+Сыр!AJ37+'Кондитерские изделия'!AJ37</f>
        <v>456.4928411461525</v>
      </c>
      <c r="AK46" s="22">
        <f>Пицца!AK37+Снеки!AK37+'Мясная гастрономия'!AK37+Сыр!AK37+'Кондитерские изделия'!AK37</f>
        <v>920.35525656563323</v>
      </c>
      <c r="AL46" s="22">
        <f>Пицца!AL37+Снеки!AL37+'Мясная гастрономия'!AL37+Сыр!AL37+'Кондитерские изделия'!AL37</f>
        <v>1054.547081192899</v>
      </c>
      <c r="AM46" s="22">
        <f>Пицца!AM37+Снеки!AM37+'Мясная гастрономия'!AM37+Сыр!AM37+'Кондитерские изделия'!AM37</f>
        <v>1096.451200402533</v>
      </c>
      <c r="AN46" s="22">
        <f>Пицца!AN37+Снеки!AN37+'Мясная гастрономия'!AN37+Сыр!AN37+'Кондитерские изделия'!AN37</f>
        <v>1141.2803386599462</v>
      </c>
      <c r="AO46" s="22">
        <f>Пицца!AO37+Снеки!AO37+'Мясная гастрономия'!AO37+Сыр!AO37+'Кондитерские изделия'!AO37</f>
        <v>1205.0035097825767</v>
      </c>
      <c r="AP46" s="22">
        <f>Пицца!AP37+Снеки!AP37+'Мясная гастрономия'!AP37+Сыр!AP37+'Кондитерские изделия'!AP37</f>
        <v>1337.9754808119565</v>
      </c>
      <c r="AQ46" s="22">
        <f>Пицца!AQ37+Снеки!AQ37+'Мясная гастрономия'!AQ37+Сыр!AQ37+'Кондитерские изделия'!AQ37</f>
        <v>1433.6501807160612</v>
      </c>
      <c r="AR46" s="22">
        <f>Пицца!AR37+Снеки!AR37+'Мясная гастрономия'!AR37+Сыр!AR37+'Кондитерские изделия'!AR37</f>
        <v>1542.4336434249797</v>
      </c>
      <c r="AS46" s="22">
        <f>Пицца!AS37+Снеки!AS37+'Мясная гастрономия'!AS37+Сыр!AS37+'Кондитерские изделия'!AS37</f>
        <v>1661.4248407918676</v>
      </c>
      <c r="AT46" s="22">
        <f>Пицца!AT37+Снеки!AT37+'Мясная гастрономия'!AT37+Сыр!AT37+'Кондитерские изделия'!AT37</f>
        <v>1676.1674112438675</v>
      </c>
      <c r="AU46" s="22">
        <f>Пицца!AU37+Снеки!AU37+'Мясная гастрономия'!AU37+Сыр!AU37+'Кондитерские изделия'!AU37</f>
        <v>1686.9416713639487</v>
      </c>
      <c r="AV46" s="22">
        <f>Пицца!AV37+Снеки!AV37+'Мясная гастрономия'!AV37+Сыр!AV37+'Кондитерские изделия'!AV37</f>
        <v>1697.795537404033</v>
      </c>
      <c r="AW46" s="22">
        <f>Пицца!AW37+Снеки!AW37+'Мясная гастрономия'!AW37+Сыр!AW37+'Кондитерские изделия'!AW37</f>
        <v>1708.72970074769</v>
      </c>
      <c r="AX46" s="22">
        <f>Пицца!AX37+Снеки!AX37+'Мясная гастрономия'!AX37+Сыр!AX37+'Кондитерские изделия'!AX37</f>
        <v>1719.7448598891017</v>
      </c>
      <c r="AY46" s="22">
        <f>Пицца!AY37+Снеки!AY37+'Мясная гастрономия'!AY37+Сыр!AY37+'Кондитерские изделия'!AY37</f>
        <v>1735.1791500086561</v>
      </c>
      <c r="AZ46" s="22">
        <f>Пицца!AZ37+Снеки!AZ37+'Мясная гастрономия'!AZ37+Сыр!AZ37+'Кондитерские изделия'!AZ37</f>
        <v>1750.8246320608787</v>
      </c>
      <c r="BA46" s="22">
        <f>Пицца!BA37+Снеки!BA37+'Мясная гастрономия'!BA37+Сыр!BA37+'Кондитерские изделия'!BA37</f>
        <v>1886.2514077933624</v>
      </c>
      <c r="BB46" s="22">
        <f>Пицца!BB37+Снеки!BB37+'Мясная гастрономия'!BB37+Сыр!BB37+'Кондитерские изделия'!BB37</f>
        <v>1762.2625698878844</v>
      </c>
      <c r="BC46" s="22">
        <f>Пицца!BC37+Снеки!BC37+'Мясная гастрономия'!BC37+Сыр!BC37+'Кондитерские изделия'!BC37</f>
        <v>1767.1871454684438</v>
      </c>
      <c r="BD46" s="22">
        <f>Пицца!BD37+Снеки!BD37+'Мясная гастрономия'!BD37+Сыр!BD37+'Кондитерские изделия'!BD37</f>
        <v>1902.6938769480375</v>
      </c>
      <c r="BE46" s="22">
        <f>Пицца!BE37+Снеки!BE37+'Мясная гастрономия'!BE37+Сыр!BE37+'Кондитерские изделия'!BE37</f>
        <v>2050.9511985324921</v>
      </c>
      <c r="BF46" s="22">
        <f>Пицца!BF37+Снеки!BF37+'Мясная гастрономия'!BF37+Сыр!BF37+'Кондитерские изделия'!BF37</f>
        <v>2068.8884822971904</v>
      </c>
      <c r="BG46" s="22">
        <f>Пицца!BG37+Снеки!BG37+'Мясная гастрономия'!BG37+Сыр!BG37+'Кондитерские изделия'!BG37</f>
        <v>2081.7981120200488</v>
      </c>
      <c r="BH46" s="22">
        <f>Пицца!BH37+Снеки!BH37+'Мясная гастрономия'!BH37+Сыр!BH37+'Кондитерские изделия'!BH37</f>
        <v>2094.8002250929121</v>
      </c>
      <c r="BI46" s="22">
        <f>Пицца!BI37+Снеки!BI37+'Мясная гастрономия'!BI37+Сыр!BI37+'Кондитерские изделия'!BI37</f>
        <v>2107.8956089511103</v>
      </c>
      <c r="BJ46" s="22">
        <f>Пицца!BJ37+Снеки!BJ37+'Мясная гастрономия'!BJ37+Сыр!BJ37+'Кондитерские изделия'!BJ37</f>
        <v>2121.0850591306657</v>
      </c>
      <c r="BK46" s="22">
        <f>Пицца!BK37+Снеки!BK37+'Мясная гастрономия'!BK37+Сыр!BK37+'Кондитерские изделия'!BK37</f>
        <v>2139.8391903918623</v>
      </c>
      <c r="BL46" s="22">
        <f>Пицца!BL37+Снеки!BL37+'Мясная гастрономия'!BL37+Сыр!BL37+'Кондитерские изделия'!BL37</f>
        <v>2158.8470347750249</v>
      </c>
      <c r="BM46" s="22">
        <f>Пицца!BM37+Снеки!BM37+'Мясная гастрономия'!BM37+Сыр!BM37+'Кондитерские изделия'!BM37</f>
        <v>2327.5710213962757</v>
      </c>
      <c r="BN46" s="22">
        <f>Пицца!BN37+Снеки!BN37+'Мясная гастрономия'!BN37+Сыр!BN37+'Кондитерские изделия'!BN37</f>
        <v>2134.6520675775773</v>
      </c>
      <c r="BO46" s="22">
        <f>Пицца!BO37+Снеки!BO37+'Мясная гастрономия'!BO37+Сыр!BO37+'Кондитерские изделия'!BO37</f>
        <v>2140.540146347364</v>
      </c>
      <c r="BP46" s="22">
        <f>Пицца!BP37+Снеки!BP37+'Мясная гастрономия'!BP37+Сыр!BP37+'Кондитерские изделия'!BP37</f>
        <v>2305.5763223243644</v>
      </c>
      <c r="BQ46" s="22">
        <f>Пицца!BQ37+Снеки!BQ37+'Мясная гастрономия'!BQ37+Сыр!BQ37+'Кондитерские изделия'!BQ37</f>
        <v>2486.1629754056485</v>
      </c>
      <c r="BR46" s="22">
        <f>Пицца!BR37+Снеки!BR37+'Мясная гастрономия'!BR37+Сыр!BR37+'Кондитерские изделия'!BR37</f>
        <v>2507.7538406352846</v>
      </c>
      <c r="BS46" s="22">
        <f>Пицца!BS37+Снеки!BS37+'Мясная гастрономия'!BS37+Сыр!BS37+'Кондитерские изделия'!BS37</f>
        <v>2523.3757699807852</v>
      </c>
      <c r="BT46" s="22">
        <f>Пицца!BT37+Снеки!BT37+'Мясная гастрономия'!BT37+Сыр!BT37+'Кондитерские изделия'!BT37</f>
        <v>2539.109536386788</v>
      </c>
      <c r="BU46" s="22">
        <f>Пицца!BU37+Снеки!BU37+'Мясная гастрономия'!BU37+Сыр!BU37+'Кондитерские изделия'!BU37</f>
        <v>2554.9560942289809</v>
      </c>
      <c r="BV46" s="22">
        <f>Пицца!BV37+Снеки!BV37+'Мясная гастрономия'!BV37+Сыр!BV37+'Кондитерские изделия'!BV37</f>
        <v>2570.9164077651581</v>
      </c>
      <c r="BW46" s="22">
        <f>Пицца!BW37+Снеки!BW37+'Мясная гастрономия'!BW37+Сыр!BW37+'Кондитерские изделия'!BW37</f>
        <v>2593.4885982694886</v>
      </c>
      <c r="BX46" s="22">
        <f>Пицца!BX37+Снеки!BX37+'Мясная гастрономия'!BX37+Сыр!BX37+'Кондитерские изделия'!BX37</f>
        <v>2616.3645862547278</v>
      </c>
      <c r="BY46" s="22">
        <f>Пицца!BY37+Снеки!BY37+'Мясная гастрономия'!BY37+Сыр!BY37+'Кондитерские изделия'!BY37</f>
        <v>2821.8884269589598</v>
      </c>
      <c r="BZ46" s="22">
        <f>Пицца!BZ37+Снеки!BZ37+'Мясная гастрономия'!BZ37+Сыр!BZ37+'Кондитерские изделия'!BZ37</f>
        <v>2593.2720623366549</v>
      </c>
      <c r="CA46" s="22">
        <f>Пицца!CA37+Снеки!CA37+'Мясная гастрономия'!CA37+Сыр!CA37+'Кондитерские изделия'!CA37</f>
        <v>2607.3985827098672</v>
      </c>
      <c r="CB46" s="22">
        <f>Пицца!CB37+Снеки!CB37+'Мясная гастрономия'!CB37+Сыр!CB37+'Кондитерские изделия'!CB37</f>
        <v>2808.6841816143569</v>
      </c>
      <c r="CC46" s="22">
        <f>Пицца!CC37+Снеки!CC37+'Мясная гастрономия'!CC37+Сыр!CC37+'Кондитерские изделия'!CC37</f>
        <v>3028.9405319522625</v>
      </c>
      <c r="CD46" s="22">
        <f>Пицца!CD37+Снеки!CD37+'Мясная гастрономия'!CD37+Сыр!CD37+'Кондитерские изделия'!CD37</f>
        <v>3055.2211789658995</v>
      </c>
      <c r="CE46" s="22">
        <f>Пицца!CE37+Снеки!CE37+'Мясная гастрономия'!CE37+Сыр!CE37+'Кондитерские изделия'!CE37</f>
        <v>3081.852157269981</v>
      </c>
      <c r="CF46" s="22">
        <f>Пицца!CF37+Снеки!CF37+'Мясная гастрономия'!CF37+Сыр!CF37+'Кондитерские изделия'!CF37</f>
        <v>3108.8395402195897</v>
      </c>
      <c r="CG46" s="22">
        <f>Пицца!CG37+Снеки!CG37+'Мясная гастрономия'!CG37+Сыр!CG37+'Кондитерские изделия'!CG37</f>
        <v>3136.189517117622</v>
      </c>
      <c r="CH46" s="22">
        <f>Пицца!CH37+Снеки!CH37+'Мясная гастрономия'!CH37+Сыр!CH37+'Кондитерские изделия'!CH37</f>
        <v>3163.9083954933476</v>
      </c>
      <c r="CI46" s="22">
        <f>Пицца!CI37+Снеки!CI37+'Мясная гастрономия'!CI37+Сыр!CI37+'Кондитерские изделия'!CI37</f>
        <v>3192.00260342616</v>
      </c>
      <c r="CJ46" s="22">
        <f>Пицца!CJ37+Снеки!CJ37+'Мясная гастрономия'!CJ37+Сыр!CJ37+'Кондитерские изделия'!CJ37</f>
        <v>3220.4786919153894</v>
      </c>
      <c r="CK46" s="22">
        <f>Пицца!CK37+Снеки!CK37+'Мясная гастрономия'!CK37+Сыр!CK37+'Кондитерские изделия'!CK37</f>
        <v>3471.7966351778819</v>
      </c>
      <c r="CN46" s="10"/>
      <c r="CO46" s="10">
        <f t="shared" ref="CO46" si="191">SUMIF($F$2:$CK$2,CO$3,$F46:$CK46)</f>
        <v>0</v>
      </c>
      <c r="CP46" s="10">
        <f t="shared" si="181"/>
        <v>387.82900000000001</v>
      </c>
      <c r="CQ46" s="10">
        <f t="shared" si="181"/>
        <v>6463.5271219802407</v>
      </c>
      <c r="CR46" s="10">
        <f t="shared" si="181"/>
        <v>19837.118516256403</v>
      </c>
      <c r="CS46" s="10">
        <f t="shared" si="181"/>
        <v>24583.819524891951</v>
      </c>
      <c r="CT46" s="10">
        <f t="shared" si="182"/>
        <v>29794.784772135135</v>
      </c>
      <c r="CU46" s="10">
        <f t="shared" si="182"/>
        <v>36468.584078199012</v>
      </c>
      <c r="CV46" s="183">
        <f t="shared" si="186"/>
        <v>117535.66301346275</v>
      </c>
      <c r="CW46" s="210">
        <f t="shared" si="183"/>
        <v>0</v>
      </c>
      <c r="CX46" s="210">
        <f t="shared" si="183"/>
        <v>6.4608645408742958E-4</v>
      </c>
      <c r="CY46" s="210">
        <f t="shared" si="183"/>
        <v>7.9251672730187538E-3</v>
      </c>
      <c r="CZ46" s="210">
        <f t="shared" si="183"/>
        <v>1.1590981058178827E-2</v>
      </c>
      <c r="DA46" s="210">
        <f t="shared" si="183"/>
        <v>1.2335043528802946E-2</v>
      </c>
      <c r="DB46" s="210">
        <f t="shared" si="184"/>
        <v>1.2837003545751432E-2</v>
      </c>
      <c r="DC46" s="210">
        <f t="shared" si="184"/>
        <v>1.3733202627252163E-2</v>
      </c>
    </row>
    <row r="47" spans="1:107" x14ac:dyDescent="0.2">
      <c r="B47" s="96" t="s">
        <v>302</v>
      </c>
      <c r="C47" s="142" t="s">
        <v>4</v>
      </c>
      <c r="D47" s="13"/>
      <c r="E47" s="13"/>
      <c r="F47" s="21">
        <f>Мясо!F45</f>
        <v>0</v>
      </c>
      <c r="G47" s="21">
        <f>Мясо!G45</f>
        <v>0</v>
      </c>
      <c r="H47" s="21">
        <f>Мясо!H45</f>
        <v>0</v>
      </c>
      <c r="I47" s="21">
        <f>Мясо!I45</f>
        <v>0</v>
      </c>
      <c r="J47" s="21">
        <f>Мясо!J45</f>
        <v>0</v>
      </c>
      <c r="K47" s="21">
        <f>Мясо!K45</f>
        <v>0</v>
      </c>
      <c r="L47" s="21">
        <f>Мясо!L45</f>
        <v>0</v>
      </c>
      <c r="M47" s="21">
        <f>Мясо!M45</f>
        <v>0</v>
      </c>
      <c r="N47" s="21">
        <f>Мясо!N45</f>
        <v>0</v>
      </c>
      <c r="O47" s="21">
        <f>Мясо!O45</f>
        <v>0</v>
      </c>
      <c r="P47" s="21">
        <f>Мясо!P45</f>
        <v>0</v>
      </c>
      <c r="Q47" s="21">
        <f>Мясо!Q45</f>
        <v>0</v>
      </c>
      <c r="R47" s="21">
        <f>Мясо!R45</f>
        <v>0</v>
      </c>
      <c r="S47" s="21">
        <f>Мясо!S45</f>
        <v>0</v>
      </c>
      <c r="T47" s="21">
        <f>Мясо!T45</f>
        <v>0</v>
      </c>
      <c r="U47" s="21">
        <f>Мясо!U45</f>
        <v>0</v>
      </c>
      <c r="V47" s="21">
        <f>Мясо!V45</f>
        <v>0</v>
      </c>
      <c r="W47" s="21">
        <f>Мясо!W45</f>
        <v>0</v>
      </c>
      <c r="X47" s="21">
        <f>Мясо!X45</f>
        <v>0</v>
      </c>
      <c r="Y47" s="21">
        <f>Мясо!Y45</f>
        <v>0</v>
      </c>
      <c r="Z47" s="21">
        <f>Мясо!Z45</f>
        <v>0</v>
      </c>
      <c r="AA47" s="21">
        <f>Мясо!AA45</f>
        <v>0</v>
      </c>
      <c r="AB47" s="21">
        <f>Мясо!AB45</f>
        <v>0</v>
      </c>
      <c r="AC47" s="21">
        <f>Мясо!AC45</f>
        <v>0</v>
      </c>
      <c r="AD47" s="21">
        <f>Мясо!AD45</f>
        <v>0</v>
      </c>
      <c r="AE47" s="21">
        <f>Мясо!AE45</f>
        <v>0</v>
      </c>
      <c r="AF47" s="21">
        <f>Мясо!AF45</f>
        <v>0</v>
      </c>
      <c r="AG47" s="21">
        <f>Мясо!AG45</f>
        <v>0</v>
      </c>
      <c r="AH47" s="21">
        <f>Мясо!AH45</f>
        <v>0</v>
      </c>
      <c r="AI47" s="21">
        <f>Мясо!AI45</f>
        <v>0</v>
      </c>
      <c r="AJ47" s="21">
        <f>Мясо!AJ45</f>
        <v>0</v>
      </c>
      <c r="AK47" s="21">
        <f>Мясо!AK45</f>
        <v>15000</v>
      </c>
      <c r="AL47" s="21">
        <f>Мясо!AL45</f>
        <v>19000</v>
      </c>
      <c r="AM47" s="21">
        <f>Мясо!AM45</f>
        <v>21000</v>
      </c>
      <c r="AN47" s="21">
        <f>Мясо!AN45</f>
        <v>25000</v>
      </c>
      <c r="AO47" s="21">
        <f>Мясо!AO45</f>
        <v>29000</v>
      </c>
      <c r="AP47" s="21">
        <f>Мясо!AP45</f>
        <v>25882.5</v>
      </c>
      <c r="AQ47" s="21">
        <f>Мясо!AQ45</f>
        <v>38515.625000000007</v>
      </c>
      <c r="AR47" s="21">
        <f>Мясо!AR45</f>
        <v>53493.923611111109</v>
      </c>
      <c r="AS47" s="21">
        <f>Мясо!AS45</f>
        <v>61275.972063128422</v>
      </c>
      <c r="AT47" s="21">
        <f>Мясо!AT45</f>
        <v>63829.137565758778</v>
      </c>
      <c r="AU47" s="21">
        <f>Мясо!AU45</f>
        <v>65131.773026284471</v>
      </c>
      <c r="AV47" s="21">
        <f>Мясо!AV45</f>
        <v>66460.992883963743</v>
      </c>
      <c r="AW47" s="21">
        <f>Мясо!AW45</f>
        <v>61397.298188042696</v>
      </c>
      <c r="AX47" s="21">
        <f>Мясо!AX45</f>
        <v>59555.379242401417</v>
      </c>
      <c r="AY47" s="21">
        <f>Мясо!AY45</f>
        <v>57768.717865129365</v>
      </c>
      <c r="AZ47" s="21">
        <f>Мясо!AZ45</f>
        <v>54880.281971872893</v>
      </c>
      <c r="BA47" s="21">
        <f>Мясо!BA45</f>
        <v>73173.709295830529</v>
      </c>
      <c r="BB47" s="21">
        <f>Мясо!BB45</f>
        <v>29909.817000000006</v>
      </c>
      <c r="BC47" s="21">
        <f>Мясо!BC45</f>
        <v>44508.656250000015</v>
      </c>
      <c r="BD47" s="21">
        <f>Мясо!BD45</f>
        <v>61817.578125000007</v>
      </c>
      <c r="BE47" s="21">
        <f>Мясо!BE45</f>
        <v>70810.51331615122</v>
      </c>
      <c r="BF47" s="21">
        <f>Мясо!BF45</f>
        <v>73760.951370990864</v>
      </c>
      <c r="BG47" s="21">
        <f>Мясо!BG45</f>
        <v>75266.276909174339</v>
      </c>
      <c r="BH47" s="21">
        <f>Мясо!BH45</f>
        <v>76802.323376708518</v>
      </c>
      <c r="BI47" s="21">
        <f>Мясо!BI45</f>
        <v>70950.717786102163</v>
      </c>
      <c r="BJ47" s="21">
        <f>Мясо!BJ45</f>
        <v>68822.196252519076</v>
      </c>
      <c r="BK47" s="21">
        <f>Мясо!BK45</f>
        <v>66757.530364943508</v>
      </c>
      <c r="BL47" s="21">
        <f>Мясо!BL45</f>
        <v>63419.653846696325</v>
      </c>
      <c r="BM47" s="21">
        <f>Мясо!BM45</f>
        <v>84559.538462261771</v>
      </c>
      <c r="BN47" s="21">
        <f>Мясо!BN45</f>
        <v>34563.784525200004</v>
      </c>
      <c r="BO47" s="21">
        <f>Мясо!BO45</f>
        <v>51434.203162500024</v>
      </c>
      <c r="BP47" s="21">
        <f>Мясо!BP45</f>
        <v>71436.393281250013</v>
      </c>
      <c r="BQ47" s="21">
        <f>Мясо!BQ45</f>
        <v>81828.629188144347</v>
      </c>
      <c r="BR47" s="21">
        <f>Мясо!BR45</f>
        <v>85238.155404317047</v>
      </c>
      <c r="BS47" s="21">
        <f>Мясо!BS45</f>
        <v>86977.709596241883</v>
      </c>
      <c r="BT47" s="21">
        <f>Мясо!BT45</f>
        <v>88752.764894124368</v>
      </c>
      <c r="BU47" s="21">
        <f>Мясо!BU45</f>
        <v>81990.649473619647</v>
      </c>
      <c r="BV47" s="21">
        <f>Мясо!BV45</f>
        <v>79530.929989411059</v>
      </c>
      <c r="BW47" s="21">
        <f>Мясо!BW45</f>
        <v>77145.002089728732</v>
      </c>
      <c r="BX47" s="21">
        <f>Мясо!BX45</f>
        <v>73287.75198524227</v>
      </c>
      <c r="BY47" s="21">
        <f>Мясо!BY45</f>
        <v>97717.002646989698</v>
      </c>
      <c r="BZ47" s="21">
        <f>Мясо!BZ45</f>
        <v>39941.909397321135</v>
      </c>
      <c r="CA47" s="21">
        <f>Мясо!CA45</f>
        <v>59437.365174585029</v>
      </c>
      <c r="CB47" s="21">
        <f>Мясо!CB45</f>
        <v>82551.896075812518</v>
      </c>
      <c r="CC47" s="21">
        <f>Мясо!CC45</f>
        <v>94561.163889819625</v>
      </c>
      <c r="CD47" s="21">
        <f>Мясо!CD45</f>
        <v>98501.212385228791</v>
      </c>
      <c r="CE47" s="21">
        <f>Мясо!CE45</f>
        <v>100511.44120941711</v>
      </c>
      <c r="CF47" s="21">
        <f>Мясо!CF45</f>
        <v>102562.69511165013</v>
      </c>
      <c r="CG47" s="21">
        <f>Мясо!CG45</f>
        <v>94748.394531714875</v>
      </c>
      <c r="CH47" s="21">
        <f>Мясо!CH45</f>
        <v>91905.942695763428</v>
      </c>
      <c r="CI47" s="21">
        <f>Мясо!CI45</f>
        <v>89148.764414890524</v>
      </c>
      <c r="CJ47" s="21">
        <f>Мясо!CJ45</f>
        <v>84691.326194145979</v>
      </c>
      <c r="CK47" s="21">
        <f>Мясо!CK45</f>
        <v>112921.76825886131</v>
      </c>
      <c r="CN47" s="14"/>
      <c r="CO47" s="21">
        <f>SUMIF($F$2:$CK$2,CO$3,$F47:$CK47)</f>
        <v>0</v>
      </c>
      <c r="CP47" s="21">
        <f t="shared" si="181"/>
        <v>0</v>
      </c>
      <c r="CQ47" s="21">
        <f t="shared" si="181"/>
        <v>109000</v>
      </c>
      <c r="CR47" s="21">
        <f t="shared" si="181"/>
        <v>681365.31071352353</v>
      </c>
      <c r="CS47" s="21">
        <f t="shared" si="181"/>
        <v>787385.75306054787</v>
      </c>
      <c r="CT47" s="21">
        <f t="shared" si="182"/>
        <v>909902.976236769</v>
      </c>
      <c r="CU47" s="21">
        <f t="shared" si="182"/>
        <v>1051483.8793392105</v>
      </c>
      <c r="CV47" s="183">
        <f t="shared" si="186"/>
        <v>3539137.9193500513</v>
      </c>
      <c r="CW47" s="369">
        <f t="shared" si="183"/>
        <v>0</v>
      </c>
      <c r="CX47" s="369">
        <f t="shared" si="183"/>
        <v>0</v>
      </c>
      <c r="CY47" s="369">
        <f t="shared" si="183"/>
        <v>0.1336488911482106</v>
      </c>
      <c r="CZ47" s="369">
        <f t="shared" si="183"/>
        <v>0.39812699630283849</v>
      </c>
      <c r="DA47" s="369">
        <f t="shared" si="183"/>
        <v>0.39507439143567469</v>
      </c>
      <c r="DB47" s="369">
        <f t="shared" si="184"/>
        <v>0.39202927027568352</v>
      </c>
      <c r="DC47" s="369">
        <f t="shared" si="184"/>
        <v>0.39596385599425959</v>
      </c>
    </row>
    <row r="48" spans="1:107" x14ac:dyDescent="0.2">
      <c r="B48" s="20" t="s">
        <v>6</v>
      </c>
      <c r="C48" s="23" t="s">
        <v>4</v>
      </c>
      <c r="D48" s="102"/>
      <c r="E48" s="102"/>
      <c r="F48" s="24">
        <f t="shared" ref="F48:AK48" si="192">F41+F44+F47</f>
        <v>37800</v>
      </c>
      <c r="G48" s="24">
        <f t="shared" si="192"/>
        <v>40970</v>
      </c>
      <c r="H48" s="24">
        <f t="shared" si="192"/>
        <v>37872</v>
      </c>
      <c r="I48" s="24">
        <f t="shared" si="192"/>
        <v>43924.942000000003</v>
      </c>
      <c r="J48" s="24">
        <f t="shared" si="192"/>
        <v>43364</v>
      </c>
      <c r="K48" s="24">
        <f t="shared" si="192"/>
        <v>44060</v>
      </c>
      <c r="L48" s="24">
        <f t="shared" si="192"/>
        <v>50410</v>
      </c>
      <c r="M48" s="24">
        <f t="shared" si="192"/>
        <v>46367</v>
      </c>
      <c r="N48" s="24">
        <f t="shared" si="192"/>
        <v>43980</v>
      </c>
      <c r="O48" s="24">
        <f t="shared" si="192"/>
        <v>50925</v>
      </c>
      <c r="P48" s="24">
        <f t="shared" si="192"/>
        <v>47951</v>
      </c>
      <c r="Q48" s="24">
        <f t="shared" si="192"/>
        <v>56897</v>
      </c>
      <c r="R48" s="24">
        <f t="shared" si="192"/>
        <v>40944.953509999999</v>
      </c>
      <c r="S48" s="24">
        <f t="shared" si="192"/>
        <v>37592.646399999998</v>
      </c>
      <c r="T48" s="24">
        <f t="shared" si="192"/>
        <v>52424.71142</v>
      </c>
      <c r="U48" s="24">
        <f t="shared" si="192"/>
        <v>42119.144490000006</v>
      </c>
      <c r="V48" s="24">
        <f t="shared" si="192"/>
        <v>43341.810040000004</v>
      </c>
      <c r="W48" s="24">
        <f t="shared" si="192"/>
        <v>44640.878140000001</v>
      </c>
      <c r="X48" s="24">
        <f t="shared" si="192"/>
        <v>58100.817309999999</v>
      </c>
      <c r="Y48" s="24">
        <f t="shared" si="192"/>
        <v>56408.323090000005</v>
      </c>
      <c r="Z48" s="24">
        <f t="shared" si="192"/>
        <v>57011.189790000004</v>
      </c>
      <c r="AA48" s="24">
        <f t="shared" si="192"/>
        <v>53840.798139999999</v>
      </c>
      <c r="AB48" s="24">
        <f t="shared" si="192"/>
        <v>52151.136889999994</v>
      </c>
      <c r="AC48" s="24">
        <f t="shared" si="192"/>
        <v>61697.745340000009</v>
      </c>
      <c r="AD48" s="24">
        <f t="shared" si="192"/>
        <v>38671.144</v>
      </c>
      <c r="AE48" s="24">
        <f t="shared" si="192"/>
        <v>40944.347999999998</v>
      </c>
      <c r="AF48" s="24">
        <f t="shared" si="192"/>
        <v>51133.572999999997</v>
      </c>
      <c r="AG48" s="24">
        <f t="shared" si="192"/>
        <v>50807.734125000003</v>
      </c>
      <c r="AH48" s="24">
        <f t="shared" si="192"/>
        <v>54080.957016374996</v>
      </c>
      <c r="AI48" s="24">
        <f t="shared" si="192"/>
        <v>56083.929111034377</v>
      </c>
      <c r="AJ48" s="24">
        <f t="shared" si="192"/>
        <v>59676.538181645927</v>
      </c>
      <c r="AK48" s="24">
        <f t="shared" si="192"/>
        <v>79673.32226886334</v>
      </c>
      <c r="AL48" s="24">
        <f t="shared" ref="AL48:BQ48" si="193">AL41+AL44+AL47</f>
        <v>88880.575545472311</v>
      </c>
      <c r="AM48" s="24">
        <f t="shared" si="193"/>
        <v>89201.562035641429</v>
      </c>
      <c r="AN48" s="24">
        <f t="shared" si="193"/>
        <v>94368.323576732539</v>
      </c>
      <c r="AO48" s="24">
        <f t="shared" si="193"/>
        <v>112047.7974492754</v>
      </c>
      <c r="AP48" s="24">
        <f t="shared" si="193"/>
        <v>97443.648161143195</v>
      </c>
      <c r="AQ48" s="24">
        <f t="shared" si="193"/>
        <v>112987.0395533187</v>
      </c>
      <c r="AR48" s="24">
        <f t="shared" si="193"/>
        <v>135863.33693890486</v>
      </c>
      <c r="AS48" s="24">
        <f t="shared" si="193"/>
        <v>146195.17695064249</v>
      </c>
      <c r="AT48" s="24">
        <f t="shared" si="193"/>
        <v>152128.66543452561</v>
      </c>
      <c r="AU48" s="24">
        <f t="shared" si="193"/>
        <v>155168.93355855043</v>
      </c>
      <c r="AV48" s="24">
        <f t="shared" si="193"/>
        <v>158272.09626188321</v>
      </c>
      <c r="AW48" s="24">
        <f t="shared" si="193"/>
        <v>150645.79111351568</v>
      </c>
      <c r="AX48" s="24">
        <f t="shared" si="193"/>
        <v>146321.25187114291</v>
      </c>
      <c r="AY48" s="24">
        <f t="shared" si="193"/>
        <v>142142.17818916243</v>
      </c>
      <c r="AZ48" s="24">
        <f t="shared" si="193"/>
        <v>135353.63483825183</v>
      </c>
      <c r="BA48" s="24">
        <f t="shared" si="193"/>
        <v>178905.29689183744</v>
      </c>
      <c r="BB48" s="24">
        <f t="shared" si="193"/>
        <v>113151.52746712786</v>
      </c>
      <c r="BC48" s="24">
        <f t="shared" si="193"/>
        <v>131546.35364084115</v>
      </c>
      <c r="BD48" s="24">
        <f t="shared" si="193"/>
        <v>158088.31230314521</v>
      </c>
      <c r="BE48" s="24">
        <f t="shared" si="193"/>
        <v>170069.32218088716</v>
      </c>
      <c r="BF48" s="24">
        <f t="shared" si="193"/>
        <v>176969.29071230232</v>
      </c>
      <c r="BG48" s="24">
        <f t="shared" si="193"/>
        <v>180501.01491911663</v>
      </c>
      <c r="BH48" s="24">
        <f t="shared" si="193"/>
        <v>184105.91390060107</v>
      </c>
      <c r="BI48" s="24">
        <f t="shared" si="193"/>
        <v>175258.79614409403</v>
      </c>
      <c r="BJ48" s="24">
        <f t="shared" si="193"/>
        <v>170228.25026249926</v>
      </c>
      <c r="BK48" s="24">
        <f t="shared" si="193"/>
        <v>165371.83484745753</v>
      </c>
      <c r="BL48" s="24">
        <f t="shared" si="193"/>
        <v>159584.05426826148</v>
      </c>
      <c r="BM48" s="24">
        <f t="shared" si="193"/>
        <v>208131.63431623089</v>
      </c>
      <c r="BN48" s="24">
        <f t="shared" si="193"/>
        <v>131802.02374022888</v>
      </c>
      <c r="BO48" s="24">
        <f t="shared" si="193"/>
        <v>153106.16219123988</v>
      </c>
      <c r="BP48" s="24">
        <f t="shared" si="193"/>
        <v>183898.40310415329</v>
      </c>
      <c r="BQ48" s="24">
        <f t="shared" si="193"/>
        <v>197788.25872779291</v>
      </c>
      <c r="BR48" s="24">
        <f t="shared" ref="BR48:BX48" si="194">BR41+BR44+BR47</f>
        <v>205811.50953862607</v>
      </c>
      <c r="BS48" s="24">
        <f t="shared" si="194"/>
        <v>209919.08284906545</v>
      </c>
      <c r="BT48" s="24">
        <f t="shared" si="194"/>
        <v>214111.83380600828</v>
      </c>
      <c r="BU48" s="24">
        <f t="shared" si="194"/>
        <v>203853.11896126688</v>
      </c>
      <c r="BV48" s="24">
        <f t="shared" si="194"/>
        <v>198006.09568912053</v>
      </c>
      <c r="BW48" s="24">
        <f t="shared" si="194"/>
        <v>194942.76567982481</v>
      </c>
      <c r="BX48" s="24">
        <f t="shared" si="194"/>
        <v>185641.99130086185</v>
      </c>
      <c r="BY48" s="24">
        <f t="shared" ref="BY48:CK48" si="195">BY41+BY44+BY47</f>
        <v>242126.50874838256</v>
      </c>
      <c r="BZ48" s="24">
        <f t="shared" si="195"/>
        <v>150022.79969233237</v>
      </c>
      <c r="CA48" s="24">
        <f t="shared" si="195"/>
        <v>174576.7687518076</v>
      </c>
      <c r="CB48" s="24">
        <f t="shared" si="195"/>
        <v>209952.52407448835</v>
      </c>
      <c r="CC48" s="24">
        <f t="shared" si="195"/>
        <v>225971.11595437385</v>
      </c>
      <c r="CD48" s="24">
        <f t="shared" si="195"/>
        <v>235173.02285285789</v>
      </c>
      <c r="CE48" s="24">
        <f t="shared" si="195"/>
        <v>239927.80713835685</v>
      </c>
      <c r="CF48" s="24">
        <f t="shared" si="195"/>
        <v>244782.06303239585</v>
      </c>
      <c r="CG48" s="24">
        <f t="shared" si="195"/>
        <v>233067.95260200408</v>
      </c>
      <c r="CH48" s="24">
        <f t="shared" si="195"/>
        <v>229552.03706642659</v>
      </c>
      <c r="CI48" s="24">
        <f t="shared" si="195"/>
        <v>223044.51236393349</v>
      </c>
      <c r="CJ48" s="24">
        <f t="shared" si="195"/>
        <v>212445.27637332847</v>
      </c>
      <c r="CK48" s="24">
        <f t="shared" si="195"/>
        <v>276988.81685581052</v>
      </c>
      <c r="CN48" s="146"/>
      <c r="CO48" s="24">
        <f t="shared" ref="CO48:CS48" si="196">CO44+CO41+CO47</f>
        <v>544520.94200000004</v>
      </c>
      <c r="CP48" s="24">
        <f t="shared" si="196"/>
        <v>600274.15455999994</v>
      </c>
      <c r="CQ48" s="24">
        <f t="shared" si="196"/>
        <v>815569.80431004032</v>
      </c>
      <c r="CR48" s="24">
        <f t="shared" si="196"/>
        <v>1711427.049762879</v>
      </c>
      <c r="CS48" s="24">
        <f t="shared" si="196"/>
        <v>1993006.3049625645</v>
      </c>
      <c r="CT48" s="24">
        <f t="shared" ref="CT48:CU48" si="197">CT44+CT41+CT47</f>
        <v>2321007.7543365713</v>
      </c>
      <c r="CU48" s="24">
        <f t="shared" si="197"/>
        <v>2655504.6967581157</v>
      </c>
      <c r="CV48" s="183"/>
      <c r="CW48" s="368">
        <f>CO48/CO$48</f>
        <v>1</v>
      </c>
      <c r="CX48" s="368">
        <f t="shared" ref="CX48" si="198">CP48/CP$48</f>
        <v>1</v>
      </c>
      <c r="CY48" s="368">
        <f t="shared" ref="CY48" si="199">CQ48/CQ$48</f>
        <v>1</v>
      </c>
      <c r="CZ48" s="368">
        <f t="shared" ref="CZ48" si="200">CR48/CR$48</f>
        <v>1</v>
      </c>
      <c r="DA48" s="368">
        <f t="shared" ref="DA48" si="201">CS48/CS$48</f>
        <v>1</v>
      </c>
      <c r="DB48" s="368">
        <f t="shared" si="184"/>
        <v>1</v>
      </c>
      <c r="DC48" s="368">
        <f t="shared" si="184"/>
        <v>1</v>
      </c>
    </row>
    <row r="50" spans="2:107" x14ac:dyDescent="0.2">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row>
    <row r="51" spans="2:107" x14ac:dyDescent="0.2">
      <c r="B51" s="12" t="s">
        <v>66</v>
      </c>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N51" s="193"/>
      <c r="CW51" s="184" t="s">
        <v>423</v>
      </c>
    </row>
    <row r="52" spans="2:107" x14ac:dyDescent="0.2">
      <c r="B52" s="128" t="s">
        <v>1</v>
      </c>
      <c r="C52" s="128" t="s">
        <v>2</v>
      </c>
      <c r="D52" s="131" t="s">
        <v>38</v>
      </c>
      <c r="E52" s="156"/>
      <c r="F52" s="129">
        <f t="shared" ref="F52:AK52" si="202">F40</f>
        <v>45292</v>
      </c>
      <c r="G52" s="129">
        <f t="shared" si="202"/>
        <v>45323</v>
      </c>
      <c r="H52" s="129">
        <f t="shared" si="202"/>
        <v>45352</v>
      </c>
      <c r="I52" s="129">
        <f t="shared" si="202"/>
        <v>45383</v>
      </c>
      <c r="J52" s="129">
        <f t="shared" si="202"/>
        <v>45413</v>
      </c>
      <c r="K52" s="129">
        <f t="shared" si="202"/>
        <v>45444</v>
      </c>
      <c r="L52" s="129">
        <f t="shared" si="202"/>
        <v>45474</v>
      </c>
      <c r="M52" s="129">
        <f t="shared" si="202"/>
        <v>45505</v>
      </c>
      <c r="N52" s="129">
        <f t="shared" si="202"/>
        <v>45536</v>
      </c>
      <c r="O52" s="129">
        <f t="shared" si="202"/>
        <v>45566</v>
      </c>
      <c r="P52" s="129">
        <f t="shared" si="202"/>
        <v>45597</v>
      </c>
      <c r="Q52" s="129">
        <f t="shared" si="202"/>
        <v>45627</v>
      </c>
      <c r="R52" s="129">
        <f t="shared" si="202"/>
        <v>45658</v>
      </c>
      <c r="S52" s="129">
        <f t="shared" si="202"/>
        <v>45689</v>
      </c>
      <c r="T52" s="129">
        <f t="shared" si="202"/>
        <v>45717</v>
      </c>
      <c r="U52" s="129">
        <f t="shared" si="202"/>
        <v>45748</v>
      </c>
      <c r="V52" s="129">
        <f t="shared" si="202"/>
        <v>45778</v>
      </c>
      <c r="W52" s="129">
        <f t="shared" si="202"/>
        <v>45809</v>
      </c>
      <c r="X52" s="129">
        <f t="shared" si="202"/>
        <v>45839</v>
      </c>
      <c r="Y52" s="129">
        <f t="shared" si="202"/>
        <v>45870</v>
      </c>
      <c r="Z52" s="129">
        <f t="shared" si="202"/>
        <v>45901</v>
      </c>
      <c r="AA52" s="129">
        <f t="shared" si="202"/>
        <v>45931</v>
      </c>
      <c r="AB52" s="129">
        <f t="shared" si="202"/>
        <v>45962</v>
      </c>
      <c r="AC52" s="129">
        <f t="shared" si="202"/>
        <v>45992</v>
      </c>
      <c r="AD52" s="129">
        <f t="shared" si="202"/>
        <v>46023</v>
      </c>
      <c r="AE52" s="129">
        <f t="shared" si="202"/>
        <v>46054</v>
      </c>
      <c r="AF52" s="129">
        <f t="shared" si="202"/>
        <v>46082</v>
      </c>
      <c r="AG52" s="129">
        <f t="shared" si="202"/>
        <v>46113</v>
      </c>
      <c r="AH52" s="129">
        <f t="shared" si="202"/>
        <v>46143</v>
      </c>
      <c r="AI52" s="129">
        <f t="shared" si="202"/>
        <v>46174</v>
      </c>
      <c r="AJ52" s="129">
        <f t="shared" si="202"/>
        <v>46204</v>
      </c>
      <c r="AK52" s="129">
        <f t="shared" si="202"/>
        <v>46235</v>
      </c>
      <c r="AL52" s="129">
        <f t="shared" ref="AL52:BQ52" si="203">AL40</f>
        <v>46266</v>
      </c>
      <c r="AM52" s="129">
        <f t="shared" si="203"/>
        <v>46296</v>
      </c>
      <c r="AN52" s="129">
        <f t="shared" si="203"/>
        <v>46327</v>
      </c>
      <c r="AO52" s="129">
        <f t="shared" si="203"/>
        <v>46357</v>
      </c>
      <c r="AP52" s="129">
        <f t="shared" si="203"/>
        <v>46388</v>
      </c>
      <c r="AQ52" s="129">
        <f t="shared" si="203"/>
        <v>46419</v>
      </c>
      <c r="AR52" s="129">
        <f t="shared" si="203"/>
        <v>46447</v>
      </c>
      <c r="AS52" s="129">
        <f t="shared" si="203"/>
        <v>46478</v>
      </c>
      <c r="AT52" s="129">
        <f t="shared" si="203"/>
        <v>46508</v>
      </c>
      <c r="AU52" s="129">
        <f t="shared" si="203"/>
        <v>46539</v>
      </c>
      <c r="AV52" s="129">
        <f t="shared" si="203"/>
        <v>46569</v>
      </c>
      <c r="AW52" s="129">
        <f t="shared" si="203"/>
        <v>46600</v>
      </c>
      <c r="AX52" s="129">
        <f t="shared" si="203"/>
        <v>46631</v>
      </c>
      <c r="AY52" s="129">
        <f t="shared" si="203"/>
        <v>46661</v>
      </c>
      <c r="AZ52" s="129">
        <f t="shared" si="203"/>
        <v>46692</v>
      </c>
      <c r="BA52" s="129">
        <f t="shared" si="203"/>
        <v>46722</v>
      </c>
      <c r="BB52" s="129">
        <f t="shared" si="203"/>
        <v>46753</v>
      </c>
      <c r="BC52" s="129">
        <f t="shared" si="203"/>
        <v>46784</v>
      </c>
      <c r="BD52" s="129">
        <f t="shared" si="203"/>
        <v>46813</v>
      </c>
      <c r="BE52" s="129">
        <f t="shared" si="203"/>
        <v>46844</v>
      </c>
      <c r="BF52" s="129">
        <f t="shared" si="203"/>
        <v>46874</v>
      </c>
      <c r="BG52" s="129">
        <f t="shared" si="203"/>
        <v>46905</v>
      </c>
      <c r="BH52" s="129">
        <f t="shared" si="203"/>
        <v>46935</v>
      </c>
      <c r="BI52" s="129">
        <f t="shared" si="203"/>
        <v>46966</v>
      </c>
      <c r="BJ52" s="129">
        <f t="shared" si="203"/>
        <v>46997</v>
      </c>
      <c r="BK52" s="129">
        <f t="shared" si="203"/>
        <v>47027</v>
      </c>
      <c r="BL52" s="129">
        <f t="shared" si="203"/>
        <v>47058</v>
      </c>
      <c r="BM52" s="129">
        <f t="shared" si="203"/>
        <v>47088</v>
      </c>
      <c r="BN52" s="129">
        <f t="shared" si="203"/>
        <v>47119</v>
      </c>
      <c r="BO52" s="129">
        <f t="shared" si="203"/>
        <v>47150</v>
      </c>
      <c r="BP52" s="129">
        <f t="shared" si="203"/>
        <v>47178</v>
      </c>
      <c r="BQ52" s="129">
        <f t="shared" si="203"/>
        <v>47209</v>
      </c>
      <c r="BR52" s="129">
        <f t="shared" ref="BR52:BX52" si="204">BR40</f>
        <v>47239</v>
      </c>
      <c r="BS52" s="129">
        <f t="shared" si="204"/>
        <v>47270</v>
      </c>
      <c r="BT52" s="129">
        <f t="shared" si="204"/>
        <v>47300</v>
      </c>
      <c r="BU52" s="129">
        <f t="shared" si="204"/>
        <v>47331</v>
      </c>
      <c r="BV52" s="129">
        <f t="shared" si="204"/>
        <v>47362</v>
      </c>
      <c r="BW52" s="129">
        <f t="shared" si="204"/>
        <v>47392</v>
      </c>
      <c r="BX52" s="129">
        <f t="shared" si="204"/>
        <v>47423</v>
      </c>
      <c r="BY52" s="129">
        <f t="shared" ref="BY52:CK52" si="205">BY40</f>
        <v>47453</v>
      </c>
      <c r="BZ52" s="129">
        <f t="shared" si="205"/>
        <v>47484</v>
      </c>
      <c r="CA52" s="129">
        <f t="shared" si="205"/>
        <v>47515</v>
      </c>
      <c r="CB52" s="129">
        <f t="shared" si="205"/>
        <v>47543</v>
      </c>
      <c r="CC52" s="129">
        <f t="shared" si="205"/>
        <v>47574</v>
      </c>
      <c r="CD52" s="129">
        <f t="shared" si="205"/>
        <v>47604</v>
      </c>
      <c r="CE52" s="129">
        <f t="shared" si="205"/>
        <v>47635</v>
      </c>
      <c r="CF52" s="129">
        <f t="shared" si="205"/>
        <v>47665</v>
      </c>
      <c r="CG52" s="129">
        <f t="shared" si="205"/>
        <v>47696</v>
      </c>
      <c r="CH52" s="129">
        <f t="shared" si="205"/>
        <v>47727</v>
      </c>
      <c r="CI52" s="129">
        <f t="shared" si="205"/>
        <v>47757</v>
      </c>
      <c r="CJ52" s="129">
        <f t="shared" si="205"/>
        <v>47788</v>
      </c>
      <c r="CK52" s="129">
        <f t="shared" si="205"/>
        <v>47818</v>
      </c>
      <c r="CN52" s="145"/>
      <c r="CO52" s="130">
        <v>2024</v>
      </c>
      <c r="CP52" s="130">
        <f t="shared" ref="CP52" si="206">CO52+1</f>
        <v>2025</v>
      </c>
      <c r="CQ52" s="130">
        <f t="shared" ref="CQ52" si="207">CP52+1</f>
        <v>2026</v>
      </c>
      <c r="CR52" s="130">
        <f t="shared" ref="CR52" si="208">CQ52+1</f>
        <v>2027</v>
      </c>
      <c r="CS52" s="130">
        <f t="shared" ref="CS52" si="209">CR52+1</f>
        <v>2028</v>
      </c>
      <c r="CT52" s="130">
        <f t="shared" ref="CT52" si="210">CS52+1</f>
        <v>2029</v>
      </c>
      <c r="CU52" s="130">
        <f t="shared" ref="CU52" si="211">CT52+1</f>
        <v>2030</v>
      </c>
      <c r="CV52" s="8"/>
      <c r="CW52" s="130">
        <v>2024</v>
      </c>
      <c r="CX52" s="130">
        <f t="shared" ref="CX52" si="212">CW52+1</f>
        <v>2025</v>
      </c>
      <c r="CY52" s="130">
        <f t="shared" ref="CY52" si="213">CX52+1</f>
        <v>2026</v>
      </c>
      <c r="CZ52" s="130">
        <f t="shared" ref="CZ52" si="214">CY52+1</f>
        <v>2027</v>
      </c>
      <c r="DA52" s="130">
        <f t="shared" ref="DA52" si="215">CZ52+1</f>
        <v>2028</v>
      </c>
      <c r="DB52" s="130">
        <f t="shared" ref="DB52" si="216">DA52+1</f>
        <v>2029</v>
      </c>
      <c r="DC52" s="130">
        <f t="shared" ref="DC52" si="217">DB52+1</f>
        <v>2030</v>
      </c>
    </row>
    <row r="53" spans="2:107" x14ac:dyDescent="0.2">
      <c r="B53" s="96" t="s">
        <v>7</v>
      </c>
      <c r="C53" s="96"/>
      <c r="D53" s="96"/>
      <c r="E53" s="12"/>
      <c r="F53" s="21">
        <f t="shared" ref="F53:AK53" si="218">SUM(F54:F55)</f>
        <v>24441.404925333471</v>
      </c>
      <c r="G53" s="21">
        <f t="shared" si="218"/>
        <v>25463.583835845344</v>
      </c>
      <c r="H53" s="21">
        <f t="shared" si="218"/>
        <v>23138.862664867269</v>
      </c>
      <c r="I53" s="21">
        <f t="shared" si="218"/>
        <v>27675.421647961342</v>
      </c>
      <c r="J53" s="21">
        <f t="shared" si="218"/>
        <v>27631.576891379456</v>
      </c>
      <c r="K53" s="21">
        <f t="shared" si="218"/>
        <v>28101.711734462773</v>
      </c>
      <c r="L53" s="21">
        <f t="shared" si="218"/>
        <v>31347.320627615667</v>
      </c>
      <c r="M53" s="21">
        <f t="shared" si="218"/>
        <v>29944.692377883417</v>
      </c>
      <c r="N53" s="21">
        <f t="shared" si="218"/>
        <v>28155.941913610208</v>
      </c>
      <c r="O53" s="21">
        <f t="shared" si="218"/>
        <v>32890.435777172032</v>
      </c>
      <c r="P53" s="21">
        <f t="shared" si="218"/>
        <v>30331.837971170102</v>
      </c>
      <c r="Q53" s="21">
        <f t="shared" si="218"/>
        <v>36396.900296544023</v>
      </c>
      <c r="R53" s="21">
        <f t="shared" si="218"/>
        <v>26270.100000000002</v>
      </c>
      <c r="S53" s="21">
        <f t="shared" si="218"/>
        <v>27696.000000000004</v>
      </c>
      <c r="T53" s="21">
        <f t="shared" si="218"/>
        <v>28479.7</v>
      </c>
      <c r="U53" s="21">
        <f t="shared" si="218"/>
        <v>28644.900000000005</v>
      </c>
      <c r="V53" s="21">
        <f t="shared" si="218"/>
        <v>28992.945326000001</v>
      </c>
      <c r="W53" s="21">
        <f t="shared" si="218"/>
        <v>29259.353642000002</v>
      </c>
      <c r="X53" s="21">
        <f t="shared" si="218"/>
        <v>38365.615235527708</v>
      </c>
      <c r="Y53" s="21">
        <f t="shared" si="218"/>
        <v>37282.547438811249</v>
      </c>
      <c r="Z53" s="21">
        <f t="shared" si="218"/>
        <v>37689.54412968806</v>
      </c>
      <c r="AA53" s="21">
        <f t="shared" si="218"/>
        <v>30612.054417760002</v>
      </c>
      <c r="AB53" s="21">
        <f t="shared" si="218"/>
        <v>29607.265482380004</v>
      </c>
      <c r="AC53" s="21">
        <f t="shared" si="218"/>
        <v>35015.750536980013</v>
      </c>
      <c r="AD53" s="21">
        <f t="shared" si="218"/>
        <v>23568.674633999999</v>
      </c>
      <c r="AE53" s="21">
        <f t="shared" si="218"/>
        <v>24932.788781999996</v>
      </c>
      <c r="AF53" s="21">
        <f t="shared" si="218"/>
        <v>31068.283541999994</v>
      </c>
      <c r="AG53" s="21">
        <f t="shared" si="218"/>
        <v>31276.455943250003</v>
      </c>
      <c r="AH53" s="21">
        <f t="shared" si="218"/>
        <v>32907.960910098751</v>
      </c>
      <c r="AI53" s="21">
        <f t="shared" si="218"/>
        <v>34158.701350395742</v>
      </c>
      <c r="AJ53" s="21">
        <f t="shared" si="218"/>
        <v>36334.474012181548</v>
      </c>
      <c r="AK53" s="21">
        <f t="shared" si="218"/>
        <v>33920.551720027965</v>
      </c>
      <c r="AL53" s="21">
        <f t="shared" ref="AL53:BQ53" si="219">SUM(AL54:AL55)</f>
        <v>36630.910977786902</v>
      </c>
      <c r="AM53" s="21">
        <f t="shared" si="219"/>
        <v>35782.884856645927</v>
      </c>
      <c r="AN53" s="21">
        <f t="shared" si="219"/>
        <v>36406.084095829501</v>
      </c>
      <c r="AO53" s="21">
        <f t="shared" si="219"/>
        <v>43464.061068602074</v>
      </c>
      <c r="AP53" s="21">
        <f t="shared" si="219"/>
        <v>37133.33449288812</v>
      </c>
      <c r="AQ53" s="21">
        <f t="shared" si="219"/>
        <v>36991.905782894522</v>
      </c>
      <c r="AR53" s="21">
        <f t="shared" si="219"/>
        <v>40884.971365621117</v>
      </c>
      <c r="AS53" s="21">
        <f t="shared" si="219"/>
        <v>42161.508805026475</v>
      </c>
      <c r="AT53" s="21">
        <f t="shared" si="219"/>
        <v>43812.350687381222</v>
      </c>
      <c r="AU53" s="21">
        <f t="shared" si="219"/>
        <v>44661.883848352911</v>
      </c>
      <c r="AV53" s="21">
        <f t="shared" si="219"/>
        <v>45529.212467621481</v>
      </c>
      <c r="AW53" s="21">
        <f t="shared" si="219"/>
        <v>44272.20206604393</v>
      </c>
      <c r="AX53" s="21">
        <f t="shared" si="219"/>
        <v>43066.928800248897</v>
      </c>
      <c r="AY53" s="21">
        <f t="shared" si="219"/>
        <v>41907.129118489778</v>
      </c>
      <c r="AZ53" s="21">
        <f t="shared" si="219"/>
        <v>40013.397416884967</v>
      </c>
      <c r="BA53" s="21">
        <f t="shared" si="219"/>
        <v>52325.136322489663</v>
      </c>
      <c r="BB53" s="21">
        <f t="shared" si="219"/>
        <v>41299.65512382071</v>
      </c>
      <c r="BC53" s="21">
        <f t="shared" si="219"/>
        <v>43196.980671306002</v>
      </c>
      <c r="BD53" s="21">
        <f t="shared" si="219"/>
        <v>47747.926688372849</v>
      </c>
      <c r="BE53" s="21">
        <f t="shared" si="219"/>
        <v>49244.029621490547</v>
      </c>
      <c r="BF53" s="21">
        <f t="shared" si="219"/>
        <v>51172.856641897517</v>
      </c>
      <c r="BG53" s="21">
        <f t="shared" si="219"/>
        <v>52163.091577747975</v>
      </c>
      <c r="BH53" s="21">
        <f t="shared" si="219"/>
        <v>53174.131060321539</v>
      </c>
      <c r="BI53" s="21">
        <f t="shared" si="219"/>
        <v>51704.613122036011</v>
      </c>
      <c r="BJ53" s="21">
        <f t="shared" si="219"/>
        <v>50295.394158968506</v>
      </c>
      <c r="BK53" s="21">
        <f t="shared" si="219"/>
        <v>48942.235439884054</v>
      </c>
      <c r="BL53" s="21">
        <f t="shared" si="219"/>
        <v>47749.681699194705</v>
      </c>
      <c r="BM53" s="21">
        <f t="shared" si="219"/>
        <v>61116.244195185674</v>
      </c>
      <c r="BN53" s="21">
        <f t="shared" si="219"/>
        <v>48203.775086730806</v>
      </c>
      <c r="BO53" s="21">
        <f t="shared" si="219"/>
        <v>50419.149994018742</v>
      </c>
      <c r="BP53" s="21">
        <f t="shared" si="219"/>
        <v>55737.114343744521</v>
      </c>
      <c r="BQ53" s="21">
        <f t="shared" si="219"/>
        <v>57488.297810392098</v>
      </c>
      <c r="BR53" s="21">
        <f t="shared" ref="BR53:BX53" si="220">SUM(BR54:BR55)</f>
        <v>59741.432407406603</v>
      </c>
      <c r="BS53" s="21">
        <f t="shared" si="220"/>
        <v>60898.633234622066</v>
      </c>
      <c r="BT53" s="21">
        <f t="shared" si="220"/>
        <v>62080.182608634677</v>
      </c>
      <c r="BU53" s="21">
        <f t="shared" si="220"/>
        <v>60365.24183751049</v>
      </c>
      <c r="BV53" s="21">
        <f t="shared" si="220"/>
        <v>58720.602763113813</v>
      </c>
      <c r="BW53" s="21">
        <f t="shared" si="220"/>
        <v>58390.684424418927</v>
      </c>
      <c r="BX53" s="21">
        <f t="shared" si="220"/>
        <v>55748.372767223445</v>
      </c>
      <c r="BY53" s="21">
        <f t="shared" ref="BY53:CK53" si="221">SUM(BY54:BY55)</f>
        <v>71380.97358472542</v>
      </c>
      <c r="BZ53" s="21">
        <f t="shared" si="221"/>
        <v>54528.974458928824</v>
      </c>
      <c r="CA53" s="21">
        <f t="shared" si="221"/>
        <v>57060.439849665658</v>
      </c>
      <c r="CB53" s="21">
        <f t="shared" si="221"/>
        <v>63106.20682234069</v>
      </c>
      <c r="CC53" s="21">
        <f t="shared" si="221"/>
        <v>65115.089798692767</v>
      </c>
      <c r="CD53" s="21">
        <f t="shared" si="221"/>
        <v>67685.339111373134</v>
      </c>
      <c r="CE53" s="21">
        <f t="shared" si="221"/>
        <v>69029.752177546339</v>
      </c>
      <c r="CF53" s="21">
        <f t="shared" si="221"/>
        <v>70402.892504997551</v>
      </c>
      <c r="CG53" s="21">
        <f t="shared" si="221"/>
        <v>68492.70369691767</v>
      </c>
      <c r="CH53" s="21">
        <f t="shared" si="221"/>
        <v>68164.268554563794</v>
      </c>
      <c r="CI53" s="21">
        <f t="shared" si="221"/>
        <v>66347.300640064379</v>
      </c>
      <c r="CJ53" s="21">
        <f t="shared" si="221"/>
        <v>63366.431348216036</v>
      </c>
      <c r="CK53" s="21">
        <f t="shared" si="221"/>
        <v>81079.554423118272</v>
      </c>
      <c r="CN53" s="14"/>
      <c r="CO53" s="21">
        <f>SUMIF($F$2:$CK$2,CO$3,$F53:$CK53)</f>
        <v>345519.69066384505</v>
      </c>
      <c r="CP53" s="21">
        <f>SUMIF($L$2:$CK$2,CP$3,$L53:$CK53)</f>
        <v>377915.77620914701</v>
      </c>
      <c r="CQ53" s="21">
        <f>SUMIF($L$2:$CK$2,CQ$3,$L53:$CK53)</f>
        <v>400451.83189281839</v>
      </c>
      <c r="CR53" s="21">
        <f>SUMIF($L$2:$CK$2,CR$3,$L53:$CK53)</f>
        <v>512759.96117394307</v>
      </c>
      <c r="CS53" s="21">
        <f>SUMIF($L$2:$CK$2,CS$3,$L53:$CK53)</f>
        <v>597806.84000022616</v>
      </c>
      <c r="CT53" s="21">
        <f t="shared" ref="CT53:CU68" si="222">SUMIF($L$2:$CK$2,CT$3,$L53:$CK53)</f>
        <v>699174.46086254157</v>
      </c>
      <c r="CU53" s="21">
        <f t="shared" si="222"/>
        <v>794378.95338642504</v>
      </c>
      <c r="CV53" s="8"/>
      <c r="CW53" s="210"/>
      <c r="CX53" s="210"/>
      <c r="CY53" s="210"/>
      <c r="CZ53" s="210"/>
      <c r="DA53" s="210"/>
      <c r="DB53" s="210"/>
      <c r="DC53" s="210"/>
    </row>
    <row r="54" spans="2:107" outlineLevel="1" x14ac:dyDescent="0.2">
      <c r="B54" s="95" t="s">
        <v>90</v>
      </c>
      <c r="C54" s="97" t="s">
        <v>4</v>
      </c>
      <c r="D54" s="103"/>
      <c r="E54" s="157"/>
      <c r="F54" s="22">
        <f>Мясо!F69</f>
        <v>24441.404925333471</v>
      </c>
      <c r="G54" s="22">
        <f>Мясо!G69</f>
        <v>25463.583835845344</v>
      </c>
      <c r="H54" s="22">
        <f>Мясо!H69</f>
        <v>23138.862664867269</v>
      </c>
      <c r="I54" s="22">
        <f>Мясо!I69</f>
        <v>27675.421647961342</v>
      </c>
      <c r="J54" s="22">
        <f>Мясо!J69</f>
        <v>27631.576891379456</v>
      </c>
      <c r="K54" s="22">
        <f>Мясо!K69</f>
        <v>28101.711734462773</v>
      </c>
      <c r="L54" s="22">
        <f>Мясо!L69</f>
        <v>31311.510657615669</v>
      </c>
      <c r="M54" s="22">
        <f>Мясо!M69</f>
        <v>29880.686247883415</v>
      </c>
      <c r="N54" s="22">
        <f>Мясо!N69</f>
        <v>28053.092923610209</v>
      </c>
      <c r="O54" s="22">
        <f>Мясо!O69</f>
        <v>32827.300427172035</v>
      </c>
      <c r="P54" s="22">
        <f>Мясо!P69</f>
        <v>30277.622941170102</v>
      </c>
      <c r="Q54" s="22">
        <f>Мясо!Q69</f>
        <v>36335.440266544021</v>
      </c>
      <c r="R54" s="22">
        <f>Мясо!R69</f>
        <v>26204.9</v>
      </c>
      <c r="S54" s="22">
        <f>Мясо!S69</f>
        <v>27588.800000000003</v>
      </c>
      <c r="T54" s="22">
        <f>Мясо!T69</f>
        <v>28386.2</v>
      </c>
      <c r="U54" s="22">
        <f>Мясо!U69</f>
        <v>27944.000000000004</v>
      </c>
      <c r="V54" s="22">
        <f>Мясо!V69</f>
        <v>28391.7</v>
      </c>
      <c r="W54" s="22">
        <f>Мясо!W69</f>
        <v>28480.800000000003</v>
      </c>
      <c r="X54" s="22">
        <f>Мясо!X69</f>
        <v>37349.824253507708</v>
      </c>
      <c r="Y54" s="22">
        <f>Мясо!Y69</f>
        <v>36544.184317611252</v>
      </c>
      <c r="Z54" s="22">
        <f>Мясо!Z69</f>
        <v>37084.671546568061</v>
      </c>
      <c r="AA54" s="22">
        <f>Мясо!AA69</f>
        <v>29927.733295200003</v>
      </c>
      <c r="AB54" s="22">
        <f>Мясо!AB69</f>
        <v>29131.696724400004</v>
      </c>
      <c r="AC54" s="22">
        <f>Мясо!AC69</f>
        <v>34156.705845360011</v>
      </c>
      <c r="AD54" s="22">
        <f>Мясо!AD69</f>
        <v>23256.216199999999</v>
      </c>
      <c r="AE54" s="22">
        <f>Мясо!AE69</f>
        <v>24562.614199999996</v>
      </c>
      <c r="AF54" s="22">
        <f>Мясо!AF69</f>
        <v>30613.523991999995</v>
      </c>
      <c r="AG54" s="22">
        <f>Мясо!AG69</f>
        <v>30410.400000000001</v>
      </c>
      <c r="AH54" s="22">
        <f>Мясо!AH69</f>
        <v>31618.400000000001</v>
      </c>
      <c r="AI54" s="22">
        <f>Мясо!AI69</f>
        <v>32282.799999999999</v>
      </c>
      <c r="AJ54" s="22">
        <f>Мясо!AJ69</f>
        <v>34276</v>
      </c>
      <c r="AK54" s="22">
        <f>Мясо!AK69</f>
        <v>31563.999999999996</v>
      </c>
      <c r="AL54" s="22">
        <f>Мясо!AL69</f>
        <v>34150</v>
      </c>
      <c r="AM54" s="22">
        <f>Мясо!AM69</f>
        <v>33253.360000000001</v>
      </c>
      <c r="AN54" s="22">
        <f>Мясо!AN69</f>
        <v>33824.479999999996</v>
      </c>
      <c r="AO54" s="22">
        <f>Мясо!AO69</f>
        <v>40807.75</v>
      </c>
      <c r="AP54" s="22">
        <f>Мясо!AP69</f>
        <v>34311.755000000005</v>
      </c>
      <c r="AQ54" s="22">
        <f>Мясо!AQ69</f>
        <v>34105.286458333336</v>
      </c>
      <c r="AR54" s="22">
        <f>Мясо!AR69</f>
        <v>37920.891203703701</v>
      </c>
      <c r="AS54" s="22">
        <f>Мясо!AS69</f>
        <v>39113.573485427012</v>
      </c>
      <c r="AT54" s="22">
        <f>Мясо!AT69</f>
        <v>40737.055713986469</v>
      </c>
      <c r="AU54" s="22">
        <f>Мясо!AU69</f>
        <v>41565.362973455587</v>
      </c>
      <c r="AV54" s="22">
        <f>Мясо!AV69</f>
        <v>42410.574462709774</v>
      </c>
      <c r="AW54" s="22">
        <f>Мясо!AW69</f>
        <v>41130.477769190882</v>
      </c>
      <c r="AX54" s="22">
        <f>Мясо!AX69</f>
        <v>39901.063436115146</v>
      </c>
      <c r="AY54" s="22">
        <f>Мясо!AY69</f>
        <v>38708.531533031695</v>
      </c>
      <c r="AZ54" s="22">
        <f>Мясо!AZ69</f>
        <v>36780.604956380106</v>
      </c>
      <c r="BA54" s="22">
        <f>Мясо!BA69</f>
        <v>48990.806608506813</v>
      </c>
      <c r="BB54" s="22">
        <f>Мясо!BB69</f>
        <v>37913.932152904679</v>
      </c>
      <c r="BC54" s="22">
        <f>Мясо!BC69</f>
        <v>39802.644035156249</v>
      </c>
      <c r="BD54" s="22">
        <f>Мясо!BD69</f>
        <v>44257.947434895839</v>
      </c>
      <c r="BE54" s="22">
        <f>Мясо!BE69</f>
        <v>45650.434962951025</v>
      </c>
      <c r="BF54" s="22">
        <f>Мясо!BF69</f>
        <v>47546.286419740652</v>
      </c>
      <c r="BG54" s="22">
        <f>Мясо!BG69</f>
        <v>48513.557571163939</v>
      </c>
      <c r="BH54" s="22">
        <f>Мясо!BH69</f>
        <v>49500.568950167282</v>
      </c>
      <c r="BI54" s="22">
        <f>Мясо!BI69</f>
        <v>48005.86173810505</v>
      </c>
      <c r="BJ54" s="22">
        <f>Мясо!BJ69</f>
        <v>46570.185885961895</v>
      </c>
      <c r="BK54" s="22">
        <f>Мясо!BK69</f>
        <v>45177.580309383033</v>
      </c>
      <c r="BL54" s="22">
        <f>Мясо!BL69</f>
        <v>43943.776025587198</v>
      </c>
      <c r="BM54" s="22">
        <f>Мясо!BM69</f>
        <v>57184.93505855184</v>
      </c>
      <c r="BN54" s="22">
        <f>Мясо!BN69</f>
        <v>44250.813704265653</v>
      </c>
      <c r="BO54" s="22">
        <f>Мясо!BO69</f>
        <v>46456.026272975978</v>
      </c>
      <c r="BP54" s="22">
        <f>Мясо!BP69</f>
        <v>51658.289417931643</v>
      </c>
      <c r="BQ54" s="22">
        <f>Мясо!BQ69</f>
        <v>53284.060748511991</v>
      </c>
      <c r="BR54" s="22">
        <f>Мясо!BR69</f>
        <v>55497.979946366664</v>
      </c>
      <c r="BS54" s="22">
        <f>Мясо!BS69</f>
        <v>56627.530557517006</v>
      </c>
      <c r="BT54" s="22">
        <f>Мясо!BT69</f>
        <v>57780.13322195613</v>
      </c>
      <c r="BU54" s="22">
        <f>Мясо!BU69</f>
        <v>56034.831095402726</v>
      </c>
      <c r="BV54" s="22">
        <f>Мясо!BV69</f>
        <v>54358.286162540637</v>
      </c>
      <c r="BW54" s="22">
        <f>Мясо!BW69</f>
        <v>53981.298008770311</v>
      </c>
      <c r="BX54" s="22">
        <f>Мясо!BX69</f>
        <v>51289.733108331784</v>
      </c>
      <c r="BY54" s="22">
        <f>Мясо!BY69</f>
        <v>66770.431469352086</v>
      </c>
      <c r="BZ54" s="22">
        <f>Мясо!BZ69</f>
        <v>50069.756231849111</v>
      </c>
      <c r="CA54" s="22">
        <f>Мясо!CA69</f>
        <v>52574.659175204033</v>
      </c>
      <c r="CB54" s="22">
        <f>Мясо!CB69</f>
        <v>58479.884449487465</v>
      </c>
      <c r="CC54" s="22">
        <f>Мясо!CC69</f>
        <v>60336.387430846677</v>
      </c>
      <c r="CD54" s="22">
        <f>Мясо!CD69</f>
        <v>62859.425939396322</v>
      </c>
      <c r="CE54" s="22">
        <f>Мясо!CE69</f>
        <v>64154.794188769396</v>
      </c>
      <c r="CF54" s="22">
        <f>Мясо!CF69</f>
        <v>65476.916566630243</v>
      </c>
      <c r="CG54" s="22">
        <f>Мясо!CG69</f>
        <v>63513.5844163703</v>
      </c>
      <c r="CH54" s="22">
        <f>Мясо!CH69</f>
        <v>63129.713839991004</v>
      </c>
      <c r="CI54" s="22">
        <f>Мясо!CI69</f>
        <v>61254.835831420933</v>
      </c>
      <c r="CJ54" s="22">
        <f>Мясо!CJ69</f>
        <v>58213.38177614806</v>
      </c>
      <c r="CK54" s="22">
        <f>Мясо!CK69</f>
        <v>75740.676924916537</v>
      </c>
      <c r="CN54" s="10"/>
      <c r="CO54" s="10">
        <f>SUMIF($F$2:$CK$2,CO$3,$F54:$CK54)</f>
        <v>345138.2151638451</v>
      </c>
      <c r="CP54" s="10">
        <f t="shared" ref="CP54:CP59" si="223">SUMIF($L$2:$CK$2,CP$3,$L54:$CK54)</f>
        <v>371191.21598264703</v>
      </c>
      <c r="CQ54" s="10">
        <f t="shared" ref="CQ54:CS71" si="224">SUMIF($L$2:$CK$2,CQ$3,$L54:$CK54)</f>
        <v>380619.54439199995</v>
      </c>
      <c r="CR54" s="10">
        <f t="shared" si="224"/>
        <v>475675.98360084055</v>
      </c>
      <c r="CS54" s="10">
        <f t="shared" si="224"/>
        <v>554067.71054456872</v>
      </c>
      <c r="CT54" s="10">
        <f t="shared" si="222"/>
        <v>647989.41371392261</v>
      </c>
      <c r="CU54" s="10">
        <f t="shared" si="222"/>
        <v>735804.01677103015</v>
      </c>
      <c r="CV54" s="8"/>
      <c r="CW54" s="210">
        <f>Мясо!CO7/Свод_ОФР!CO$8</f>
        <v>1.000014312055272</v>
      </c>
      <c r="CX54" s="210">
        <f>Мясо!CP7/Свод_ОФР!CP$8</f>
        <v>1.000048154237551</v>
      </c>
      <c r="CY54" s="210">
        <f>Мясо!CQ7/Свод_ОФР!CQ$8</f>
        <v>0.97047765619889925</v>
      </c>
      <c r="CZ54" s="210">
        <f>Мясо!CR7/Свод_ОФР!CR$8</f>
        <v>0.96188995345918726</v>
      </c>
      <c r="DA54" s="210">
        <f>Мясо!CS7/Свод_ОФР!CS$8</f>
        <v>0.96109872662580886</v>
      </c>
      <c r="DB54" s="210">
        <f>Мясо!CT7/Свод_ОФР!CT$8</f>
        <v>0.96129430010394434</v>
      </c>
      <c r="DC54" s="210">
        <f>Мясо!CU7/Свод_ОФР!CU$8</f>
        <v>0.96100163638534353</v>
      </c>
    </row>
    <row r="55" spans="2:107" outlineLevel="1" x14ac:dyDescent="0.2">
      <c r="B55" s="95" t="s">
        <v>282</v>
      </c>
      <c r="C55" s="97" t="s">
        <v>4</v>
      </c>
      <c r="D55" s="103"/>
      <c r="E55" s="157"/>
      <c r="F55" s="22">
        <f>Пицца!F44+Снеки!F44+'Мясная гастрономия'!F44+Сыр!F44+'Кондитерские изделия'!F44</f>
        <v>0</v>
      </c>
      <c r="G55" s="22">
        <f>Пицца!G44+Снеки!G44+'Мясная гастрономия'!G44+Сыр!G44+'Кондитерские изделия'!G44</f>
        <v>0</v>
      </c>
      <c r="H55" s="22">
        <f>Пицца!H44+Снеки!H44+'Мясная гастрономия'!H44+Сыр!H44+'Кондитерские изделия'!H44</f>
        <v>0</v>
      </c>
      <c r="I55" s="22">
        <f>Пицца!I44+Снеки!I44+'Мясная гастрономия'!I44+Сыр!I44+'Кондитерские изделия'!I44</f>
        <v>0</v>
      </c>
      <c r="J55" s="22">
        <f>Пицца!J44+Снеки!J44+'Мясная гастрономия'!J44+Сыр!J44+'Кондитерские изделия'!J44</f>
        <v>0</v>
      </c>
      <c r="K55" s="22">
        <f>Пицца!K44+Снеки!K44+'Мясная гастрономия'!K44+Сыр!K44+'Кондитерские изделия'!K44</f>
        <v>0</v>
      </c>
      <c r="L55" s="22">
        <f>Пицца!L44+Снеки!L44+'Мясная гастрономия'!L44+Сыр!L44+'Кондитерские изделия'!L44</f>
        <v>35.80997</v>
      </c>
      <c r="M55" s="22">
        <f>Пицца!M44+Снеки!M44+'Мясная гастрономия'!M44+Сыр!M44+'Кондитерские изделия'!M44</f>
        <v>64.006129999999999</v>
      </c>
      <c r="N55" s="22">
        <f>Пицца!N44+Снеки!N44+'Мясная гастрономия'!N44+Сыр!N44+'Кондитерские изделия'!N44</f>
        <v>102.84898999999999</v>
      </c>
      <c r="O55" s="22">
        <f>Пицца!O44+Снеки!O44+'Мясная гастрономия'!O44+Сыр!O44+'Кондитерские изделия'!O44</f>
        <v>63.135349999999995</v>
      </c>
      <c r="P55" s="22">
        <f>Пицца!P44+Снеки!P44+'Мясная гастрономия'!P44+Сыр!P44+'Кондитерские изделия'!P44</f>
        <v>54.215029999999999</v>
      </c>
      <c r="Q55" s="22">
        <f>Пицца!Q44+Снеки!Q44+'Мясная гастрономия'!Q44+Сыр!Q44+'Кондитерские изделия'!Q44</f>
        <v>61.460029999999996</v>
      </c>
      <c r="R55" s="22">
        <f>Пицца!R44+Снеки!R44+'Мясная гастрономия'!R44+Сыр!R44+'Кондитерские изделия'!R44</f>
        <v>65.199999999999989</v>
      </c>
      <c r="S55" s="22">
        <f>Пицца!S44+Снеки!S44+'Мясная гастрономия'!S44+Сыр!S44+'Кондитерские изделия'!S44</f>
        <v>107.2</v>
      </c>
      <c r="T55" s="22">
        <f>Пицца!T44+Снеки!T44+'Мясная гастрономия'!T44+Сыр!T44+'Кондитерские изделия'!T44</f>
        <v>93.5</v>
      </c>
      <c r="U55" s="22">
        <f>Пицца!U44+Снеки!U44+'Мясная гастрономия'!U44+Сыр!U44+'Кондитерские изделия'!U44</f>
        <v>700.9</v>
      </c>
      <c r="V55" s="22">
        <f>Пицца!V44+Снеки!V44+'Мясная гастрономия'!V44+Сыр!V44+'Кондитерские изделия'!V44</f>
        <v>601.24532600000009</v>
      </c>
      <c r="W55" s="22">
        <f>Пицца!W44+Снеки!W44+'Мясная гастрономия'!W44+Сыр!W44+'Кондитерские изделия'!W44</f>
        <v>778.55364200000008</v>
      </c>
      <c r="X55" s="22">
        <f>Пицца!X44+Снеки!X44+'Мясная гастрономия'!X44+Сыр!X44+'Кондитерские изделия'!X44</f>
        <v>1015.79098202</v>
      </c>
      <c r="Y55" s="22">
        <f>Пицца!Y44+Снеки!Y44+'Мясная гастрономия'!Y44+Сыр!Y44+'Кондитерские изделия'!Y44</f>
        <v>738.36312120000002</v>
      </c>
      <c r="Z55" s="22">
        <f>Пицца!Z44+Снеки!Z44+'Мясная гастрономия'!Z44+Сыр!Z44+'Кондитерские изделия'!Z44</f>
        <v>604.87258312000006</v>
      </c>
      <c r="AA55" s="22">
        <f>Пицца!AA44+Снеки!AA44+'Мясная гастрономия'!AA44+Сыр!AA44+'Кондитерские изделия'!AA44</f>
        <v>684.32112256000005</v>
      </c>
      <c r="AB55" s="22">
        <f>Пицца!AB44+Снеки!AB44+'Мясная гастрономия'!AB44+Сыр!AB44+'Кондитерские изделия'!AB44</f>
        <v>475.56875797999999</v>
      </c>
      <c r="AC55" s="22">
        <f>Пицца!AC44+Снеки!AC44+'Мясная гастрономия'!AC44+Сыр!AC44+'Кондитерские изделия'!AC44</f>
        <v>859.04469161999998</v>
      </c>
      <c r="AD55" s="22">
        <f>Пицца!AD44+Снеки!AD44+'Мясная гастрономия'!AD44+Сыр!AD44+'Кондитерские изделия'!AD44</f>
        <v>312.45843399999995</v>
      </c>
      <c r="AE55" s="22">
        <f>Пицца!AE44+Снеки!AE44+'Мясная гастрономия'!AE44+Сыр!AE44+'Кондитерские изделия'!AE44</f>
        <v>370.17458199999999</v>
      </c>
      <c r="AF55" s="22">
        <f>Пицца!AF44+Снеки!AF44+'Мясная гастрономия'!AF44+Сыр!AF44+'Кондитерские изделия'!AF44</f>
        <v>454.75954999999993</v>
      </c>
      <c r="AG55" s="22">
        <f>Пицца!AG44+Снеки!AG44+'Мясная гастрономия'!AG44+Сыр!AG44+'Кондитерские изделия'!AG44</f>
        <v>866.05594324999993</v>
      </c>
      <c r="AH55" s="22">
        <f>Пицца!AH44+Снеки!AH44+'Мясная гастрономия'!AH44+Сыр!AH44+'Кондитерские изделия'!AH44</f>
        <v>1289.5609100987499</v>
      </c>
      <c r="AI55" s="22">
        <f>Пицца!AI44+Снеки!AI44+'Мясная гастрономия'!AI44+Сыр!AI44+'Кондитерские изделия'!AI44</f>
        <v>1875.9013503957435</v>
      </c>
      <c r="AJ55" s="22">
        <f>Пицца!AJ44+Снеки!AJ44+'Мясная гастрономия'!AJ44+Сыр!AJ44+'Кондитерские изделия'!AJ44</f>
        <v>2058.4740121815476</v>
      </c>
      <c r="AK55" s="22">
        <f>Пицца!AK44+Снеки!AK44+'Мясная гастрономия'!AK44+Сыр!AK44+'Кондитерские изделия'!AK44</f>
        <v>2356.551720027971</v>
      </c>
      <c r="AL55" s="22">
        <f>Пицца!AL44+Снеки!AL44+'Мясная гастрономия'!AL44+Сыр!AL44+'Кондитерские изделия'!AL44</f>
        <v>2480.910977786903</v>
      </c>
      <c r="AM55" s="22">
        <f>Пицца!AM44+Снеки!AM44+'Мясная гастрономия'!AM44+Сыр!AM44+'Кондитерские изделия'!AM44</f>
        <v>2529.5248566459268</v>
      </c>
      <c r="AN55" s="22">
        <f>Пицца!AN44+Снеки!AN44+'Мясная гастрономия'!AN44+Сыр!AN44+'Кондитерские изделия'!AN44</f>
        <v>2581.6040958295039</v>
      </c>
      <c r="AO55" s="22">
        <f>Пицца!AO44+Снеки!AO44+'Мясная гастрономия'!AO44+Сыр!AO44+'Кондитерские изделия'!AO44</f>
        <v>2656.3110686020741</v>
      </c>
      <c r="AP55" s="22">
        <f>Пицца!AP44+Снеки!AP44+'Мясная гастрономия'!AP44+Сыр!AP44+'Кондитерские изделия'!AP44</f>
        <v>2821.5794928881146</v>
      </c>
      <c r="AQ55" s="22">
        <f>Пицца!AQ44+Снеки!AQ44+'Мясная гастрономия'!AQ44+Сыр!AQ44+'Кондитерские изделия'!AQ44</f>
        <v>2886.6193245611857</v>
      </c>
      <c r="AR55" s="22">
        <f>Пицца!AR44+Снеки!AR44+'Мясная гастрономия'!AR44+Сыр!AR44+'Кондитерские изделия'!AR44</f>
        <v>2964.0801619174131</v>
      </c>
      <c r="AS55" s="22">
        <f>Пицца!AS44+Снеки!AS44+'Мясная гастрономия'!AS44+Сыр!AS44+'Кондитерские изделия'!AS44</f>
        <v>3047.9353195994609</v>
      </c>
      <c r="AT55" s="22">
        <f>Пицца!AT44+Снеки!AT44+'Мясная гастрономия'!AT44+Сыр!AT44+'Кондитерские изделия'!AT44</f>
        <v>3075.2949733947517</v>
      </c>
      <c r="AU55" s="22">
        <f>Пицца!AU44+Снеки!AU44+'Мясная гастрономия'!AU44+Сыр!AU44+'Кондитерские изделия'!AU44</f>
        <v>3096.5208748973268</v>
      </c>
      <c r="AV55" s="22">
        <f>Пицца!AV44+Снеки!AV44+'Мясная гастрономия'!AV44+Сыр!AV44+'Кондитерские изделия'!AV44</f>
        <v>3118.6380049117042</v>
      </c>
      <c r="AW55" s="22">
        <f>Пицца!AW44+Снеки!AW44+'Мясная гастрономия'!AW44+Сыр!AW44+'Кондитерские изделия'!AW44</f>
        <v>3141.7242968530472</v>
      </c>
      <c r="AX55" s="22">
        <f>Пицца!AX44+Снеки!AX44+'Мясная гастрономия'!AX44+Сыр!AX44+'Кондитерские изделия'!AX44</f>
        <v>3165.8653641337542</v>
      </c>
      <c r="AY55" s="22">
        <f>Пицца!AY44+Снеки!AY44+'Мясная гастрономия'!AY44+Сыр!AY44+'Кондитерские изделия'!AY44</f>
        <v>3198.5975854580852</v>
      </c>
      <c r="AZ55" s="22">
        <f>Пицца!AZ44+Снеки!AZ44+'Мясная гастрономия'!AZ44+Сыр!AZ44+'Кондитерские изделия'!AZ44</f>
        <v>3232.7924605048638</v>
      </c>
      <c r="BA55" s="22">
        <f>Пицца!BA44+Снеки!BA44+'Мясная гастрономия'!BA44+Сыр!BA44+'Кондитерские изделия'!BA44</f>
        <v>3334.3297139828492</v>
      </c>
      <c r="BB55" s="22">
        <f>Пицца!BB44+Снеки!BB44+'Мясная гастрономия'!BB44+Сыр!BB44+'Кондитерские изделия'!BB44</f>
        <v>3385.7229709160292</v>
      </c>
      <c r="BC55" s="22">
        <f>Пицца!BC44+Снеки!BC44+'Мясная гастрономия'!BC44+Сыр!BC44+'Кондитерские изделия'!BC44</f>
        <v>3394.3366361497547</v>
      </c>
      <c r="BD55" s="22">
        <f>Пицца!BD44+Снеки!BD44+'Мясная гастрономия'!BD44+Сыр!BD44+'Кондитерские изделия'!BD44</f>
        <v>3489.9792534770081</v>
      </c>
      <c r="BE55" s="22">
        <f>Пицца!BE44+Снеки!BE44+'Мясная гастрономия'!BE44+Сыр!BE44+'Кондитерские изделия'!BE44</f>
        <v>3593.5946585395222</v>
      </c>
      <c r="BF55" s="22">
        <f>Пицца!BF44+Снеки!BF44+'Мясная гастрономия'!BF44+Сыр!BF44+'Кондитерские изделия'!BF44</f>
        <v>3626.570222156864</v>
      </c>
      <c r="BG55" s="22">
        <f>Пицца!BG44+Снеки!BG44+'Мясная гастрономия'!BG44+Сыр!BG44+'Кондитерские изделия'!BG44</f>
        <v>3649.5340065840383</v>
      </c>
      <c r="BH55" s="22">
        <f>Пицца!BH44+Снеки!BH44+'Мясная гастрономия'!BH44+Сыр!BH44+'Кондитерские изделия'!BH44</f>
        <v>3673.5621101542597</v>
      </c>
      <c r="BI55" s="22">
        <f>Пицца!BI44+Снеки!BI44+'Мясная гастрономия'!BI44+Сыр!BI44+'Кондитерские изделия'!BI44</f>
        <v>3698.7513839309631</v>
      </c>
      <c r="BJ55" s="22">
        <f>Пицца!BJ44+Снеки!BJ44+'Мясная гастрономия'!BJ44+Сыр!BJ44+'Кондитерские изделия'!BJ44</f>
        <v>3725.2082730066109</v>
      </c>
      <c r="BK55" s="22">
        <f>Пицца!BK44+Снеки!BK44+'Мясная гастрономия'!BK44+Сыр!BK44+'Кондитерские изделия'!BK44</f>
        <v>3764.6551305010239</v>
      </c>
      <c r="BL55" s="22">
        <f>Пицца!BL44+Снеки!BL44+'Мясная гастрономия'!BL44+Сыр!BL44+'Кондитерские изделия'!BL44</f>
        <v>3805.9056736075104</v>
      </c>
      <c r="BM55" s="22">
        <f>Пицца!BM44+Снеки!BM44+'Мясная гастрономия'!BM44+Сыр!BM44+'Кондитерские изделия'!BM44</f>
        <v>3931.3091366338322</v>
      </c>
      <c r="BN55" s="22">
        <f>Пицца!BN44+Снеки!BN44+'Мясная гастрономия'!BN44+Сыр!BN44+'Кондитерские изделия'!BN44</f>
        <v>3952.9613824651565</v>
      </c>
      <c r="BO55" s="22">
        <f>Пицца!BO44+Снеки!BO44+'Мясная гастрономия'!BO44+Сыр!BO44+'Кондитерские изделия'!BO44</f>
        <v>3963.123721042763</v>
      </c>
      <c r="BP55" s="22">
        <f>Пицца!BP44+Снеки!BP44+'Мясная гастрономия'!BP44+Сыр!BP44+'Кондитерские изделия'!BP44</f>
        <v>4078.8249258128767</v>
      </c>
      <c r="BQ55" s="22">
        <f>Пицца!BQ44+Снеки!BQ44+'Мясная гастрономия'!BQ44+Сыр!BQ44+'Кондитерские изделия'!BQ44</f>
        <v>4204.2370618801051</v>
      </c>
      <c r="BR55" s="22">
        <f>Пицца!BR44+Снеки!BR44+'Мясная гастрономия'!BR44+Сыр!BR44+'Кондитерские изделия'!BR44</f>
        <v>4243.4524610399385</v>
      </c>
      <c r="BS55" s="22">
        <f>Пицца!BS44+Снеки!BS44+'Мясная гастрономия'!BS44+Сыр!BS44+'Кондитерские изделия'!BS44</f>
        <v>4271.1026771050574</v>
      </c>
      <c r="BT55" s="22">
        <f>Пицца!BT44+Снеки!BT44+'Мясная гастрономия'!BT44+Сыр!BT44+'Кондитерские изделия'!BT44</f>
        <v>4300.0493866785473</v>
      </c>
      <c r="BU55" s="22">
        <f>Пицца!BU44+Снеки!BU44+'Мясная гастрономия'!BU44+Сыр!BU44+'Кондитерские изделия'!BU44</f>
        <v>4330.4107421077642</v>
      </c>
      <c r="BV55" s="22">
        <f>Пицца!BV44+Снеки!BV44+'Мясная гастрономия'!BV44+Сыр!BV44+'Кондитерские изделия'!BV44</f>
        <v>4362.3166005731773</v>
      </c>
      <c r="BW55" s="22">
        <f>Пицца!BW44+Снеки!BW44+'Мясная гастрономия'!BW44+Сыр!BW44+'Кондитерские изделия'!BW44</f>
        <v>4409.3864156486161</v>
      </c>
      <c r="BX55" s="22">
        <f>Пицца!BX44+Снеки!BX44+'Мясная гастрономия'!BX44+Сыр!BX44+'Кондитерские изделия'!BX44</f>
        <v>4458.6396588916596</v>
      </c>
      <c r="BY55" s="22">
        <f>Пицца!BY44+Снеки!BY44+'Мясная гастрономия'!BY44+Сыр!BY44+'Кондитерские изделия'!BY44</f>
        <v>4610.5421153733332</v>
      </c>
      <c r="BZ55" s="22">
        <f>Пицца!BZ44+Снеки!BZ44+'Мясная гастрономия'!BZ44+Сыр!BZ44+'Кондитерские изделия'!BZ44</f>
        <v>4459.2182270797111</v>
      </c>
      <c r="CA55" s="22">
        <f>Пицца!CA44+Снеки!CA44+'Мясная гастрономия'!CA44+Сыр!CA44+'Кондитерские изделия'!CA44</f>
        <v>4485.7806744616228</v>
      </c>
      <c r="CB55" s="22">
        <f>Пицца!CB44+Снеки!CB44+'Мясная гастрономия'!CB44+Сыр!CB44+'Кондитерские изделия'!CB44</f>
        <v>4626.322372853223</v>
      </c>
      <c r="CC55" s="22">
        <f>Пицца!CC44+Снеки!CC44+'Мясная гастрономия'!CC44+Сыр!CC44+'Кондитерские изделия'!CC44</f>
        <v>4778.7023678460919</v>
      </c>
      <c r="CD55" s="22">
        <f>Пицца!CD44+Снеки!CD44+'Мясная гастрономия'!CD44+Сыр!CD44+'Кондитерские изделия'!CD44</f>
        <v>4825.9131719768066</v>
      </c>
      <c r="CE55" s="22">
        <f>Пицца!CE44+Снеки!CE44+'Мясная гастрономия'!CE44+Сыр!CE44+'Кондитерские изделия'!CE44</f>
        <v>4874.9579887769441</v>
      </c>
      <c r="CF55" s="22">
        <f>Пицца!CF44+Снеки!CF44+'Мясная гастрономия'!CF44+Сыр!CF44+'Кондитерские изделия'!CF44</f>
        <v>4925.9759383673018</v>
      </c>
      <c r="CG55" s="22">
        <f>Пицца!CG44+Снеки!CG44+'Мясная гастрономия'!CG44+Сыр!CG44+'Кондитерские изделия'!CG44</f>
        <v>4979.1192805473675</v>
      </c>
      <c r="CH55" s="22">
        <f>Пицца!CH44+Снеки!CH44+'Мясная гастрономия'!CH44+Сыр!CH44+'Кондитерские изделия'!CH44</f>
        <v>5034.5547145727951</v>
      </c>
      <c r="CI55" s="22">
        <f>Пицца!CI44+Снеки!CI44+'Мясная гастрономия'!CI44+Сыр!CI44+'Кондитерские изделия'!CI44</f>
        <v>5092.4648086434509</v>
      </c>
      <c r="CJ55" s="22">
        <f>Пицца!CJ44+Снеки!CJ44+'Мясная гастрономия'!CJ44+Сыр!CJ44+'Кондитерские изделия'!CJ44</f>
        <v>5153.0495720679755</v>
      </c>
      <c r="CK55" s="22">
        <f>Пицца!CK44+Снеки!CK44+'Мясная гастрономия'!CK44+Сыр!CK44+'Кондитерские изделия'!CK44</f>
        <v>5338.8774982017421</v>
      </c>
      <c r="CN55" s="10"/>
      <c r="CO55" s="10">
        <f t="shared" ref="CO55" si="225">SUMIF($F$2:$CK$2,CO$3,$F55:$CK55)</f>
        <v>381.47550000000001</v>
      </c>
      <c r="CP55" s="10">
        <f t="shared" si="223"/>
        <v>6724.5602264999998</v>
      </c>
      <c r="CQ55" s="10">
        <f t="shared" si="224"/>
        <v>19832.28750081842</v>
      </c>
      <c r="CR55" s="10">
        <f t="shared" si="224"/>
        <v>37083.977573102558</v>
      </c>
      <c r="CS55" s="10">
        <f t="shared" si="224"/>
        <v>43739.129455657414</v>
      </c>
      <c r="CT55" s="10">
        <f t="shared" si="222"/>
        <v>51185.047148618993</v>
      </c>
      <c r="CU55" s="10">
        <f t="shared" si="222"/>
        <v>58574.93661539504</v>
      </c>
      <c r="CV55" s="10"/>
      <c r="CW55" s="210">
        <f>(Пицца!CM7+Снеки!CM7+'Мясная гастрономия'!CM7+Сыр!CM7+'Кондитерские изделия'!CM7)/Свод_ОФР!CO$8</f>
        <v>-1.3053671599851609E-5</v>
      </c>
      <c r="CX55" s="210">
        <f>(Пицца!CN7+Снеки!CN7+'Мясная гастрономия'!CN7+Сыр!CN7+'Кондитерские изделия'!CN7)/Свод_ОФР!CP$8</f>
        <v>1.2723796564262289E-2</v>
      </c>
      <c r="CY55" s="210">
        <f>(Пицца!CO7+Снеки!CO7+'Мясная гастрономия'!CO7+Сыр!CO7+'Кондитерские изделия'!CO7)/Свод_ОФР!CQ$8</f>
        <v>3.3323337776142922E-2</v>
      </c>
      <c r="CZ55" s="210">
        <f>(Пицца!CP7+Снеки!CP7+'Мясная гастрономия'!CP7+Сыр!CP7+'Кондитерские изделия'!CP7)/Свод_ОФР!CR$8</f>
        <v>3.8110046540812778E-2</v>
      </c>
      <c r="DA55" s="210">
        <f>(Пицца!CQ7+Снеки!CQ7+'Мясная гастрономия'!CQ7+Сыр!CQ7+'Кондитерские изделия'!CQ7)/Свод_ОФР!CS$8</f>
        <v>3.8901273374190679E-2</v>
      </c>
      <c r="DB55" s="210">
        <f>(Пицца!CR7+Снеки!CR7+'Мясная гастрономия'!CR7+Сыр!CR7+'Кондитерские изделия'!CR7)/Свод_ОФР!CT$8</f>
        <v>3.8705699896055157E-2</v>
      </c>
      <c r="DC55" s="210">
        <f>(Пицца!CS7+Снеки!CS7+'Мясная гастрономия'!CS7+Сыр!CS7+'Кондитерские изделия'!CS7)/Свод_ОФР!CU$8</f>
        <v>3.8998363614655467E-2</v>
      </c>
    </row>
    <row r="56" spans="2:107" x14ac:dyDescent="0.2">
      <c r="B56" s="96" t="s">
        <v>10</v>
      </c>
      <c r="C56" s="96"/>
      <c r="D56" s="96"/>
      <c r="E56" s="12"/>
      <c r="F56" s="21">
        <f t="shared" ref="F56:AK56" si="226">F57+F60+F63+F66+F67</f>
        <v>8010.1795480159544</v>
      </c>
      <c r="G56" s="21">
        <f t="shared" si="226"/>
        <v>6507.9064445533186</v>
      </c>
      <c r="H56" s="21">
        <f t="shared" si="226"/>
        <v>7176.9835683948659</v>
      </c>
      <c r="I56" s="21">
        <f t="shared" si="226"/>
        <v>7268.0284915856473</v>
      </c>
      <c r="J56" s="21">
        <f t="shared" si="226"/>
        <v>6983.0295067398874</v>
      </c>
      <c r="K56" s="21">
        <f t="shared" si="226"/>
        <v>7475.7177418792189</v>
      </c>
      <c r="L56" s="21">
        <f t="shared" si="226"/>
        <v>7689.1477803551288</v>
      </c>
      <c r="M56" s="21">
        <f t="shared" si="226"/>
        <v>6528.8069814119899</v>
      </c>
      <c r="N56" s="21">
        <f t="shared" si="226"/>
        <v>6144.8377110669917</v>
      </c>
      <c r="O56" s="21">
        <f t="shared" si="226"/>
        <v>8918.7430654654854</v>
      </c>
      <c r="P56" s="21">
        <f t="shared" si="226"/>
        <v>6580.5185430808751</v>
      </c>
      <c r="Q56" s="21">
        <f t="shared" si="226"/>
        <v>7565.0611174506294</v>
      </c>
      <c r="R56" s="21">
        <f t="shared" si="226"/>
        <v>7263.439899168</v>
      </c>
      <c r="S56" s="21">
        <f t="shared" si="226"/>
        <v>4891.4550899200003</v>
      </c>
      <c r="T56" s="21">
        <f t="shared" si="226"/>
        <v>5340.8549532000006</v>
      </c>
      <c r="U56" s="21">
        <f t="shared" si="226"/>
        <v>6121.2228928120003</v>
      </c>
      <c r="V56" s="21">
        <f t="shared" si="226"/>
        <v>4971.4508334960001</v>
      </c>
      <c r="W56" s="21">
        <f t="shared" si="226"/>
        <v>5350.0161533720002</v>
      </c>
      <c r="X56" s="21">
        <f t="shared" si="226"/>
        <v>8572.1792033720012</v>
      </c>
      <c r="Y56" s="21">
        <f t="shared" si="226"/>
        <v>8417.1299923000006</v>
      </c>
      <c r="Z56" s="21">
        <f t="shared" si="226"/>
        <v>8477.5431575919993</v>
      </c>
      <c r="AA56" s="21">
        <f t="shared" si="226"/>
        <v>7575.6053274759997</v>
      </c>
      <c r="AB56" s="21">
        <f t="shared" si="226"/>
        <v>7453.8191248800003</v>
      </c>
      <c r="AC56" s="21">
        <f t="shared" si="226"/>
        <v>8077.1310778720017</v>
      </c>
      <c r="AD56" s="21">
        <f t="shared" si="226"/>
        <v>7156.5114276000004</v>
      </c>
      <c r="AE56" s="21">
        <f t="shared" si="226"/>
        <v>7274.6724316</v>
      </c>
      <c r="AF56" s="21">
        <f t="shared" si="226"/>
        <v>8079.8577824000004</v>
      </c>
      <c r="AG56" s="21">
        <f t="shared" si="226"/>
        <v>8109.4034124999998</v>
      </c>
      <c r="AH56" s="21">
        <f t="shared" si="226"/>
        <v>8789.7578392274991</v>
      </c>
      <c r="AI56" s="21">
        <f t="shared" si="226"/>
        <v>9416.5626555729377</v>
      </c>
      <c r="AJ56" s="21">
        <f t="shared" si="226"/>
        <v>10787.276549857568</v>
      </c>
      <c r="AK56" s="21">
        <f t="shared" si="226"/>
        <v>25086.972004514493</v>
      </c>
      <c r="AL56" s="21">
        <f t="shared" ref="AL56:BQ56" si="227">AL57+AL60+AL63+AL66+AL67</f>
        <v>29170.771206161822</v>
      </c>
      <c r="AM56" s="21">
        <f t="shared" si="227"/>
        <v>29897.57801019922</v>
      </c>
      <c r="AN56" s="21">
        <f t="shared" si="227"/>
        <v>33075.618383501889</v>
      </c>
      <c r="AO56" s="21">
        <f t="shared" si="227"/>
        <v>36954.469225997607</v>
      </c>
      <c r="AP56" s="21">
        <f t="shared" si="227"/>
        <v>32368.260586805787</v>
      </c>
      <c r="AQ56" s="21">
        <f t="shared" si="227"/>
        <v>43898.866350603836</v>
      </c>
      <c r="AR56" s="21">
        <f t="shared" si="227"/>
        <v>57831.480164614179</v>
      </c>
      <c r="AS56" s="21">
        <f t="shared" si="227"/>
        <v>64982.107255966708</v>
      </c>
      <c r="AT56" s="21">
        <f t="shared" si="227"/>
        <v>67482.616058662781</v>
      </c>
      <c r="AU56" s="21">
        <f t="shared" si="227"/>
        <v>68757.142460331204</v>
      </c>
      <c r="AV56" s="21">
        <f t="shared" si="227"/>
        <v>70057.764425980247</v>
      </c>
      <c r="AW56" s="21">
        <f t="shared" si="227"/>
        <v>65357.517764227152</v>
      </c>
      <c r="AX56" s="21">
        <f t="shared" si="227"/>
        <v>63618.285288845611</v>
      </c>
      <c r="AY56" s="21">
        <f t="shared" si="227"/>
        <v>61874.118768206456</v>
      </c>
      <c r="AZ56" s="21">
        <f t="shared" si="227"/>
        <v>59051.132784723159</v>
      </c>
      <c r="BA56" s="21">
        <f t="shared" si="227"/>
        <v>76985.958890235823</v>
      </c>
      <c r="BB56" s="21">
        <f t="shared" si="227"/>
        <v>37014.383023217597</v>
      </c>
      <c r="BC56" s="21">
        <f t="shared" si="227"/>
        <v>50359.614630099757</v>
      </c>
      <c r="BD56" s="21">
        <f t="shared" si="227"/>
        <v>66466.817807137442</v>
      </c>
      <c r="BE56" s="21">
        <f t="shared" si="227"/>
        <v>74733.003420569396</v>
      </c>
      <c r="BF56" s="21">
        <f t="shared" si="227"/>
        <v>77619.432407147615</v>
      </c>
      <c r="BG56" s="21">
        <f t="shared" si="227"/>
        <v>79093.233467337559</v>
      </c>
      <c r="BH56" s="21">
        <f t="shared" si="227"/>
        <v>80597.22197722939</v>
      </c>
      <c r="BI56" s="21">
        <f t="shared" si="227"/>
        <v>75163.490615586692</v>
      </c>
      <c r="BJ56" s="21">
        <f t="shared" si="227"/>
        <v>73081.658697391875</v>
      </c>
      <c r="BK56" s="21">
        <f t="shared" si="227"/>
        <v>71064.603145753455</v>
      </c>
      <c r="BL56" s="21">
        <f t="shared" si="227"/>
        <v>67923.419106963323</v>
      </c>
      <c r="BM56" s="21">
        <f t="shared" si="227"/>
        <v>88544.77500223284</v>
      </c>
      <c r="BN56" s="21">
        <f t="shared" si="227"/>
        <v>42318.731070674155</v>
      </c>
      <c r="BO56" s="21">
        <f t="shared" si="227"/>
        <v>57743.263189284728</v>
      </c>
      <c r="BP56" s="21">
        <f t="shared" si="227"/>
        <v>76364.210134539753</v>
      </c>
      <c r="BQ56" s="21">
        <f t="shared" si="227"/>
        <v>85919.660147714269</v>
      </c>
      <c r="BR56" s="21">
        <f t="shared" ref="BR56:BX56" si="228">BR57+BR60+BR63+BR66+BR67</f>
        <v>89258.218115253214</v>
      </c>
      <c r="BS56" s="21">
        <f t="shared" si="228"/>
        <v>90962.971816937788</v>
      </c>
      <c r="BT56" s="21">
        <f t="shared" si="228"/>
        <v>92702.651372469438</v>
      </c>
      <c r="BU56" s="21">
        <f t="shared" si="228"/>
        <v>86421.466658262856</v>
      </c>
      <c r="BV56" s="21">
        <f t="shared" si="228"/>
        <v>84013.817038184134</v>
      </c>
      <c r="BW56" s="21">
        <f t="shared" si="228"/>
        <v>81832.88315953681</v>
      </c>
      <c r="BX56" s="21">
        <f t="shared" si="228"/>
        <v>78049.437642062796</v>
      </c>
      <c r="BY56" s="21">
        <f t="shared" ref="BY56:CK56" si="229">BY57+BY60+BY63+BY66+BY67</f>
        <v>101902.51441879684</v>
      </c>
      <c r="BZ56" s="21">
        <f t="shared" si="229"/>
        <v>48038.52107167388</v>
      </c>
      <c r="CA56" s="21">
        <f t="shared" si="229"/>
        <v>65860.298899288799</v>
      </c>
      <c r="CB56" s="21">
        <f t="shared" si="229"/>
        <v>87366.955916680628</v>
      </c>
      <c r="CC56" s="21">
        <f t="shared" si="229"/>
        <v>98407.874442150423</v>
      </c>
      <c r="CD56" s="21">
        <f t="shared" si="229"/>
        <v>102261.94639376762</v>
      </c>
      <c r="CE56" s="21">
        <f t="shared" si="229"/>
        <v>104233.61319764951</v>
      </c>
      <c r="CF56" s="21">
        <f t="shared" si="229"/>
        <v>106245.73454604809</v>
      </c>
      <c r="CG56" s="21">
        <f t="shared" si="229"/>
        <v>98996.726083754853</v>
      </c>
      <c r="CH56" s="21">
        <f t="shared" si="229"/>
        <v>96406.292746788386</v>
      </c>
      <c r="CI56" s="21">
        <f t="shared" si="229"/>
        <v>93711.764511588553</v>
      </c>
      <c r="CJ56" s="21">
        <f t="shared" si="229"/>
        <v>89348.622156959405</v>
      </c>
      <c r="CK56" s="21">
        <f t="shared" si="229"/>
        <v>116871.07278254148</v>
      </c>
      <c r="CN56" s="14"/>
      <c r="CO56" s="21">
        <f>SUMIF($F$2:$CK$2,CO$3,$F56:$CK56)</f>
        <v>86848.960500000001</v>
      </c>
      <c r="CP56" s="21">
        <f>SUMIF($L$2:$CK$2,CP$3,$L56:$CK56)</f>
        <v>82511.847705460008</v>
      </c>
      <c r="CQ56" s="21">
        <f t="shared" si="224"/>
        <v>213799.45092913302</v>
      </c>
      <c r="CR56" s="21">
        <f t="shared" si="224"/>
        <v>732265.25079920306</v>
      </c>
      <c r="CS56" s="21">
        <f t="shared" si="224"/>
        <v>841661.65330066707</v>
      </c>
      <c r="CT56" s="21">
        <f t="shared" si="222"/>
        <v>967489.8247637169</v>
      </c>
      <c r="CU56" s="21">
        <f t="shared" si="222"/>
        <v>1107749.4227488916</v>
      </c>
      <c r="CV56" s="8"/>
    </row>
    <row r="57" spans="2:107" outlineLevel="1" x14ac:dyDescent="0.2">
      <c r="B57" s="98" t="s">
        <v>16</v>
      </c>
      <c r="C57" s="89" t="s">
        <v>4</v>
      </c>
      <c r="D57" s="92"/>
      <c r="F57" s="94">
        <f t="shared" ref="F57:AK57" si="230">SUM(F58:F59)</f>
        <v>2565.157552015954</v>
      </c>
      <c r="G57" s="94">
        <f t="shared" si="230"/>
        <v>1608.9632285533189</v>
      </c>
      <c r="H57" s="94">
        <f t="shared" si="230"/>
        <v>2306.9354403948673</v>
      </c>
      <c r="I57" s="94">
        <f t="shared" si="230"/>
        <v>2083.1259355856478</v>
      </c>
      <c r="J57" s="94">
        <f t="shared" si="230"/>
        <v>2176.9288147398879</v>
      </c>
      <c r="K57" s="94">
        <f t="shared" si="230"/>
        <v>2414.9074978792205</v>
      </c>
      <c r="L57" s="94">
        <f t="shared" si="230"/>
        <v>2393.3741923551302</v>
      </c>
      <c r="M57" s="94">
        <f t="shared" si="230"/>
        <v>1995.5888454119904</v>
      </c>
      <c r="N57" s="94">
        <f t="shared" si="230"/>
        <v>1964.6276710669915</v>
      </c>
      <c r="O57" s="94">
        <f t="shared" si="230"/>
        <v>2609.9626534654863</v>
      </c>
      <c r="P57" s="94">
        <f t="shared" si="230"/>
        <v>2307.2641870808761</v>
      </c>
      <c r="Q57" s="94">
        <f t="shared" si="230"/>
        <v>2970.4498054506298</v>
      </c>
      <c r="R57" s="94">
        <f t="shared" si="230"/>
        <v>1388.4519905700001</v>
      </c>
      <c r="S57" s="94">
        <f t="shared" si="230"/>
        <v>1131.2978358</v>
      </c>
      <c r="T57" s="94">
        <f t="shared" si="230"/>
        <v>1388.2528065000001</v>
      </c>
      <c r="U57" s="94">
        <f t="shared" si="230"/>
        <v>884</v>
      </c>
      <c r="V57" s="94">
        <f t="shared" si="230"/>
        <v>1185.2885470400001</v>
      </c>
      <c r="W57" s="94">
        <f t="shared" si="230"/>
        <v>834</v>
      </c>
      <c r="X57" s="94">
        <f t="shared" si="230"/>
        <v>2378.04706493</v>
      </c>
      <c r="Y57" s="94">
        <f t="shared" si="230"/>
        <v>2369.4336087500001</v>
      </c>
      <c r="Z57" s="94">
        <f t="shared" si="230"/>
        <v>2385.2121989799998</v>
      </c>
      <c r="AA57" s="94">
        <f t="shared" si="230"/>
        <v>2362.0966661900002</v>
      </c>
      <c r="AB57" s="94">
        <f t="shared" si="230"/>
        <v>2352.7019097000002</v>
      </c>
      <c r="AC57" s="94">
        <f t="shared" si="230"/>
        <v>2415.0690441800002</v>
      </c>
      <c r="AD57" s="94">
        <f t="shared" si="230"/>
        <v>2555.2391889999999</v>
      </c>
      <c r="AE57" s="94">
        <f t="shared" si="230"/>
        <v>2507.4804989999998</v>
      </c>
      <c r="AF57" s="94">
        <f t="shared" si="230"/>
        <v>2578.0540860000001</v>
      </c>
      <c r="AG57" s="94">
        <f t="shared" si="230"/>
        <v>2630.7</v>
      </c>
      <c r="AH57" s="94">
        <f t="shared" si="230"/>
        <v>2699.7</v>
      </c>
      <c r="AI57" s="94">
        <f t="shared" si="230"/>
        <v>2707.4</v>
      </c>
      <c r="AJ57" s="94">
        <f t="shared" si="230"/>
        <v>2820.5</v>
      </c>
      <c r="AK57" s="94">
        <f t="shared" si="230"/>
        <v>2907</v>
      </c>
      <c r="AL57" s="94">
        <f t="shared" ref="AL57:BQ57" si="231">SUM(AL58:AL59)</f>
        <v>2970</v>
      </c>
      <c r="AM57" s="94">
        <f t="shared" si="231"/>
        <v>2976.6800000000003</v>
      </c>
      <c r="AN57" s="94">
        <f t="shared" si="231"/>
        <v>3012.24</v>
      </c>
      <c r="AO57" s="94">
        <f t="shared" si="231"/>
        <v>3135.125</v>
      </c>
      <c r="AP57" s="94">
        <f t="shared" si="231"/>
        <v>3249.9837500000003</v>
      </c>
      <c r="AQ57" s="94">
        <f t="shared" si="231"/>
        <v>3357.9700520833339</v>
      </c>
      <c r="AR57" s="94">
        <f t="shared" si="231"/>
        <v>3517.1359953703704</v>
      </c>
      <c r="AS57" s="94">
        <f t="shared" si="231"/>
        <v>3588.4096705167372</v>
      </c>
      <c r="AT57" s="94">
        <f t="shared" si="231"/>
        <v>3634.6142401216011</v>
      </c>
      <c r="AU57" s="94">
        <f t="shared" si="231"/>
        <v>3655.6369797159196</v>
      </c>
      <c r="AV57" s="94">
        <f t="shared" si="231"/>
        <v>3677.0887548121627</v>
      </c>
      <c r="AW57" s="94">
        <f t="shared" si="231"/>
        <v>3623.4220378019832</v>
      </c>
      <c r="AX57" s="94">
        <f t="shared" si="231"/>
        <v>3592.8543766679236</v>
      </c>
      <c r="AY57" s="94">
        <f t="shared" si="231"/>
        <v>3563.2037453678859</v>
      </c>
      <c r="AZ57" s="94">
        <f t="shared" si="231"/>
        <v>3515.2685580994912</v>
      </c>
      <c r="BA57" s="94">
        <f t="shared" si="231"/>
        <v>3818.8580774659886</v>
      </c>
      <c r="BB57" s="94">
        <f t="shared" si="231"/>
        <v>3594.2609714676305</v>
      </c>
      <c r="BC57" s="94">
        <f t="shared" si="231"/>
        <v>3722.9243662109384</v>
      </c>
      <c r="BD57" s="94">
        <f t="shared" si="231"/>
        <v>3907.521682942709</v>
      </c>
      <c r="BE57" s="94">
        <f t="shared" si="231"/>
        <v>3990.0912592622431</v>
      </c>
      <c r="BF57" s="94">
        <f t="shared" si="231"/>
        <v>4037.9929783981697</v>
      </c>
      <c r="BG57" s="94">
        <f t="shared" si="231"/>
        <v>4062.4326310185406</v>
      </c>
      <c r="BH57" s="94">
        <f t="shared" si="231"/>
        <v>4087.3710520597356</v>
      </c>
      <c r="BI57" s="94">
        <f t="shared" si="231"/>
        <v>4025.1306692728076</v>
      </c>
      <c r="BJ57" s="94">
        <f t="shared" si="231"/>
        <v>3989.5902491946235</v>
      </c>
      <c r="BK57" s="94">
        <f t="shared" si="231"/>
        <v>3955.1160417187848</v>
      </c>
      <c r="BL57" s="94">
        <f t="shared" si="231"/>
        <v>3914.0997295537404</v>
      </c>
      <c r="BM57" s="94">
        <f t="shared" si="231"/>
        <v>4252.3603195104606</v>
      </c>
      <c r="BN57" s="94">
        <f t="shared" si="231"/>
        <v>3977.7636196994467</v>
      </c>
      <c r="BO57" s="94">
        <f t="shared" si="231"/>
        <v>4126.7741457372576</v>
      </c>
      <c r="BP57" s="94">
        <f t="shared" si="231"/>
        <v>4340.8716680795915</v>
      </c>
      <c r="BQ57" s="94">
        <f t="shared" si="231"/>
        <v>4436.5293374209705</v>
      </c>
      <c r="BR57" s="94">
        <f t="shared" ref="BR57:BX57" si="232">SUM(BR58:BR59)</f>
        <v>4492.2182681468439</v>
      </c>
      <c r="BS57" s="94">
        <f t="shared" si="232"/>
        <v>4520.6309879049431</v>
      </c>
      <c r="BT57" s="94">
        <f t="shared" si="232"/>
        <v>4549.6235590866763</v>
      </c>
      <c r="BU57" s="94">
        <f t="shared" si="232"/>
        <v>4477.4379749983091</v>
      </c>
      <c r="BV57" s="94">
        <f t="shared" si="232"/>
        <v>4436.11468574836</v>
      </c>
      <c r="BW57" s="94">
        <f t="shared" si="232"/>
        <v>4414.0989113282667</v>
      </c>
      <c r="BX57" s="94">
        <f t="shared" si="232"/>
        <v>4348.3937157618539</v>
      </c>
      <c r="BY57" s="94">
        <f t="shared" ref="BY57:CK57" si="233">SUM(BY58:BY59)</f>
        <v>4741.8796057424606</v>
      </c>
      <c r="BZ57" s="94">
        <f t="shared" si="233"/>
        <v>4194.4241223097997</v>
      </c>
      <c r="CA57" s="94">
        <f t="shared" si="233"/>
        <v>4365.9924115971789</v>
      </c>
      <c r="CB57" s="94">
        <f t="shared" si="233"/>
        <v>4611.8630742998821</v>
      </c>
      <c r="CC57" s="94">
        <f t="shared" si="233"/>
        <v>4722.0834476977707</v>
      </c>
      <c r="CD57" s="94">
        <f t="shared" si="233"/>
        <v>4785.9260768391396</v>
      </c>
      <c r="CE57" s="94">
        <f t="shared" si="233"/>
        <v>4818.6160491426199</v>
      </c>
      <c r="CF57" s="94">
        <f t="shared" si="233"/>
        <v>4851.9777635156133</v>
      </c>
      <c r="CG57" s="94">
        <f t="shared" si="233"/>
        <v>4769.3344267379225</v>
      </c>
      <c r="CH57" s="94">
        <f t="shared" si="233"/>
        <v>4744.0498560696333</v>
      </c>
      <c r="CI57" s="94">
        <f t="shared" si="233"/>
        <v>4697.7931100288824</v>
      </c>
      <c r="CJ57" s="94">
        <f t="shared" si="233"/>
        <v>4622.8609389367102</v>
      </c>
      <c r="CK57" s="94">
        <f t="shared" si="233"/>
        <v>5072.3348054218804</v>
      </c>
      <c r="CN57" s="14"/>
      <c r="CO57" s="94">
        <f>SUMIF($F$2:$CK$2,CO$3,$F57:$CK57)</f>
        <v>27397.285823999999</v>
      </c>
      <c r="CP57" s="94">
        <f t="shared" si="223"/>
        <v>21073.851672640001</v>
      </c>
      <c r="CQ57" s="94">
        <f t="shared" si="224"/>
        <v>33500.118773999995</v>
      </c>
      <c r="CR57" s="94">
        <f t="shared" si="224"/>
        <v>42794.446238023396</v>
      </c>
      <c r="CS57" s="94">
        <f t="shared" si="224"/>
        <v>47538.891950610378</v>
      </c>
      <c r="CT57" s="94">
        <f t="shared" si="222"/>
        <v>52862.336479654979</v>
      </c>
      <c r="CU57" s="94">
        <f t="shared" si="222"/>
        <v>56257.256082597036</v>
      </c>
      <c r="CV57" s="8"/>
    </row>
    <row r="58" spans="2:107" outlineLevel="2" x14ac:dyDescent="0.2">
      <c r="B58" s="95" t="s">
        <v>90</v>
      </c>
      <c r="C58" s="97" t="s">
        <v>4</v>
      </c>
      <c r="D58" s="92"/>
      <c r="F58" s="10">
        <f>Мясо!F74</f>
        <v>2565.157552015954</v>
      </c>
      <c r="G58" s="10">
        <f>Мясо!G74</f>
        <v>1608.9632285533189</v>
      </c>
      <c r="H58" s="10">
        <f>Мясо!H74</f>
        <v>2306.9354403948673</v>
      </c>
      <c r="I58" s="10">
        <f>Мясо!I74</f>
        <v>2083.1259355856478</v>
      </c>
      <c r="J58" s="10">
        <f>Мясо!J74</f>
        <v>2176.9288147398879</v>
      </c>
      <c r="K58" s="10">
        <f>Мясо!K74</f>
        <v>2414.9074978792205</v>
      </c>
      <c r="L58" s="10">
        <f>Мясо!L74</f>
        <v>2243.3741923551302</v>
      </c>
      <c r="M58" s="10">
        <f>Мясо!M74</f>
        <v>1945.5888454119904</v>
      </c>
      <c r="N58" s="10">
        <f>Мясо!N74</f>
        <v>1914.6276710669915</v>
      </c>
      <c r="O58" s="10">
        <f>Мясо!O74</f>
        <v>2559.9626534654863</v>
      </c>
      <c r="P58" s="10">
        <f>Мясо!P74</f>
        <v>2257.2641870808761</v>
      </c>
      <c r="Q58" s="10">
        <f>Мясо!Q74</f>
        <v>2920.4498054506298</v>
      </c>
      <c r="R58" s="10">
        <f>Мясо!R74</f>
        <v>1388.4519905700001</v>
      </c>
      <c r="S58" s="10">
        <f>Мясо!S74</f>
        <v>1131.2978358</v>
      </c>
      <c r="T58" s="10">
        <f>Мясо!T74</f>
        <v>1388.2528065000001</v>
      </c>
      <c r="U58" s="10">
        <f>Мясо!U74</f>
        <v>864</v>
      </c>
      <c r="V58" s="10">
        <f>Мясо!V74</f>
        <v>1158.2885470400001</v>
      </c>
      <c r="W58" s="10">
        <f>Мясо!W74</f>
        <v>801</v>
      </c>
      <c r="X58" s="10">
        <f>Мясо!X74</f>
        <v>2345.04706493</v>
      </c>
      <c r="Y58" s="10">
        <f>Мясо!Y74</f>
        <v>2336.4336087500001</v>
      </c>
      <c r="Z58" s="10">
        <f>Мясо!Z74</f>
        <v>2342.2121989799998</v>
      </c>
      <c r="AA58" s="10">
        <f>Мясо!AA74</f>
        <v>2319.0966661900002</v>
      </c>
      <c r="AB58" s="10">
        <f>Мясо!AB74</f>
        <v>2309.7019097000002</v>
      </c>
      <c r="AC58" s="10">
        <f>Мясо!AC74</f>
        <v>2372.0690441800002</v>
      </c>
      <c r="AD58" s="10">
        <f>Мясо!AD74</f>
        <v>2412.2391889999999</v>
      </c>
      <c r="AE58" s="10">
        <f>Мясо!AE74</f>
        <v>2427.4804989999998</v>
      </c>
      <c r="AF58" s="10">
        <f>Мясо!AF74</f>
        <v>2498.0540860000001</v>
      </c>
      <c r="AG58" s="10">
        <f>Мясо!AG74</f>
        <v>2495.6999999999998</v>
      </c>
      <c r="AH58" s="10">
        <f>Мясо!AH74</f>
        <v>2509.6999999999998</v>
      </c>
      <c r="AI58" s="10">
        <f>Мясо!AI74</f>
        <v>2517.4</v>
      </c>
      <c r="AJ58" s="10">
        <f>Мясо!AJ74</f>
        <v>2540.5</v>
      </c>
      <c r="AK58" s="10">
        <f>Мясо!AK74</f>
        <v>2677</v>
      </c>
      <c r="AL58" s="10">
        <f>Мясо!AL74</f>
        <v>2740</v>
      </c>
      <c r="AM58" s="10">
        <f>Мясо!AM74</f>
        <v>2741.6800000000003</v>
      </c>
      <c r="AN58" s="10">
        <f>Мясо!AN74</f>
        <v>2777.24</v>
      </c>
      <c r="AO58" s="10">
        <f>Мясо!AO74</f>
        <v>2900.125</v>
      </c>
      <c r="AP58" s="10">
        <f>Мясо!AP74</f>
        <v>3009.9837500000003</v>
      </c>
      <c r="AQ58" s="10">
        <f>Мясо!AQ74</f>
        <v>3117.9700520833339</v>
      </c>
      <c r="AR58" s="10">
        <f>Мясо!AR74</f>
        <v>3277.1359953703704</v>
      </c>
      <c r="AS58" s="10">
        <f>Мясо!AS74</f>
        <v>3348.4096705167372</v>
      </c>
      <c r="AT58" s="10">
        <f>Мясо!AT74</f>
        <v>3389.6142401216011</v>
      </c>
      <c r="AU58" s="10">
        <f>Мясо!AU74</f>
        <v>3410.6369797159196</v>
      </c>
      <c r="AV58" s="10">
        <f>Мясо!AV74</f>
        <v>3432.0887548121627</v>
      </c>
      <c r="AW58" s="10">
        <f>Мясо!AW74</f>
        <v>3378.4220378019832</v>
      </c>
      <c r="AX58" s="10">
        <f>Мясо!AX74</f>
        <v>3347.8543766679236</v>
      </c>
      <c r="AY58" s="10">
        <f>Мясо!AY74</f>
        <v>3318.2037453678859</v>
      </c>
      <c r="AZ58" s="10">
        <f>Мясо!AZ74</f>
        <v>3270.2685580994912</v>
      </c>
      <c r="BA58" s="10">
        <f>Мясо!BA74</f>
        <v>3573.8580774659886</v>
      </c>
      <c r="BB58" s="10">
        <f>Мясо!BB74</f>
        <v>3349.2609714676305</v>
      </c>
      <c r="BC58" s="10">
        <f>Мясо!BC74</f>
        <v>3477.9243662109384</v>
      </c>
      <c r="BD58" s="10">
        <f>Мясо!BD74</f>
        <v>3662.521682942709</v>
      </c>
      <c r="BE58" s="10">
        <f>Мясо!BE74</f>
        <v>3745.0912592622431</v>
      </c>
      <c r="BF58" s="10">
        <f>Мясо!BF74</f>
        <v>3792.9929783981697</v>
      </c>
      <c r="BG58" s="10">
        <f>Мясо!BG74</f>
        <v>3817.4326310185406</v>
      </c>
      <c r="BH58" s="10">
        <f>Мясо!BH74</f>
        <v>3842.3710520597356</v>
      </c>
      <c r="BI58" s="10">
        <f>Мясо!BI74</f>
        <v>3780.1306692728076</v>
      </c>
      <c r="BJ58" s="10">
        <f>Мясо!BJ74</f>
        <v>3744.5902491946235</v>
      </c>
      <c r="BK58" s="10">
        <f>Мясо!BK74</f>
        <v>3710.1160417187848</v>
      </c>
      <c r="BL58" s="10">
        <f>Мясо!BL74</f>
        <v>3669.0997295537404</v>
      </c>
      <c r="BM58" s="10">
        <f>Мясо!BM74</f>
        <v>4007.3603195104602</v>
      </c>
      <c r="BN58" s="10">
        <f>Мясо!BN74</f>
        <v>3732.7636196994467</v>
      </c>
      <c r="BO58" s="10">
        <f>Мясо!BO74</f>
        <v>3881.7741457372576</v>
      </c>
      <c r="BP58" s="10">
        <f>Мясо!BP74</f>
        <v>4095.8716680795915</v>
      </c>
      <c r="BQ58" s="10">
        <f>Мясо!BQ74</f>
        <v>4191.5293374209705</v>
      </c>
      <c r="BR58" s="10">
        <f>Мясо!BR74</f>
        <v>4247.2182681468439</v>
      </c>
      <c r="BS58" s="10">
        <f>Мясо!BS74</f>
        <v>4275.6309879049431</v>
      </c>
      <c r="BT58" s="10">
        <f>Мясо!BT74</f>
        <v>4304.6235590866763</v>
      </c>
      <c r="BU58" s="10">
        <f>Мясо!BU74</f>
        <v>4232.4379749983091</v>
      </c>
      <c r="BV58" s="10">
        <f>Мясо!BV74</f>
        <v>4191.11468574836</v>
      </c>
      <c r="BW58" s="10">
        <f>Мясо!BW74</f>
        <v>4169.0989113282667</v>
      </c>
      <c r="BX58" s="10">
        <f>Мясо!BX74</f>
        <v>4103.3937157618539</v>
      </c>
      <c r="BY58" s="10">
        <f>Мясо!BY74</f>
        <v>4496.8796057424606</v>
      </c>
      <c r="BZ58" s="10">
        <f>Мясо!BZ74</f>
        <v>3949.4241223098002</v>
      </c>
      <c r="CA58" s="10">
        <f>Мясо!CA74</f>
        <v>4120.9924115971789</v>
      </c>
      <c r="CB58" s="10">
        <f>Мясо!CB74</f>
        <v>4366.8630742998821</v>
      </c>
      <c r="CC58" s="10">
        <f>Мясо!CC74</f>
        <v>4477.0834476977707</v>
      </c>
      <c r="CD58" s="10">
        <f>Мясо!CD74</f>
        <v>4540.9260768391396</v>
      </c>
      <c r="CE58" s="10">
        <f>Мясо!CE74</f>
        <v>4573.6160491426199</v>
      </c>
      <c r="CF58" s="10">
        <f>Мясо!CF74</f>
        <v>4606.9777635156133</v>
      </c>
      <c r="CG58" s="10">
        <f>Мясо!CG74</f>
        <v>4524.3344267379225</v>
      </c>
      <c r="CH58" s="10">
        <f>Мясо!CH74</f>
        <v>4499.0498560696333</v>
      </c>
      <c r="CI58" s="10">
        <f>Мясо!CI74</f>
        <v>4452.7931100288824</v>
      </c>
      <c r="CJ58" s="10">
        <f>Мясо!CJ74</f>
        <v>4377.8609389367102</v>
      </c>
      <c r="CK58" s="10">
        <f>Мясо!CK74</f>
        <v>4827.3348054218804</v>
      </c>
      <c r="CN58" s="10"/>
      <c r="CO58" s="10">
        <f>SUMIF($F$2:$CK$2,CO$3,$F58:$CK58)</f>
        <v>26997.285823999999</v>
      </c>
      <c r="CP58" s="10">
        <f t="shared" si="223"/>
        <v>20755.851672640001</v>
      </c>
      <c r="CQ58" s="10">
        <f t="shared" si="224"/>
        <v>31237.118773999995</v>
      </c>
      <c r="CR58" s="10">
        <f t="shared" si="224"/>
        <v>39874.446238023396</v>
      </c>
      <c r="CS58" s="10">
        <f t="shared" si="224"/>
        <v>44598.891950610378</v>
      </c>
      <c r="CT58" s="10">
        <f t="shared" si="222"/>
        <v>49922.336479654979</v>
      </c>
      <c r="CU58" s="10">
        <f t="shared" si="222"/>
        <v>53317.256082597036</v>
      </c>
      <c r="CV58" s="8"/>
    </row>
    <row r="59" spans="2:107" outlineLevel="2" x14ac:dyDescent="0.2">
      <c r="B59" s="95" t="s">
        <v>282</v>
      </c>
      <c r="C59" s="97" t="s">
        <v>4</v>
      </c>
      <c r="D59" s="92"/>
      <c r="F59" s="22">
        <f>Пицца!F48+Снеки!F48+'Мясная гастрономия'!F48+Сыр!F48+'Кондитерские изделия'!F48</f>
        <v>0</v>
      </c>
      <c r="G59" s="22">
        <f>Пицца!G48+Снеки!G48+'Мясная гастрономия'!G48+Сыр!G48+'Кондитерские изделия'!G48</f>
        <v>0</v>
      </c>
      <c r="H59" s="22">
        <f>Пицца!H48+Снеки!H48+'Мясная гастрономия'!H48+Сыр!H48+'Кондитерские изделия'!H48</f>
        <v>0</v>
      </c>
      <c r="I59" s="22">
        <f>Пицца!I48+Снеки!I48+'Мясная гастрономия'!I48+Сыр!I48+'Кондитерские изделия'!I48</f>
        <v>0</v>
      </c>
      <c r="J59" s="22">
        <f>Пицца!J48+Снеки!J48+'Мясная гастрономия'!J48+Сыр!J48+'Кондитерские изделия'!J48</f>
        <v>0</v>
      </c>
      <c r="K59" s="22">
        <f>Пицца!K48+Снеки!K48+'Мясная гастрономия'!K48+Сыр!K48+'Кондитерские изделия'!K48</f>
        <v>0</v>
      </c>
      <c r="L59" s="22">
        <f>Пицца!L48+Снеки!L48+'Мясная гастрономия'!L48+Сыр!L48+'Кондитерские изделия'!L48</f>
        <v>150</v>
      </c>
      <c r="M59" s="22">
        <f>Пицца!M48+Снеки!M48+'Мясная гастрономия'!M48+Сыр!M48+'Кондитерские изделия'!M48</f>
        <v>50</v>
      </c>
      <c r="N59" s="22">
        <f>Пицца!N48+Снеки!N48+'Мясная гастрономия'!N48+Сыр!N48+'Кондитерские изделия'!N48</f>
        <v>50</v>
      </c>
      <c r="O59" s="22">
        <f>Пицца!O48+Снеки!O48+'Мясная гастрономия'!O48+Сыр!O48+'Кондитерские изделия'!O48</f>
        <v>50</v>
      </c>
      <c r="P59" s="22">
        <f>Пицца!P48+Снеки!P48+'Мясная гастрономия'!P48+Сыр!P48+'Кондитерские изделия'!P48</f>
        <v>50</v>
      </c>
      <c r="Q59" s="22">
        <f>Пицца!Q48+Снеки!Q48+'Мясная гастрономия'!Q48+Сыр!Q48+'Кондитерские изделия'!Q48</f>
        <v>50</v>
      </c>
      <c r="R59" s="22">
        <f>Пицца!R48+Снеки!R48+'Мясная гастрономия'!R48+Сыр!R48+'Кондитерские изделия'!R48</f>
        <v>0</v>
      </c>
      <c r="S59" s="22">
        <f>Пицца!S48+Снеки!S48+'Мясная гастрономия'!S48+Сыр!S48+'Кондитерские изделия'!S48</f>
        <v>0</v>
      </c>
      <c r="T59" s="22">
        <f>Пицца!T48+Снеки!T48+'Мясная гастрономия'!T48+Сыр!T48+'Кондитерские изделия'!T48</f>
        <v>0</v>
      </c>
      <c r="U59" s="22">
        <f>Пицца!U48+Снеки!U48+'Мясная гастрономия'!U48+Сыр!U48+'Кондитерские изделия'!U48</f>
        <v>20</v>
      </c>
      <c r="V59" s="22">
        <f>Пицца!V48+Снеки!V48+'Мясная гастрономия'!V48+Сыр!V48+'Кондитерские изделия'!V48</f>
        <v>27</v>
      </c>
      <c r="W59" s="22">
        <f>Пицца!W48+Снеки!W48+'Мясная гастрономия'!W48+Сыр!W48+'Кондитерские изделия'!W48</f>
        <v>33</v>
      </c>
      <c r="X59" s="22">
        <f>Пицца!X48+Снеки!X48+'Мясная гастрономия'!X48+Сыр!X48+'Кондитерские изделия'!X48</f>
        <v>33</v>
      </c>
      <c r="Y59" s="22">
        <f>Пицца!Y48+Снеки!Y48+'Мясная гастрономия'!Y48+Сыр!Y48+'Кондитерские изделия'!Y48</f>
        <v>33</v>
      </c>
      <c r="Z59" s="22">
        <f>Пицца!Z48+Снеки!Z48+'Мясная гастрономия'!Z48+Сыр!Z48+'Кондитерские изделия'!Z48</f>
        <v>43</v>
      </c>
      <c r="AA59" s="22">
        <f>Пицца!AA48+Снеки!AA48+'Мясная гастрономия'!AA48+Сыр!AA48+'Кондитерские изделия'!AA48</f>
        <v>43</v>
      </c>
      <c r="AB59" s="22">
        <f>Пицца!AB48+Снеки!AB48+'Мясная гастрономия'!AB48+Сыр!AB48+'Кондитерские изделия'!AB48</f>
        <v>43</v>
      </c>
      <c r="AC59" s="22">
        <f>Пицца!AC48+Снеки!AC48+'Мясная гастрономия'!AC48+Сыр!AC48+'Кондитерские изделия'!AC48</f>
        <v>43</v>
      </c>
      <c r="AD59" s="22">
        <f>Пицца!AD48+Снеки!AD48+'Мясная гастрономия'!AD48+Сыр!AD48+'Кондитерские изделия'!AD48</f>
        <v>143</v>
      </c>
      <c r="AE59" s="22">
        <f>Пицца!AE48+Снеки!AE48+'Мясная гастрономия'!AE48+Сыр!AE48+'Кондитерские изделия'!AE48</f>
        <v>80</v>
      </c>
      <c r="AF59" s="22">
        <f>Пицца!AF48+Снеки!AF48+'Мясная гастрономия'!AF48+Сыр!AF48+'Кондитерские изделия'!AF48</f>
        <v>80</v>
      </c>
      <c r="AG59" s="22">
        <f>Пицца!AG48+Снеки!AG48+'Мясная гастрономия'!AG48+Сыр!AG48+'Кондитерские изделия'!AG48</f>
        <v>135</v>
      </c>
      <c r="AH59" s="22">
        <f>Пицца!AH48+Снеки!AH48+'Мясная гастрономия'!AH48+Сыр!AH48+'Кондитерские изделия'!AH48</f>
        <v>190</v>
      </c>
      <c r="AI59" s="22">
        <f>Пицца!AI48+Снеки!AI48+'Мясная гастрономия'!AI48+Сыр!AI48+'Кондитерские изделия'!AI48</f>
        <v>190</v>
      </c>
      <c r="AJ59" s="22">
        <f>Пицца!AJ48+Снеки!AJ48+'Мясная гастрономия'!AJ48+Сыр!AJ48+'Кондитерские изделия'!AJ48</f>
        <v>280</v>
      </c>
      <c r="AK59" s="22">
        <f>Пицца!AK48+Снеки!AK48+'Мясная гастрономия'!AK48+Сыр!AK48+'Кондитерские изделия'!AK48</f>
        <v>230</v>
      </c>
      <c r="AL59" s="22">
        <f>Пицца!AL48+Снеки!AL48+'Мясная гастрономия'!AL48+Сыр!AL48+'Кондитерские изделия'!AL48</f>
        <v>230</v>
      </c>
      <c r="AM59" s="22">
        <f>Пицца!AM48+Снеки!AM48+'Мясная гастрономия'!AM48+Сыр!AM48+'Кондитерские изделия'!AM48</f>
        <v>235</v>
      </c>
      <c r="AN59" s="22">
        <f>Пицца!AN48+Снеки!AN48+'Мясная гастрономия'!AN48+Сыр!AN48+'Кондитерские изделия'!AN48</f>
        <v>235</v>
      </c>
      <c r="AO59" s="22">
        <f>Пицца!AO48+Снеки!AO48+'Мясная гастрономия'!AO48+Сыр!AO48+'Кондитерские изделия'!AO48</f>
        <v>235</v>
      </c>
      <c r="AP59" s="22">
        <f>Пицца!AP48+Снеки!AP48+'Мясная гастрономия'!AP48+Сыр!AP48+'Кондитерские изделия'!AP48</f>
        <v>240</v>
      </c>
      <c r="AQ59" s="22">
        <f>Пицца!AQ48+Снеки!AQ48+'Мясная гастрономия'!AQ48+Сыр!AQ48+'Кондитерские изделия'!AQ48</f>
        <v>240</v>
      </c>
      <c r="AR59" s="22">
        <f>Пицца!AR48+Снеки!AR48+'Мясная гастрономия'!AR48+Сыр!AR48+'Кондитерские изделия'!AR48</f>
        <v>240</v>
      </c>
      <c r="AS59" s="22">
        <f>Пицца!AS48+Снеки!AS48+'Мясная гастрономия'!AS48+Сыр!AS48+'Кондитерские изделия'!AS48</f>
        <v>240</v>
      </c>
      <c r="AT59" s="22">
        <f>Пицца!AT48+Снеки!AT48+'Мясная гастрономия'!AT48+Сыр!AT48+'Кондитерские изделия'!AT48</f>
        <v>245</v>
      </c>
      <c r="AU59" s="22">
        <f>Пицца!AU48+Снеки!AU48+'Мясная гастрономия'!AU48+Сыр!AU48+'Кондитерские изделия'!AU48</f>
        <v>245</v>
      </c>
      <c r="AV59" s="22">
        <f>Пицца!AV48+Снеки!AV48+'Мясная гастрономия'!AV48+Сыр!AV48+'Кондитерские изделия'!AV48</f>
        <v>245</v>
      </c>
      <c r="AW59" s="22">
        <f>Пицца!AW48+Снеки!AW48+'Мясная гастрономия'!AW48+Сыр!AW48+'Кондитерские изделия'!AW48</f>
        <v>245</v>
      </c>
      <c r="AX59" s="22">
        <f>Пицца!AX48+Снеки!AX48+'Мясная гастрономия'!AX48+Сыр!AX48+'Кондитерские изделия'!AX48</f>
        <v>245</v>
      </c>
      <c r="AY59" s="22">
        <f>Пицца!AY48+Снеки!AY48+'Мясная гастрономия'!AY48+Сыр!AY48+'Кондитерские изделия'!AY48</f>
        <v>245</v>
      </c>
      <c r="AZ59" s="22">
        <f>Пицца!AZ48+Снеки!AZ48+'Мясная гастрономия'!AZ48+Сыр!AZ48+'Кондитерские изделия'!AZ48</f>
        <v>245</v>
      </c>
      <c r="BA59" s="22">
        <f>Пицца!BA48+Снеки!BA48+'Мясная гастрономия'!BA48+Сыр!BA48+'Кондитерские изделия'!BA48</f>
        <v>245</v>
      </c>
      <c r="BB59" s="22">
        <f>Пицца!BB48+Снеки!BB48+'Мясная гастрономия'!BB48+Сыр!BB48+'Кондитерские изделия'!BB48</f>
        <v>245</v>
      </c>
      <c r="BC59" s="22">
        <f>Пицца!BC48+Снеки!BC48+'Мясная гастрономия'!BC48+Сыр!BC48+'Кондитерские изделия'!BC48</f>
        <v>245</v>
      </c>
      <c r="BD59" s="22">
        <f>Пицца!BD48+Снеки!BD48+'Мясная гастрономия'!BD48+Сыр!BD48+'Кондитерские изделия'!BD48</f>
        <v>245</v>
      </c>
      <c r="BE59" s="22">
        <f>Пицца!BE48+Снеки!BE48+'Мясная гастрономия'!BE48+Сыр!BE48+'Кондитерские изделия'!BE48</f>
        <v>245</v>
      </c>
      <c r="BF59" s="22">
        <f>Пицца!BF48+Снеки!BF48+'Мясная гастрономия'!BF48+Сыр!BF48+'Кондитерские изделия'!BF48</f>
        <v>245</v>
      </c>
      <c r="BG59" s="22">
        <f>Пицца!BG48+Снеки!BG48+'Мясная гастрономия'!BG48+Сыр!BG48+'Кондитерские изделия'!BG48</f>
        <v>245</v>
      </c>
      <c r="BH59" s="22">
        <f>Пицца!BH48+Снеки!BH48+'Мясная гастрономия'!BH48+Сыр!BH48+'Кондитерские изделия'!BH48</f>
        <v>245</v>
      </c>
      <c r="BI59" s="22">
        <f>Пицца!BI48+Снеки!BI48+'Мясная гастрономия'!BI48+Сыр!BI48+'Кондитерские изделия'!BI48</f>
        <v>245</v>
      </c>
      <c r="BJ59" s="22">
        <f>Пицца!BJ48+Снеки!BJ48+'Мясная гастрономия'!BJ48+Сыр!BJ48+'Кондитерские изделия'!BJ48</f>
        <v>245</v>
      </c>
      <c r="BK59" s="22">
        <f>Пицца!BK48+Снеки!BK48+'Мясная гастрономия'!BK48+Сыр!BK48+'Кондитерские изделия'!BK48</f>
        <v>245</v>
      </c>
      <c r="BL59" s="22">
        <f>Пицца!BL48+Снеки!BL48+'Мясная гастрономия'!BL48+Сыр!BL48+'Кондитерские изделия'!BL48</f>
        <v>245</v>
      </c>
      <c r="BM59" s="22">
        <f>Пицца!BM48+Снеки!BM48+'Мясная гастрономия'!BM48+Сыр!BM48+'Кондитерские изделия'!BM48</f>
        <v>245</v>
      </c>
      <c r="BN59" s="22">
        <f>Пицца!BN48+Снеки!BN48+'Мясная гастрономия'!BN48+Сыр!BN48+'Кондитерские изделия'!BN48</f>
        <v>245</v>
      </c>
      <c r="BO59" s="22">
        <f>Пицца!BO48+Снеки!BO48+'Мясная гастрономия'!BO48+Сыр!BO48+'Кондитерские изделия'!BO48</f>
        <v>245</v>
      </c>
      <c r="BP59" s="22">
        <f>Пицца!BP48+Снеки!BP48+'Мясная гастрономия'!BP48+Сыр!BP48+'Кондитерские изделия'!BP48</f>
        <v>245</v>
      </c>
      <c r="BQ59" s="22">
        <f>Пицца!BQ48+Снеки!BQ48+'Мясная гастрономия'!BQ48+Сыр!BQ48+'Кондитерские изделия'!BQ48</f>
        <v>245</v>
      </c>
      <c r="BR59" s="22">
        <f>Пицца!BR48+Снеки!BR48+'Мясная гастрономия'!BR48+Сыр!BR48+'Кондитерские изделия'!BR48</f>
        <v>245</v>
      </c>
      <c r="BS59" s="22">
        <f>Пицца!BS48+Снеки!BS48+'Мясная гастрономия'!BS48+Сыр!BS48+'Кондитерские изделия'!BS48</f>
        <v>245</v>
      </c>
      <c r="BT59" s="22">
        <f>Пицца!BT48+Снеки!BT48+'Мясная гастрономия'!BT48+Сыр!BT48+'Кондитерские изделия'!BT48</f>
        <v>245</v>
      </c>
      <c r="BU59" s="22">
        <f>Пицца!BU48+Снеки!BU48+'Мясная гастрономия'!BU48+Сыр!BU48+'Кондитерские изделия'!BU48</f>
        <v>245</v>
      </c>
      <c r="BV59" s="22">
        <f>Пицца!BV48+Снеки!BV48+'Мясная гастрономия'!BV48+Сыр!BV48+'Кондитерские изделия'!BV48</f>
        <v>245</v>
      </c>
      <c r="BW59" s="22">
        <f>Пицца!BW48+Снеки!BW48+'Мясная гастрономия'!BW48+Сыр!BW48+'Кондитерские изделия'!BW48</f>
        <v>245</v>
      </c>
      <c r="BX59" s="22">
        <f>Пицца!BX48+Снеки!BX48+'Мясная гастрономия'!BX48+Сыр!BX48+'Кондитерские изделия'!BX48</f>
        <v>245</v>
      </c>
      <c r="BY59" s="22">
        <f>Пицца!BY48+Снеки!BY48+'Мясная гастрономия'!BY48+Сыр!BY48+'Кондитерские изделия'!BY48</f>
        <v>245</v>
      </c>
      <c r="BZ59" s="22">
        <f>Пицца!BZ48+Снеки!BZ48+'Мясная гастрономия'!BZ48+Сыр!BZ48+'Кондитерские изделия'!BZ48</f>
        <v>245</v>
      </c>
      <c r="CA59" s="22">
        <f>Пицца!CA48+Снеки!CA48+'Мясная гастрономия'!CA48+Сыр!CA48+'Кондитерские изделия'!CA48</f>
        <v>245</v>
      </c>
      <c r="CB59" s="22">
        <f>Пицца!CB48+Снеки!CB48+'Мясная гастрономия'!CB48+Сыр!CB48+'Кондитерские изделия'!CB48</f>
        <v>245</v>
      </c>
      <c r="CC59" s="22">
        <f>Пицца!CC48+Снеки!CC48+'Мясная гастрономия'!CC48+Сыр!CC48+'Кондитерские изделия'!CC48</f>
        <v>245</v>
      </c>
      <c r="CD59" s="22">
        <f>Пицца!CD48+Снеки!CD48+'Мясная гастрономия'!CD48+Сыр!CD48+'Кондитерские изделия'!CD48</f>
        <v>245</v>
      </c>
      <c r="CE59" s="22">
        <f>Пицца!CE48+Снеки!CE48+'Мясная гастрономия'!CE48+Сыр!CE48+'Кондитерские изделия'!CE48</f>
        <v>245</v>
      </c>
      <c r="CF59" s="22">
        <f>Пицца!CF48+Снеки!CF48+'Мясная гастрономия'!CF48+Сыр!CF48+'Кондитерские изделия'!CF48</f>
        <v>245</v>
      </c>
      <c r="CG59" s="22">
        <f>Пицца!CG48+Снеки!CG48+'Мясная гастрономия'!CG48+Сыр!CG48+'Кондитерские изделия'!CG48</f>
        <v>245</v>
      </c>
      <c r="CH59" s="22">
        <f>Пицца!CH48+Снеки!CH48+'Мясная гастрономия'!CH48+Сыр!CH48+'Кондитерские изделия'!CH48</f>
        <v>245</v>
      </c>
      <c r="CI59" s="22">
        <f>Пицца!CI48+Снеки!CI48+'Мясная гастрономия'!CI48+Сыр!CI48+'Кондитерские изделия'!CI48</f>
        <v>245</v>
      </c>
      <c r="CJ59" s="22">
        <f>Пицца!CJ48+Снеки!CJ48+'Мясная гастрономия'!CJ48+Сыр!CJ48+'Кондитерские изделия'!CJ48</f>
        <v>245</v>
      </c>
      <c r="CK59" s="22">
        <f>Пицца!CK48+Снеки!CK48+'Мясная гастрономия'!CK48+Сыр!CK48+'Кондитерские изделия'!CK48</f>
        <v>245</v>
      </c>
      <c r="CN59" s="10"/>
      <c r="CO59" s="10">
        <f t="shared" ref="CO59" si="234">SUMIF($F$2:$CK$2,CO$3,$F59:$CK59)</f>
        <v>400</v>
      </c>
      <c r="CP59" s="10">
        <f t="shared" si="223"/>
        <v>318</v>
      </c>
      <c r="CQ59" s="10">
        <f t="shared" si="224"/>
        <v>2263</v>
      </c>
      <c r="CR59" s="10">
        <f t="shared" si="224"/>
        <v>2920</v>
      </c>
      <c r="CS59" s="10">
        <f t="shared" si="224"/>
        <v>2940</v>
      </c>
      <c r="CT59" s="10">
        <f t="shared" si="222"/>
        <v>2940</v>
      </c>
      <c r="CU59" s="10">
        <f t="shared" si="222"/>
        <v>2940</v>
      </c>
      <c r="CV59" s="10"/>
    </row>
    <row r="60" spans="2:107" outlineLevel="1" x14ac:dyDescent="0.2">
      <c r="B60" s="98" t="s">
        <v>17</v>
      </c>
      <c r="C60" s="89" t="s">
        <v>4</v>
      </c>
      <c r="D60" s="92"/>
      <c r="F60" s="94">
        <f t="shared" ref="F60:AK60" si="235">SUM(F61:F62)</f>
        <v>2731.031508</v>
      </c>
      <c r="G60" s="94">
        <f t="shared" si="235"/>
        <v>2995.0368239999998</v>
      </c>
      <c r="H60" s="94">
        <f t="shared" si="235"/>
        <v>2435.5885800000001</v>
      </c>
      <c r="I60" s="94">
        <f t="shared" si="235"/>
        <v>2583.3579480000003</v>
      </c>
      <c r="J60" s="94">
        <f t="shared" si="235"/>
        <v>2233.7488200000003</v>
      </c>
      <c r="K60" s="94">
        <f t="shared" si="235"/>
        <v>2573.8716839999993</v>
      </c>
      <c r="L60" s="94">
        <f t="shared" si="235"/>
        <v>2734.3339059999998</v>
      </c>
      <c r="M60" s="94">
        <f t="shared" si="235"/>
        <v>2565.4627619999997</v>
      </c>
      <c r="N60" s="94">
        <f t="shared" si="235"/>
        <v>1648.6323579999998</v>
      </c>
      <c r="O60" s="94">
        <f t="shared" si="235"/>
        <v>2406.1818980000003</v>
      </c>
      <c r="P60" s="94">
        <f t="shared" si="235"/>
        <v>2105.2395019999999</v>
      </c>
      <c r="Q60" s="94">
        <f t="shared" si="235"/>
        <v>2129.008026</v>
      </c>
      <c r="R60" s="94">
        <f t="shared" si="235"/>
        <v>1638.5648204000001</v>
      </c>
      <c r="S60" s="94">
        <f t="shared" si="235"/>
        <v>1504.921126</v>
      </c>
      <c r="T60" s="94">
        <f t="shared" si="235"/>
        <v>2096.1293191999998</v>
      </c>
      <c r="U60" s="94">
        <f t="shared" si="235"/>
        <v>1691.0211500999999</v>
      </c>
      <c r="V60" s="94">
        <f t="shared" si="235"/>
        <v>1739.5354348000003</v>
      </c>
      <c r="W60" s="94">
        <f t="shared" si="235"/>
        <v>1793.9833356000004</v>
      </c>
      <c r="X60" s="94">
        <f t="shared" si="235"/>
        <v>2340.6879156</v>
      </c>
      <c r="Y60" s="94">
        <f t="shared" si="235"/>
        <v>2268.3681420000003</v>
      </c>
      <c r="Z60" s="94">
        <f t="shared" si="235"/>
        <v>2290.2563481000002</v>
      </c>
      <c r="AA60" s="94">
        <f t="shared" si="235"/>
        <v>1998.7589553000003</v>
      </c>
      <c r="AB60" s="94">
        <f t="shared" si="235"/>
        <v>1929.6969735</v>
      </c>
      <c r="AC60" s="94">
        <f t="shared" si="235"/>
        <v>2317.9314896000005</v>
      </c>
      <c r="AD60" s="94">
        <f t="shared" si="235"/>
        <v>1551.7869300000002</v>
      </c>
      <c r="AE60" s="94">
        <f t="shared" si="235"/>
        <v>1643.67383</v>
      </c>
      <c r="AF60" s="94">
        <f t="shared" si="235"/>
        <v>2052.31567</v>
      </c>
      <c r="AG60" s="94">
        <f t="shared" si="235"/>
        <v>2039.3867062500001</v>
      </c>
      <c r="AH60" s="94">
        <f t="shared" si="235"/>
        <v>2183.0478508187498</v>
      </c>
      <c r="AI60" s="94">
        <f t="shared" si="235"/>
        <v>2272.1964555517188</v>
      </c>
      <c r="AJ60" s="94">
        <f t="shared" si="235"/>
        <v>2418.826909082296</v>
      </c>
      <c r="AK60" s="94">
        <f t="shared" si="235"/>
        <v>3223.6661134431674</v>
      </c>
      <c r="AL60" s="94">
        <f t="shared" ref="AL60:BQ60" si="236">SUM(AL61:AL62)</f>
        <v>3594.0287772736156</v>
      </c>
      <c r="AM60" s="94">
        <f t="shared" si="236"/>
        <v>3607.6781017820717</v>
      </c>
      <c r="AN60" s="94">
        <f t="shared" si="236"/>
        <v>3702.4161788366268</v>
      </c>
      <c r="AO60" s="94">
        <f t="shared" si="236"/>
        <v>3708.6398724637702</v>
      </c>
      <c r="AP60" s="94">
        <f t="shared" si="236"/>
        <v>2084.3949080571597</v>
      </c>
      <c r="AQ60" s="94">
        <f t="shared" si="236"/>
        <v>2398.7660401659346</v>
      </c>
      <c r="AR60" s="94">
        <f t="shared" si="236"/>
        <v>2860.4411525007981</v>
      </c>
      <c r="AS60" s="94">
        <f t="shared" si="236"/>
        <v>3071.5745453175387</v>
      </c>
      <c r="AT60" s="94">
        <f t="shared" si="236"/>
        <v>3191.65795691942</v>
      </c>
      <c r="AU60" s="94">
        <f t="shared" si="236"/>
        <v>3253.573907716438</v>
      </c>
      <c r="AV60" s="94">
        <f t="shared" si="236"/>
        <v>3316.795863899179</v>
      </c>
      <c r="AW60" s="94">
        <f t="shared" si="236"/>
        <v>3165.4808222387142</v>
      </c>
      <c r="AX60" s="94">
        <f t="shared" si="236"/>
        <v>3080.2581221231899</v>
      </c>
      <c r="AY60" s="94">
        <f t="shared" si="236"/>
        <v>2998.3785721671843</v>
      </c>
      <c r="AZ60" s="94">
        <f t="shared" si="236"/>
        <v>2864.3879214862013</v>
      </c>
      <c r="BA60" s="94">
        <f t="shared" si="236"/>
        <v>3740.8730840233511</v>
      </c>
      <c r="BB60" s="94">
        <f t="shared" si="236"/>
        <v>2426.9579242094092</v>
      </c>
      <c r="BC60" s="94">
        <f t="shared" si="236"/>
        <v>2795.2846839951831</v>
      </c>
      <c r="BD60" s="94">
        <f t="shared" si="236"/>
        <v>3331.2512596885108</v>
      </c>
      <c r="BE60" s="94">
        <f t="shared" si="236"/>
        <v>3576.4321407776047</v>
      </c>
      <c r="BF60" s="94">
        <f t="shared" si="236"/>
        <v>3716.1374853372481</v>
      </c>
      <c r="BG60" s="94">
        <f t="shared" si="236"/>
        <v>3787.9823273049456</v>
      </c>
      <c r="BH60" s="94">
        <f t="shared" si="236"/>
        <v>3861.3483290597619</v>
      </c>
      <c r="BI60" s="94">
        <f t="shared" si="236"/>
        <v>3685.73693889267</v>
      </c>
      <c r="BJ60" s="94">
        <f t="shared" si="236"/>
        <v>3586.5257308622936</v>
      </c>
      <c r="BK60" s="94">
        <f t="shared" si="236"/>
        <v>3491.451563578089</v>
      </c>
      <c r="BL60" s="94">
        <f t="shared" si="236"/>
        <v>3377.8467296113304</v>
      </c>
      <c r="BM60" s="94">
        <f t="shared" si="236"/>
        <v>4355.5374893381459</v>
      </c>
      <c r="BN60" s="94">
        <f t="shared" si="236"/>
        <v>2828.2356740138212</v>
      </c>
      <c r="BO60" s="94">
        <f t="shared" si="236"/>
        <v>3254.8260564023253</v>
      </c>
      <c r="BP60" s="94">
        <f t="shared" si="236"/>
        <v>3876.8772920094216</v>
      </c>
      <c r="BQ60" s="94">
        <f t="shared" si="236"/>
        <v>4161.4086331569224</v>
      </c>
      <c r="BR60" s="94">
        <f t="shared" ref="BR60:BX60" si="237">SUM(BR61:BR62)</f>
        <v>4323.9043277305473</v>
      </c>
      <c r="BS60" s="94">
        <f t="shared" si="237"/>
        <v>4407.5141942892369</v>
      </c>
      <c r="BT60" s="94">
        <f t="shared" si="237"/>
        <v>4492.8978656432328</v>
      </c>
      <c r="BU60" s="94">
        <f t="shared" si="237"/>
        <v>4289.328912356309</v>
      </c>
      <c r="BV60" s="94">
        <f t="shared" si="237"/>
        <v>4174.0775598202035</v>
      </c>
      <c r="BW60" s="94">
        <f t="shared" si="237"/>
        <v>4115.2643782986706</v>
      </c>
      <c r="BX60" s="94">
        <f t="shared" si="237"/>
        <v>3931.819354635154</v>
      </c>
      <c r="BY60" s="94">
        <f t="shared" ref="BY60:CK60" si="238">SUM(BY61:BY62)</f>
        <v>5069.6771270943027</v>
      </c>
      <c r="BZ60" s="94">
        <f t="shared" si="238"/>
        <v>3218.5858890031923</v>
      </c>
      <c r="CA60" s="94">
        <f t="shared" si="238"/>
        <v>3710.9916736024761</v>
      </c>
      <c r="CB60" s="94">
        <f t="shared" si="238"/>
        <v>4426.0480281534983</v>
      </c>
      <c r="CC60" s="94">
        <f t="shared" si="238"/>
        <v>4754.6045932996776</v>
      </c>
      <c r="CD60" s="94">
        <f t="shared" si="238"/>
        <v>4941.0886704751592</v>
      </c>
      <c r="CE60" s="94">
        <f t="shared" si="238"/>
        <v>5038.7280034494788</v>
      </c>
      <c r="CF60" s="94">
        <f t="shared" si="238"/>
        <v>5138.4620222671701</v>
      </c>
      <c r="CG60" s="94">
        <f t="shared" si="238"/>
        <v>4906.9422297948258</v>
      </c>
      <c r="CH60" s="94">
        <f t="shared" si="238"/>
        <v>4839.5088987371901</v>
      </c>
      <c r="CI60" s="94">
        <f t="shared" si="238"/>
        <v>4712.3758609300394</v>
      </c>
      <c r="CJ60" s="94">
        <f t="shared" si="238"/>
        <v>4503.5519375091008</v>
      </c>
      <c r="CK60" s="94">
        <f t="shared" si="238"/>
        <v>5804.4123909824712</v>
      </c>
      <c r="CN60" s="14"/>
      <c r="CO60" s="94">
        <f>SUMIF($F$2:$CK$2,CO$3,$F60:$CK60)</f>
        <v>29141.493815999998</v>
      </c>
      <c r="CP60" s="94">
        <f t="shared" ref="CP60:CP69" si="239">SUMIF($L$2:$CK$2,CP$3,$L60:$CK60)</f>
        <v>23609.855010199997</v>
      </c>
      <c r="CQ60" s="94">
        <f t="shared" si="224"/>
        <v>31997.663395502015</v>
      </c>
      <c r="CR60" s="94">
        <f t="shared" si="224"/>
        <v>36026.582896615117</v>
      </c>
      <c r="CS60" s="94">
        <f t="shared" si="224"/>
        <v>41992.492602655191</v>
      </c>
      <c r="CT60" s="94">
        <f t="shared" si="222"/>
        <v>48925.831375450143</v>
      </c>
      <c r="CU60" s="94">
        <f t="shared" si="222"/>
        <v>55995.300198204284</v>
      </c>
      <c r="CV60" s="8"/>
    </row>
    <row r="61" spans="2:107" outlineLevel="2" x14ac:dyDescent="0.2">
      <c r="B61" s="95" t="s">
        <v>90</v>
      </c>
      <c r="C61" s="97" t="s">
        <v>4</v>
      </c>
      <c r="D61" s="104"/>
      <c r="E61" s="158"/>
      <c r="F61" s="22">
        <f>Мясо!F81</f>
        <v>2731.031508</v>
      </c>
      <c r="G61" s="22">
        <f>Мясо!G81</f>
        <v>2995.0368239999998</v>
      </c>
      <c r="H61" s="22">
        <f>Мясо!H81</f>
        <v>2435.5885800000001</v>
      </c>
      <c r="I61" s="22">
        <f>Мясо!I81</f>
        <v>2583.3579480000003</v>
      </c>
      <c r="J61" s="22">
        <f>Мясо!J81</f>
        <v>2233.7488200000003</v>
      </c>
      <c r="K61" s="22">
        <f>Мясо!K81</f>
        <v>2573.8716839999993</v>
      </c>
      <c r="L61" s="22">
        <f>Мясо!L81</f>
        <v>2733.1882559999999</v>
      </c>
      <c r="M61" s="22">
        <f>Мясо!M81</f>
        <v>2562.2739119999997</v>
      </c>
      <c r="N61" s="22">
        <f>Мясо!N81</f>
        <v>1642.6288079999999</v>
      </c>
      <c r="O61" s="22">
        <f>Мясо!O81</f>
        <v>2403.0561480000001</v>
      </c>
      <c r="P61" s="22">
        <f>Мясо!P81</f>
        <v>2102.7601519999998</v>
      </c>
      <c r="Q61" s="22">
        <f>Мясо!Q81</f>
        <v>2126.0036759999998</v>
      </c>
      <c r="R61" s="22">
        <f>Мясо!R81</f>
        <v>1634.7314204000002</v>
      </c>
      <c r="S61" s="22">
        <f>Мясо!S81</f>
        <v>1498.8447759999999</v>
      </c>
      <c r="T61" s="22">
        <f>Мясо!T81</f>
        <v>2092.87318</v>
      </c>
      <c r="U61" s="22">
        <f>Мясо!U81</f>
        <v>1659.7442976</v>
      </c>
      <c r="V61" s="22">
        <f>Мясо!V81</f>
        <v>1710.2202688000002</v>
      </c>
      <c r="W61" s="22">
        <f>Мясо!W81</f>
        <v>1752.2422856000003</v>
      </c>
      <c r="X61" s="22">
        <f>Мясо!X81</f>
        <v>2257.4117996</v>
      </c>
      <c r="Y61" s="22">
        <f>Мясо!Y81</f>
        <v>2208.1920500000001</v>
      </c>
      <c r="Z61" s="22">
        <f>Мясо!Z81</f>
        <v>2241.2125656000003</v>
      </c>
      <c r="AA61" s="22">
        <f>Мясо!AA81</f>
        <v>1943.1238068000002</v>
      </c>
      <c r="AB61" s="22">
        <f>Мясо!AB81</f>
        <v>1891.439484</v>
      </c>
      <c r="AC61" s="22">
        <f>Мясо!AC81</f>
        <v>2247.8231096000004</v>
      </c>
      <c r="AD61" s="22">
        <f>Мясо!AD81</f>
        <v>1527.0810800000002</v>
      </c>
      <c r="AE61" s="22">
        <f>Мясо!AE81</f>
        <v>1614.17428</v>
      </c>
      <c r="AF61" s="22">
        <f>Мясо!AF81</f>
        <v>2017.4519199999997</v>
      </c>
      <c r="AG61" s="22">
        <f>Мясо!AG81</f>
        <v>2004</v>
      </c>
      <c r="AH61" s="22">
        <f>Мясо!AH81</f>
        <v>2084</v>
      </c>
      <c r="AI61" s="22">
        <f>Мясо!AI81</f>
        <v>2128</v>
      </c>
      <c r="AJ61" s="22">
        <f>Мясо!AJ81</f>
        <v>2260</v>
      </c>
      <c r="AK61" s="22">
        <f>Мясо!AK81</f>
        <v>3040</v>
      </c>
      <c r="AL61" s="22">
        <f>Мясо!AL81</f>
        <v>3400</v>
      </c>
      <c r="AM61" s="22">
        <f>Мясо!AM81</f>
        <v>3409.6</v>
      </c>
      <c r="AN61" s="22">
        <f>Мясо!AN81</f>
        <v>3500</v>
      </c>
      <c r="AO61" s="22">
        <f>Мясо!AO81</f>
        <v>3500</v>
      </c>
      <c r="AP61" s="22">
        <f>Мясо!AP81</f>
        <v>1858.5250000000001</v>
      </c>
      <c r="AQ61" s="22">
        <f>Мясо!AQ81</f>
        <v>2167.057291666667</v>
      </c>
      <c r="AR61" s="22">
        <f>Мясо!AR81</f>
        <v>2621.8171296296291</v>
      </c>
      <c r="AS61" s="22">
        <f>Мясо!AS81</f>
        <v>2825.4562014763906</v>
      </c>
      <c r="AT61" s="22">
        <f>Мясо!AT81</f>
        <v>2943.1835432045737</v>
      </c>
      <c r="AU61" s="22">
        <f>Мясо!AU81</f>
        <v>3003.2485134740546</v>
      </c>
      <c r="AV61" s="22">
        <f>Мясо!AV81</f>
        <v>3064.5392994633212</v>
      </c>
      <c r="AW61" s="22">
        <f>Мясо!AW81</f>
        <v>2911.2058222913788</v>
      </c>
      <c r="AX61" s="22">
        <f>Мясо!AX81</f>
        <v>2823.8696476226378</v>
      </c>
      <c r="AY61" s="22">
        <f>Мясо!AY81</f>
        <v>2739.1535581939588</v>
      </c>
      <c r="AZ61" s="22">
        <f>Мясо!AZ81</f>
        <v>2602.1958802842601</v>
      </c>
      <c r="BA61" s="22">
        <f>Мясо!BA81</f>
        <v>3469.5945070456805</v>
      </c>
      <c r="BB61" s="22">
        <f>Мясо!BB81</f>
        <v>2153.7456327646564</v>
      </c>
      <c r="BC61" s="22">
        <f>Мясо!BC81</f>
        <v>2521.3553320312503</v>
      </c>
      <c r="BD61" s="22">
        <f>Мясо!BD81</f>
        <v>3048.7762369791667</v>
      </c>
      <c r="BE61" s="22">
        <f>Мясо!BE81</f>
        <v>3284.6893121778353</v>
      </c>
      <c r="BF61" s="22">
        <f>Мясо!BF81</f>
        <v>3421.551366851912</v>
      </c>
      <c r="BG61" s="22">
        <f>Мясо!BG81</f>
        <v>3491.3789457672574</v>
      </c>
      <c r="BH61" s="22">
        <f>Мясо!BH81</f>
        <v>3562.6315773135279</v>
      </c>
      <c r="BI61" s="22">
        <f>Мясо!BI81</f>
        <v>3384.8019122080204</v>
      </c>
      <c r="BJ61" s="22">
        <f>Мясо!BJ81</f>
        <v>3283.2578548417787</v>
      </c>
      <c r="BK61" s="22">
        <f>Мясо!BK81</f>
        <v>3184.7601191965259</v>
      </c>
      <c r="BL61" s="22">
        <f>Мясо!BL81</f>
        <v>3067.5706558678276</v>
      </c>
      <c r="BM61" s="22">
        <f>Мясо!BM81</f>
        <v>4034.0294843155984</v>
      </c>
      <c r="BN61" s="22">
        <f>Мясо!BN81</f>
        <v>2507.9103419984158</v>
      </c>
      <c r="BO61" s="22">
        <f>Мясо!BO81</f>
        <v>2933.6547021064462</v>
      </c>
      <c r="BP61" s="22">
        <f>Мясо!BP81</f>
        <v>3545.3619087988286</v>
      </c>
      <c r="BQ61" s="22">
        <f>Мясо!BQ81</f>
        <v>3818.6695354884828</v>
      </c>
      <c r="BR61" s="22">
        <f>Мясо!BR81</f>
        <v>3977.7807661338366</v>
      </c>
      <c r="BS61" s="22">
        <f>Мясо!BS81</f>
        <v>4058.9599654426902</v>
      </c>
      <c r="BT61" s="22">
        <f>Мясо!BT81</f>
        <v>4141.7958831047863</v>
      </c>
      <c r="BU61" s="22">
        <f>Мясо!BU81</f>
        <v>3935.5513571380229</v>
      </c>
      <c r="BV61" s="22">
        <f>Мясо!BV81</f>
        <v>3817.4848164238824</v>
      </c>
      <c r="BW61" s="22">
        <f>Мясо!BW81</f>
        <v>3754.5826037950455</v>
      </c>
      <c r="BX61" s="22">
        <f>Мясо!BX81</f>
        <v>3566.8534736052925</v>
      </c>
      <c r="BY61" s="22">
        <f>Мясо!BY81</f>
        <v>4691.0988735498822</v>
      </c>
      <c r="BZ61" s="22">
        <f>Мясо!BZ81</f>
        <v>2855.0360637422832</v>
      </c>
      <c r="CA61" s="22">
        <f>Мясо!CA81</f>
        <v>3345.2311759919357</v>
      </c>
      <c r="CB61" s="22">
        <f>Мясо!CB81</f>
        <v>4047.7187837139454</v>
      </c>
      <c r="CC61" s="22">
        <f>Мясо!CC81</f>
        <v>4362.6341362793428</v>
      </c>
      <c r="CD61" s="22">
        <f>Мясо!CD81</f>
        <v>4545.0416481118245</v>
      </c>
      <c r="CE61" s="22">
        <f>Мясо!CE81</f>
        <v>4638.4415689789093</v>
      </c>
      <c r="CF61" s="22">
        <f>Мясо!CF81</f>
        <v>4733.7607529017478</v>
      </c>
      <c r="CG61" s="22">
        <f>Мясо!CG81</f>
        <v>4497.6369335369191</v>
      </c>
      <c r="CH61" s="22">
        <f>Мясо!CH81</f>
        <v>4425.3953030560933</v>
      </c>
      <c r="CI61" s="22">
        <f>Мясо!CI81</f>
        <v>4293.2331715110904</v>
      </c>
      <c r="CJ61" s="22">
        <f>Мясо!CJ81</f>
        <v>4079.1412541048817</v>
      </c>
      <c r="CK61" s="22">
        <f>Мясо!CK81</f>
        <v>5363.3523012053711</v>
      </c>
      <c r="CN61" s="10"/>
      <c r="CO61" s="10">
        <f>SUMIF($F$2:$CK$2,CO$3,$F61:$CK61)</f>
        <v>29122.546316000004</v>
      </c>
      <c r="CP61" s="10">
        <f t="shared" si="239"/>
        <v>23137.859044000001</v>
      </c>
      <c r="CQ61" s="10">
        <f t="shared" si="224"/>
        <v>30484.307279999997</v>
      </c>
      <c r="CR61" s="10">
        <f t="shared" si="224"/>
        <v>33029.846394352557</v>
      </c>
      <c r="CS61" s="10">
        <f t="shared" si="224"/>
        <v>38438.548430315364</v>
      </c>
      <c r="CT61" s="10">
        <f t="shared" si="222"/>
        <v>44749.704227585607</v>
      </c>
      <c r="CU61" s="10">
        <f t="shared" si="222"/>
        <v>51186.623093134345</v>
      </c>
      <c r="CV61" s="8"/>
    </row>
    <row r="62" spans="2:107" outlineLevel="2" x14ac:dyDescent="0.2">
      <c r="B62" s="95" t="s">
        <v>282</v>
      </c>
      <c r="C62" s="97" t="s">
        <v>4</v>
      </c>
      <c r="D62" s="104"/>
      <c r="E62" s="158"/>
      <c r="F62" s="22">
        <f>Пицца!F51+Снеки!F51+'Мясная гастрономия'!F51+Сыр!F51+'Кондитерские изделия'!F51</f>
        <v>0</v>
      </c>
      <c r="G62" s="22">
        <f>Пицца!G51+Снеки!G51+'Мясная гастрономия'!G51+Сыр!G51+'Кондитерские изделия'!G51</f>
        <v>0</v>
      </c>
      <c r="H62" s="22">
        <f>Пицца!H51+Снеки!H51+'Мясная гастрономия'!H51+Сыр!H51+'Кондитерские изделия'!H51</f>
        <v>0</v>
      </c>
      <c r="I62" s="22">
        <f>Пицца!I51+Снеки!I51+'Мясная гастрономия'!I51+Сыр!I51+'Кондитерские изделия'!I51</f>
        <v>0</v>
      </c>
      <c r="J62" s="22">
        <f>Пицца!J51+Снеки!J51+'Мясная гастрономия'!J51+Сыр!J51+'Кондитерские изделия'!J51</f>
        <v>0</v>
      </c>
      <c r="K62" s="22">
        <f>Пицца!K51+Снеки!K51+'Мясная гастрономия'!K51+Сыр!K51+'Кондитерские изделия'!K51</f>
        <v>0</v>
      </c>
      <c r="L62" s="22">
        <f>Пицца!L51+Снеки!L51+'Мясная гастрономия'!L51+Сыр!L51+'Кондитерские изделия'!L51</f>
        <v>1.1456500000000001</v>
      </c>
      <c r="M62" s="22">
        <f>Пицца!M51+Снеки!M51+'Мясная гастрономия'!M51+Сыр!M51+'Кондитерские изделия'!M51</f>
        <v>3.1888500000000004</v>
      </c>
      <c r="N62" s="22">
        <f>Пицца!N51+Снеки!N51+'Мясная гастрономия'!N51+Сыр!N51+'Кондитерские изделия'!N51</f>
        <v>6.0035499999999997</v>
      </c>
      <c r="O62" s="22">
        <f>Пицца!O51+Снеки!O51+'Мясная гастрономия'!O51+Сыр!O51+'Кондитерские изделия'!O51</f>
        <v>3.12575</v>
      </c>
      <c r="P62" s="22">
        <f>Пицца!P51+Снеки!P51+'Мясная гастрономия'!P51+Сыр!P51+'Кондитерские изделия'!P51</f>
        <v>2.4793500000000002</v>
      </c>
      <c r="Q62" s="22">
        <f>Пицца!Q51+Снеки!Q51+'Мясная гастрономия'!Q51+Сыр!Q51+'Кондитерские изделия'!Q51</f>
        <v>3.0043500000000001</v>
      </c>
      <c r="R62" s="22">
        <f>Пицца!R51+Снеки!R51+'Мясная гастрономия'!R51+Сыр!R51+'Кондитерские изделия'!R51</f>
        <v>3.8334000000000001</v>
      </c>
      <c r="S62" s="22">
        <f>Пицца!S51+Снеки!S51+'Мясная гастрономия'!S51+Сыр!S51+'Кондитерские изделия'!S51</f>
        <v>6.0763500000000006</v>
      </c>
      <c r="T62" s="22">
        <f>Пицца!T51+Снеки!T51+'Мясная гастрономия'!T51+Сыр!T51+'Кондитерские изделия'!T51</f>
        <v>3.2561392000000002</v>
      </c>
      <c r="U62" s="22">
        <f>Пицца!U51+Снеки!U51+'Мясная гастрономия'!U51+Сыр!U51+'Кондитерские изделия'!U51</f>
        <v>31.276852499999997</v>
      </c>
      <c r="V62" s="22">
        <f>Пицца!V51+Снеки!V51+'Мясная гастрономия'!V51+Сыр!V51+'Кондитерские изделия'!V51</f>
        <v>29.315166000000001</v>
      </c>
      <c r="W62" s="22">
        <f>Пицца!W51+Снеки!W51+'Мясная гастрономия'!W51+Сыр!W51+'Кондитерские изделия'!W51</f>
        <v>41.741050000000001</v>
      </c>
      <c r="X62" s="22">
        <f>Пицца!X51+Снеки!X51+'Мясная гастрономия'!X51+Сыр!X51+'Кондитерские изделия'!X51</f>
        <v>83.276116000000002</v>
      </c>
      <c r="Y62" s="22">
        <f>Пицца!Y51+Снеки!Y51+'Мясная гастрономия'!Y51+Сыр!Y51+'Кондитерские изделия'!Y51</f>
        <v>60.176092000000004</v>
      </c>
      <c r="Z62" s="22">
        <f>Пицца!Z51+Снеки!Z51+'Мясная гастрономия'!Z51+Сыр!Z51+'Кондитерские изделия'!Z51</f>
        <v>49.043782500000013</v>
      </c>
      <c r="AA62" s="22">
        <f>Пицца!AA51+Снеки!AA51+'Мясная гастрономия'!AA51+Сыр!AA51+'Кондитерские изделия'!AA51</f>
        <v>55.635148500000007</v>
      </c>
      <c r="AB62" s="22">
        <f>Пицца!AB51+Снеки!AB51+'Мясная гастрономия'!AB51+Сыр!AB51+'Кондитерские изделия'!AB51</f>
        <v>38.257489500000005</v>
      </c>
      <c r="AC62" s="22">
        <f>Пицца!AC51+Снеки!AC51+'Мясная гастрономия'!AC51+Сыр!AC51+'Кондитерские изделия'!AC51</f>
        <v>70.108380000000011</v>
      </c>
      <c r="AD62" s="22">
        <f>Пицца!AD51+Снеки!AD51+'Мясная гастрономия'!AD51+Сыр!AD51+'Кондитерские изделия'!AD51</f>
        <v>24.705850000000002</v>
      </c>
      <c r="AE62" s="22">
        <f>Пицца!AE51+Снеки!AE51+'Мясная гастрономия'!AE51+Сыр!AE51+'Кондитерские изделия'!AE51</f>
        <v>29.499549999999999</v>
      </c>
      <c r="AF62" s="22">
        <f>Пицца!AF51+Снеки!AF51+'Мясная гастрономия'!AF51+Сыр!AF51+'Кондитерские изделия'!AF51</f>
        <v>34.863749999999996</v>
      </c>
      <c r="AG62" s="22">
        <f>Пицца!AG51+Снеки!AG51+'Мясная гастрономия'!AG51+Сыр!AG51+'Кондитерские изделия'!AG51</f>
        <v>35.386706250000003</v>
      </c>
      <c r="AH62" s="22">
        <f>Пицца!AH51+Снеки!AH51+'Мясная гастрономия'!AH51+Сыр!AH51+'Кондитерские изделия'!AH51</f>
        <v>99.047850818749993</v>
      </c>
      <c r="AI62" s="22">
        <f>Пицца!AI51+Снеки!AI51+'Мясная гастрономия'!AI51+Сыр!AI51+'Кондитерские изделия'!AI51</f>
        <v>144.19645555171874</v>
      </c>
      <c r="AJ62" s="22">
        <f>Пицца!AJ51+Снеки!AJ51+'Мясная гастрономия'!AJ51+Сыр!AJ51+'Кондитерские изделия'!AJ51</f>
        <v>158.82690908229608</v>
      </c>
      <c r="AK62" s="22">
        <f>Пицца!AK51+Снеки!AK51+'Мясная гастрономия'!AK51+Сыр!AK51+'Кондитерские изделия'!AK51</f>
        <v>183.66611344316726</v>
      </c>
      <c r="AL62" s="22">
        <f>Пицца!AL51+Снеки!AL51+'Мясная гастрономия'!AL51+Сыр!AL51+'Кондитерские изделия'!AL51</f>
        <v>194.02877727361573</v>
      </c>
      <c r="AM62" s="22">
        <f>Пицца!AM51+Снеки!AM51+'Мясная гастрономия'!AM51+Сыр!AM51+'Кондитерские изделия'!AM51</f>
        <v>198.07810178207166</v>
      </c>
      <c r="AN62" s="22">
        <f>Пицца!AN51+Снеки!AN51+'Мясная гастрономия'!AN51+Сыр!AN51+'Кондитерские изделия'!AN51</f>
        <v>202.41617883662678</v>
      </c>
      <c r="AO62" s="22">
        <f>Пицца!AO51+Снеки!AO51+'Мясная гастрономия'!AO51+Сыр!AO51+'Кондитерские изделия'!AO51</f>
        <v>208.6398724637701</v>
      </c>
      <c r="AP62" s="22">
        <f>Пицца!AP51+Снеки!AP51+'Мясная гастрономия'!AP51+Сыр!AP51+'Кондитерские изделия'!AP51</f>
        <v>225.86990805715951</v>
      </c>
      <c r="AQ62" s="22">
        <f>Пицца!AQ51+Снеки!AQ51+'Мясная гастрономия'!AQ51+Сыр!AQ51+'Кондитерские изделия'!AQ51</f>
        <v>231.70874849926776</v>
      </c>
      <c r="AR62" s="22">
        <f>Пицца!AR51+Снеки!AR51+'Мясная гастрономия'!AR51+Сыр!AR51+'Кондитерские изделия'!AR51</f>
        <v>238.62402287116902</v>
      </c>
      <c r="AS62" s="22">
        <f>Пицца!AS51+Снеки!AS51+'Мясная гастрономия'!AS51+Сыр!AS51+'Кондитерские изделия'!AS51</f>
        <v>246.11834384114798</v>
      </c>
      <c r="AT62" s="22">
        <f>Пицца!AT51+Снеки!AT51+'Мясная гастрономия'!AT51+Сыр!AT51+'Кондитерские изделия'!AT51</f>
        <v>248.47441371484649</v>
      </c>
      <c r="AU62" s="22">
        <f>Пицца!AU51+Снеки!AU51+'Мясная гастрономия'!AU51+Сыр!AU51+'Кондитерские изделия'!AU51</f>
        <v>250.32539424238325</v>
      </c>
      <c r="AV62" s="22">
        <f>Пицца!AV51+Снеки!AV51+'Мясная гастрономия'!AV51+Сыр!AV51+'Кондитерские изделия'!AV51</f>
        <v>252.256564435858</v>
      </c>
      <c r="AW62" s="22">
        <f>Пицца!AW51+Снеки!AW51+'Мясная гастрономия'!AW51+Сыр!AW51+'Кондитерские изделия'!AW51</f>
        <v>254.27499994733526</v>
      </c>
      <c r="AX62" s="22">
        <f>Пицца!AX51+Снеки!AX51+'Мясная гастрономия'!AX51+Сыр!AX51+'Кондитерские изделия'!AX51</f>
        <v>256.38847450055198</v>
      </c>
      <c r="AY62" s="22">
        <f>Пицца!AY51+Снеки!AY51+'Мясная гастрономия'!AY51+Сыр!AY51+'Кондитерские изделия'!AY51</f>
        <v>259.2250139732256</v>
      </c>
      <c r="AZ62" s="22">
        <f>Пицца!AZ51+Снеки!AZ51+'Мясная гастрономия'!AZ51+Сыр!AZ51+'Кондитерские изделия'!AZ51</f>
        <v>262.19204120194132</v>
      </c>
      <c r="BA62" s="22">
        <f>Пицца!BA51+Снеки!BA51+'Мясная гастрономия'!BA51+Сыр!BA51+'Кондитерские изделия'!BA51</f>
        <v>271.27857697767081</v>
      </c>
      <c r="BB62" s="22">
        <f>Пицца!BB51+Снеки!BB51+'Мясная гастрономия'!BB51+Сыр!BB51+'Кондитерские изделия'!BB51</f>
        <v>273.21229144475274</v>
      </c>
      <c r="BC62" s="22">
        <f>Пицца!BC51+Снеки!BC51+'Мясная гастрономия'!BC51+Сыр!BC51+'Кондитерские изделия'!BC51</f>
        <v>273.92935196393262</v>
      </c>
      <c r="BD62" s="22">
        <f>Пицца!BD51+Снеки!BD51+'Мясная гастрономия'!BD51+Сыр!BD51+'Кондитерские изделия'!BD51</f>
        <v>282.47502270934405</v>
      </c>
      <c r="BE62" s="22">
        <f>Пицца!BE51+Снеки!BE51+'Мясная гастрономия'!BE51+Сыр!BE51+'Кондитерские изделия'!BE51</f>
        <v>291.74282859976944</v>
      </c>
      <c r="BF62" s="22">
        <f>Пицца!BF51+Снеки!BF51+'Мясная гастрономия'!BF51+Сыр!BF51+'Кондитерские изделия'!BF51</f>
        <v>294.58611848533633</v>
      </c>
      <c r="BG62" s="22">
        <f>Пицца!BG51+Снеки!BG51+'Мясная гастрономия'!BG51+Сыр!BG51+'Кондитерские изделия'!BG51</f>
        <v>296.60338153768828</v>
      </c>
      <c r="BH62" s="22">
        <f>Пицца!BH51+Снеки!BH51+'Мясная гастрономия'!BH51+Сыр!BH51+'Кондитерские изделия'!BH51</f>
        <v>298.71675174623385</v>
      </c>
      <c r="BI62" s="22">
        <f>Пицца!BI51+Снеки!BI51+'Мясная гастрономия'!BI51+Сыр!BI51+'Кондитерские изделия'!BI51</f>
        <v>300.93502668464947</v>
      </c>
      <c r="BJ62" s="22">
        <f>Пицца!BJ51+Снеки!BJ51+'Мясная гастрономия'!BJ51+Сыр!BJ51+'Кондитерские изделия'!BJ51</f>
        <v>303.26787602051473</v>
      </c>
      <c r="BK62" s="22">
        <f>Пицца!BK51+Снеки!BK51+'Мясная гастрономия'!BK51+Сыр!BK51+'Кондитерские изделия'!BK51</f>
        <v>306.69144438156314</v>
      </c>
      <c r="BL62" s="22">
        <f>Пицца!BL51+Снеки!BL51+'Мясная гастрономия'!BL51+Сыр!BL51+'Кондитерские изделия'!BL51</f>
        <v>310.27607374350299</v>
      </c>
      <c r="BM62" s="22">
        <f>Пицца!BM51+Снеки!BM51+'Мясная гастрономия'!BM51+Сыр!BM51+'Кондитерские изделия'!BM51</f>
        <v>321.50800502254714</v>
      </c>
      <c r="BN62" s="22">
        <f>Пицца!BN51+Снеки!BN51+'Мясная гастрономия'!BN51+Сыр!BN51+'Кондитерские изделия'!BN51</f>
        <v>320.32533201540537</v>
      </c>
      <c r="BO62" s="22">
        <f>Пицца!BO51+Снеки!BO51+'Мясная гастрономия'!BO51+Сыр!BO51+'Кондитерские изделия'!BO51</f>
        <v>321.17135429587915</v>
      </c>
      <c r="BP62" s="22">
        <f>Пицца!BP51+Снеки!BP51+'Мясная гастрономия'!BP51+Сыр!BP51+'Кондитерские изделия'!BP51</f>
        <v>331.51538321059292</v>
      </c>
      <c r="BQ62" s="22">
        <f>Пицца!BQ51+Снеки!BQ51+'Мясная гастрономия'!BQ51+Сыр!BQ51+'Кондитерские изделия'!BQ51</f>
        <v>342.73909766843963</v>
      </c>
      <c r="BR62" s="22">
        <f>Пицца!BR51+Снеки!BR51+'Мясная гастрономия'!BR51+Сыр!BR51+'Кондитерские изделия'!BR51</f>
        <v>346.12356159671094</v>
      </c>
      <c r="BS62" s="22">
        <f>Пицца!BS51+Снеки!BS51+'Мясная гастрономия'!BS51+Сыр!BS51+'Кондитерские изделия'!BS51</f>
        <v>348.55422884654689</v>
      </c>
      <c r="BT62" s="22">
        <f>Пицца!BT51+Снеки!BT51+'Мясная гастрономия'!BT51+Сыр!BT51+'Кондитерские изделия'!BT51</f>
        <v>351.10198253844669</v>
      </c>
      <c r="BU62" s="22">
        <f>Пицца!BU51+Снеки!BU51+'Мясная гастрономия'!BU51+Сыр!BU51+'Кондитерские изделия'!BU51</f>
        <v>353.77755521828641</v>
      </c>
      <c r="BV62" s="22">
        <f>Пицца!BV51+Снеки!BV51+'Мясная гастрономия'!BV51+Сыр!BV51+'Кондитерские изделия'!BV51</f>
        <v>356.59274339632066</v>
      </c>
      <c r="BW62" s="22">
        <f>Пицца!BW51+Снеки!BW51+'Мясная гастрономия'!BW51+Сыр!BW51+'Кондитерские изделия'!BW51</f>
        <v>360.68177450362555</v>
      </c>
      <c r="BX62" s="22">
        <f>Пицца!BX51+Снеки!BX51+'Мясная гастрономия'!BX51+Сыр!BX51+'Кондитерские изделия'!BX51</f>
        <v>364.96588102986152</v>
      </c>
      <c r="BY62" s="22">
        <f>Пицца!BY51+Снеки!BY51+'Мясная гастрономия'!BY51+Сыр!BY51+'Кондитерские изделия'!BY51</f>
        <v>378.5782535444207</v>
      </c>
      <c r="BZ62" s="22">
        <f>Пицца!BZ51+Снеки!BZ51+'Мясная гастрономия'!BZ51+Сыр!BZ51+'Кондитерские изделия'!BZ51</f>
        <v>363.54982526090919</v>
      </c>
      <c r="CA62" s="22">
        <f>Пицца!CA51+Снеки!CA51+'Мясная гастрономия'!CA51+Сыр!CA51+'Кондитерские изделия'!CA51</f>
        <v>365.7604976105406</v>
      </c>
      <c r="CB62" s="22">
        <f>Пицца!CB51+Снеки!CB51+'Мясная гастрономия'!CB51+Сыр!CB51+'Кондитерские изделия'!CB51</f>
        <v>378.32924443955324</v>
      </c>
      <c r="CC62" s="22">
        <f>Пицца!CC51+Снеки!CC51+'Мясная гастрономия'!CC51+Сыр!CC51+'Кондитерские изделия'!CC51</f>
        <v>391.97045702033461</v>
      </c>
      <c r="CD62" s="22">
        <f>Пицца!CD51+Снеки!CD51+'Мясная гастрономия'!CD51+Сыр!CD51+'Кондитерские изделия'!CD51</f>
        <v>396.04702236333435</v>
      </c>
      <c r="CE62" s="22">
        <f>Пицца!CE51+Снеки!CE51+'Мясная гастрономия'!CE51+Сыр!CE51+'Кондитерские изделия'!CE51</f>
        <v>400.28643447056936</v>
      </c>
      <c r="CF62" s="22">
        <f>Пицца!CF51+Снеки!CF51+'Мясная гастрономия'!CF51+Сыр!CF51+'Кондитерские изделия'!CF51</f>
        <v>404.70126936542221</v>
      </c>
      <c r="CG62" s="22">
        <f>Пицца!CG51+Снеки!CG51+'Мясная гастрономия'!CG51+Сыр!CG51+'Кондитерские изделия'!CG51</f>
        <v>409.30529625790632</v>
      </c>
      <c r="CH62" s="22">
        <f>Пицца!CH51+Снеки!CH51+'Мясная гастрономия'!CH51+Сыр!CH51+'Кондитерские изделия'!CH51</f>
        <v>414.11359568109674</v>
      </c>
      <c r="CI62" s="22">
        <f>Пицца!CI51+Снеки!CI51+'Мясная гастрономия'!CI51+Сыр!CI51+'Кондитерские изделия'!CI51</f>
        <v>419.14268941894909</v>
      </c>
      <c r="CJ62" s="22">
        <f>Пицца!CJ51+Снеки!CJ51+'Мясная гастрономия'!CJ51+Сыр!CJ51+'Кондитерские изделия'!CJ51</f>
        <v>424.41068340421896</v>
      </c>
      <c r="CK62" s="22">
        <f>Пицца!CK51+Снеки!CK51+'Мясная гастрономия'!CK51+Сыр!CK51+'Кондитерские изделия'!CK51</f>
        <v>441.0600897770999</v>
      </c>
      <c r="CN62" s="10"/>
      <c r="CO62" s="10">
        <f t="shared" ref="CO62" si="240">SUMIF($F$2:$CK$2,CO$3,$F62:$CK62)</f>
        <v>18.947499999999998</v>
      </c>
      <c r="CP62" s="10">
        <f t="shared" si="239"/>
        <v>471.99596620000005</v>
      </c>
      <c r="CQ62" s="10">
        <f t="shared" si="224"/>
        <v>1513.3561155020166</v>
      </c>
      <c r="CR62" s="10">
        <f t="shared" si="224"/>
        <v>2996.7365022625572</v>
      </c>
      <c r="CS62" s="10">
        <f t="shared" si="224"/>
        <v>3553.9441723398345</v>
      </c>
      <c r="CT62" s="10">
        <f t="shared" si="222"/>
        <v>4176.1271478645367</v>
      </c>
      <c r="CU62" s="10">
        <f t="shared" si="222"/>
        <v>4808.6771050699344</v>
      </c>
      <c r="CV62" s="10"/>
    </row>
    <row r="63" spans="2:107" outlineLevel="1" x14ac:dyDescent="0.2">
      <c r="B63" s="98" t="s">
        <v>19</v>
      </c>
      <c r="C63" s="89" t="s">
        <v>4</v>
      </c>
      <c r="D63" s="92"/>
      <c r="F63" s="94">
        <f t="shared" ref="F63:AK63" si="241">SUM(F64:F65)</f>
        <v>1239.3906960000002</v>
      </c>
      <c r="G63" s="94">
        <f t="shared" si="241"/>
        <v>605.93196</v>
      </c>
      <c r="H63" s="94">
        <f t="shared" si="241"/>
        <v>892.68085199999996</v>
      </c>
      <c r="I63" s="94">
        <f t="shared" si="241"/>
        <v>1118.535768</v>
      </c>
      <c r="J63" s="94">
        <f t="shared" si="241"/>
        <v>923.88219599999991</v>
      </c>
      <c r="K63" s="94">
        <f t="shared" si="241"/>
        <v>956.23639199999991</v>
      </c>
      <c r="L63" s="94">
        <f t="shared" si="241"/>
        <v>1117.657882</v>
      </c>
      <c r="M63" s="94">
        <f t="shared" si="241"/>
        <v>567.14730599999996</v>
      </c>
      <c r="N63" s="94">
        <f t="shared" si="241"/>
        <v>1143.3818859999999</v>
      </c>
      <c r="O63" s="94">
        <f t="shared" si="241"/>
        <v>2028.1054900000001</v>
      </c>
      <c r="P63" s="94">
        <f t="shared" si="241"/>
        <v>683.16042599999992</v>
      </c>
      <c r="Q63" s="94">
        <f t="shared" si="241"/>
        <v>1214.8892940000001</v>
      </c>
      <c r="R63" s="94">
        <f t="shared" si="241"/>
        <v>1276.6415881980001</v>
      </c>
      <c r="S63" s="94">
        <f t="shared" si="241"/>
        <v>1175.8546281199999</v>
      </c>
      <c r="T63" s="94">
        <f t="shared" si="241"/>
        <v>1614.6913275000002</v>
      </c>
      <c r="U63" s="94">
        <f t="shared" si="241"/>
        <v>1382.0202427120003</v>
      </c>
      <c r="V63" s="94">
        <f t="shared" si="241"/>
        <v>1390.226851656</v>
      </c>
      <c r="W63" s="94">
        <f t="shared" si="241"/>
        <v>1441.6328177720002</v>
      </c>
      <c r="X63" s="94">
        <f t="shared" si="241"/>
        <v>2172.1942228420003</v>
      </c>
      <c r="Y63" s="94">
        <f t="shared" si="241"/>
        <v>2098.0782415500003</v>
      </c>
      <c r="Z63" s="94">
        <f t="shared" si="241"/>
        <v>2111.0746105120002</v>
      </c>
      <c r="AA63" s="94">
        <f t="shared" si="241"/>
        <v>1453.9997059860002</v>
      </c>
      <c r="AB63" s="94">
        <f t="shared" si="241"/>
        <v>1410.6702416799999</v>
      </c>
      <c r="AC63" s="94">
        <f t="shared" si="241"/>
        <v>1583.380544092</v>
      </c>
      <c r="AD63" s="94">
        <f t="shared" si="241"/>
        <v>1288.7353086000003</v>
      </c>
      <c r="AE63" s="94">
        <f t="shared" si="241"/>
        <v>1362.7681026</v>
      </c>
      <c r="AF63" s="94">
        <f t="shared" si="241"/>
        <v>1688.7380263999999</v>
      </c>
      <c r="AG63" s="94">
        <f t="shared" si="241"/>
        <v>1678.5667062500002</v>
      </c>
      <c r="AH63" s="94">
        <f t="shared" si="241"/>
        <v>2146.2599884087504</v>
      </c>
      <c r="AI63" s="94">
        <f t="shared" si="241"/>
        <v>2676.2162000212188</v>
      </c>
      <c r="AJ63" s="94">
        <f t="shared" si="241"/>
        <v>3787.1996407752713</v>
      </c>
      <c r="AK63" s="94">
        <f t="shared" si="241"/>
        <v>4595.5558910713262</v>
      </c>
      <c r="AL63" s="94">
        <f t="shared" ref="AL63:BQ63" si="242">SUM(AL64:AL65)</f>
        <v>4885.9924288882085</v>
      </c>
      <c r="AM63" s="94">
        <f t="shared" si="242"/>
        <v>3912.4699084171493</v>
      </c>
      <c r="AN63" s="94">
        <f t="shared" si="242"/>
        <v>3600.2122046652612</v>
      </c>
      <c r="AO63" s="94">
        <f t="shared" si="242"/>
        <v>3989.9543535338362</v>
      </c>
      <c r="AP63" s="94">
        <f t="shared" si="242"/>
        <v>3531.8319287486265</v>
      </c>
      <c r="AQ63" s="94">
        <f t="shared" si="242"/>
        <v>4028.2552583545644</v>
      </c>
      <c r="AR63" s="94">
        <f t="shared" si="242"/>
        <v>4758.2571834096816</v>
      </c>
      <c r="AS63" s="94">
        <f t="shared" si="242"/>
        <v>5089.5565071045594</v>
      </c>
      <c r="AT63" s="94">
        <f t="shared" si="242"/>
        <v>5279.1183063843882</v>
      </c>
      <c r="AU63" s="94">
        <f t="shared" si="242"/>
        <v>5376.4922308198838</v>
      </c>
      <c r="AV63" s="94">
        <f t="shared" si="242"/>
        <v>5475.8957847393694</v>
      </c>
      <c r="AW63" s="94">
        <f t="shared" si="242"/>
        <v>5234.1344262305947</v>
      </c>
      <c r="AX63" s="94">
        <f t="shared" si="242"/>
        <v>5097.4042264373111</v>
      </c>
      <c r="AY63" s="94">
        <f t="shared" si="242"/>
        <v>4965.5634439627211</v>
      </c>
      <c r="AZ63" s="94">
        <f t="shared" si="242"/>
        <v>4750.7894487642379</v>
      </c>
      <c r="BA63" s="94">
        <f t="shared" si="242"/>
        <v>6139.0619202488342</v>
      </c>
      <c r="BB63" s="94">
        <f t="shared" si="242"/>
        <v>4047.6678475405561</v>
      </c>
      <c r="BC63" s="94">
        <f t="shared" si="242"/>
        <v>4632.8843298936208</v>
      </c>
      <c r="BD63" s="94">
        <f t="shared" si="242"/>
        <v>5480.0292395062188</v>
      </c>
      <c r="BE63" s="94">
        <f t="shared" si="242"/>
        <v>5864.398834962527</v>
      </c>
      <c r="BF63" s="94">
        <f t="shared" si="242"/>
        <v>6084.8527917798765</v>
      </c>
      <c r="BG63" s="94">
        <f t="shared" si="242"/>
        <v>6197.8959053076269</v>
      </c>
      <c r="BH63" s="94">
        <f t="shared" si="242"/>
        <v>6313.3009596747434</v>
      </c>
      <c r="BI63" s="94">
        <f t="shared" si="242"/>
        <v>6032.7700670954018</v>
      </c>
      <c r="BJ63" s="94">
        <f t="shared" si="242"/>
        <v>5873.6478652189426</v>
      </c>
      <c r="BK63" s="94">
        <f t="shared" si="242"/>
        <v>5720.4600339040389</v>
      </c>
      <c r="BL63" s="94">
        <f t="shared" si="242"/>
        <v>5537.7134165733487</v>
      </c>
      <c r="BM63" s="94">
        <f t="shared" si="242"/>
        <v>7085.6148850843483</v>
      </c>
      <c r="BN63" s="94">
        <f t="shared" si="242"/>
        <v>4657.9027757928861</v>
      </c>
      <c r="BO63" s="94">
        <f t="shared" si="242"/>
        <v>5335.6823306451279</v>
      </c>
      <c r="BP63" s="94">
        <f t="shared" si="242"/>
        <v>6318.6408182007299</v>
      </c>
      <c r="BQ63" s="94">
        <f t="shared" si="242"/>
        <v>6764.4236590951277</v>
      </c>
      <c r="BR63" s="94">
        <f t="shared" ref="BR63:BX63" si="243">SUM(BR64:BR65)</f>
        <v>7020.7949797495112</v>
      </c>
      <c r="BS63" s="94">
        <f t="shared" si="243"/>
        <v>7152.3005739004238</v>
      </c>
      <c r="BT63" s="94">
        <f t="shared" si="243"/>
        <v>7286.5574366750561</v>
      </c>
      <c r="BU63" s="94">
        <f t="shared" si="243"/>
        <v>6961.3042130677431</v>
      </c>
      <c r="BV63" s="94">
        <f t="shared" si="243"/>
        <v>6776.3936015102936</v>
      </c>
      <c r="BW63" s="94">
        <f t="shared" si="243"/>
        <v>6680.4681145377472</v>
      </c>
      <c r="BX63" s="94">
        <f t="shared" si="243"/>
        <v>6386.262904062276</v>
      </c>
      <c r="BY63" s="94">
        <f t="shared" ref="BY63:CK63" si="244">SUM(BY64:BY65)</f>
        <v>8187.4254624887344</v>
      </c>
      <c r="BZ63" s="94">
        <f t="shared" si="244"/>
        <v>5253.0571666111391</v>
      </c>
      <c r="CA63" s="94">
        <f t="shared" si="244"/>
        <v>6034.6780674377187</v>
      </c>
      <c r="CB63" s="94">
        <f t="shared" si="244"/>
        <v>7164.2021105447275</v>
      </c>
      <c r="CC63" s="94">
        <f t="shared" si="244"/>
        <v>7678.5587337044908</v>
      </c>
      <c r="CD63" s="94">
        <f t="shared" si="244"/>
        <v>7972.6632428611356</v>
      </c>
      <c r="CE63" s="94">
        <f t="shared" si="244"/>
        <v>8125.4085291470365</v>
      </c>
      <c r="CF63" s="94">
        <f t="shared" si="244"/>
        <v>8281.3808664792014</v>
      </c>
      <c r="CG63" s="94">
        <f t="shared" si="244"/>
        <v>7910.5480205816075</v>
      </c>
      <c r="CH63" s="94">
        <f t="shared" si="244"/>
        <v>7800.4921275402849</v>
      </c>
      <c r="CI63" s="94">
        <f t="shared" si="244"/>
        <v>7595.3834321215836</v>
      </c>
      <c r="CJ63" s="94">
        <f t="shared" si="244"/>
        <v>7260.2452774309813</v>
      </c>
      <c r="CK63" s="94">
        <f t="shared" si="244"/>
        <v>9318.79024869364</v>
      </c>
      <c r="CN63" s="14"/>
      <c r="CO63" s="94">
        <f>SUMIF($F$2:$CK$2,CO$3,$F63:$CK63)</f>
        <v>12491.000148000001</v>
      </c>
      <c r="CP63" s="94">
        <f t="shared" si="239"/>
        <v>19110.465022619999</v>
      </c>
      <c r="CQ63" s="94">
        <f t="shared" si="224"/>
        <v>35612.668759631022</v>
      </c>
      <c r="CR63" s="94">
        <f t="shared" si="224"/>
        <v>59726.360665204775</v>
      </c>
      <c r="CS63" s="94">
        <f t="shared" si="224"/>
        <v>68871.23617654125</v>
      </c>
      <c r="CT63" s="94">
        <f t="shared" si="222"/>
        <v>79528.156869725659</v>
      </c>
      <c r="CU63" s="94">
        <f t="shared" si="222"/>
        <v>90395.407823153539</v>
      </c>
      <c r="CV63" s="8"/>
    </row>
    <row r="64" spans="2:107" outlineLevel="3" x14ac:dyDescent="0.2">
      <c r="B64" s="95" t="s">
        <v>90</v>
      </c>
      <c r="C64" s="97" t="s">
        <v>4</v>
      </c>
      <c r="D64" s="105"/>
      <c r="E64" s="159"/>
      <c r="F64" s="22">
        <f>Мясо!F85</f>
        <v>1239.3906960000002</v>
      </c>
      <c r="G64" s="22">
        <f>Мясо!G85</f>
        <v>605.93196</v>
      </c>
      <c r="H64" s="22">
        <f>Мясо!H85</f>
        <v>892.68085199999996</v>
      </c>
      <c r="I64" s="22">
        <f>Мясо!I85</f>
        <v>1118.535768</v>
      </c>
      <c r="J64" s="22">
        <f>Мясо!J85</f>
        <v>923.88219599999991</v>
      </c>
      <c r="K64" s="22">
        <f>Мясо!K85</f>
        <v>956.23639199999991</v>
      </c>
      <c r="L64" s="22">
        <f>Мясо!L85</f>
        <v>1116.512232</v>
      </c>
      <c r="M64" s="22">
        <f>Мясо!M85</f>
        <v>563.95845599999996</v>
      </c>
      <c r="N64" s="22">
        <f>Мясо!N85</f>
        <v>1137.378336</v>
      </c>
      <c r="O64" s="22">
        <f>Мясо!O85</f>
        <v>2024.9797400000002</v>
      </c>
      <c r="P64" s="22">
        <f>Мясо!P85</f>
        <v>680.68107599999996</v>
      </c>
      <c r="Q64" s="22">
        <f>Мясо!Q85</f>
        <v>1211.8849440000001</v>
      </c>
      <c r="R64" s="22">
        <f>Мясо!R85</f>
        <v>1267.8749081980002</v>
      </c>
      <c r="S64" s="22">
        <f>Мясо!S85</f>
        <v>1166.63935812</v>
      </c>
      <c r="T64" s="22">
        <f>Мясо!T85</f>
        <v>1609.1905191000001</v>
      </c>
      <c r="U64" s="22">
        <f>Мясо!U85</f>
        <v>1286.5095017120002</v>
      </c>
      <c r="V64" s="22">
        <f>Мясо!V85</f>
        <v>1324.114100256</v>
      </c>
      <c r="W64" s="22">
        <f>Мясо!W85</f>
        <v>1355.4205027720002</v>
      </c>
      <c r="X64" s="22">
        <f>Мясо!X85</f>
        <v>2070.3835606420002</v>
      </c>
      <c r="Y64" s="22">
        <f>Мясо!Y85</f>
        <v>2026.3318847500002</v>
      </c>
      <c r="Z64" s="22">
        <f>Мясо!Z85</f>
        <v>2055.8852462120003</v>
      </c>
      <c r="AA64" s="22">
        <f>Мясо!AA85</f>
        <v>1393.1039036860002</v>
      </c>
      <c r="AB64" s="22">
        <f>Мясо!AB85</f>
        <v>1371.8985961799999</v>
      </c>
      <c r="AC64" s="22">
        <f>Мясо!AC85</f>
        <v>1512.6701282920001</v>
      </c>
      <c r="AD64" s="22">
        <f>Мясо!AD85</f>
        <v>1264.0294586000002</v>
      </c>
      <c r="AE64" s="22">
        <f>Мясо!AE85</f>
        <v>1333.2685526</v>
      </c>
      <c r="AF64" s="22">
        <f>Мясо!AF85</f>
        <v>1653.8742763999999</v>
      </c>
      <c r="AG64" s="22">
        <f>Мясо!AG85</f>
        <v>1643.18</v>
      </c>
      <c r="AH64" s="22">
        <f>Мясо!AH85</f>
        <v>1706.7800000000002</v>
      </c>
      <c r="AI64" s="22">
        <f>Мясо!AI85</f>
        <v>1741.76</v>
      </c>
      <c r="AJ64" s="22">
        <f>Мясо!AJ85</f>
        <v>1846.7</v>
      </c>
      <c r="AK64" s="22">
        <f>Мясо!AK85</f>
        <v>2466.8000000000002</v>
      </c>
      <c r="AL64" s="22">
        <f>Мясо!AL85</f>
        <v>2753</v>
      </c>
      <c r="AM64" s="22">
        <f>Мясо!AM85</f>
        <v>2760.6320000000001</v>
      </c>
      <c r="AN64" s="22">
        <f>Мясо!AN85</f>
        <v>2922.1759999999999</v>
      </c>
      <c r="AO64" s="22">
        <f>Мясо!AO85</f>
        <v>3480.4250000000002</v>
      </c>
      <c r="AP64" s="22">
        <f>Мясо!AP85</f>
        <v>3005.0547499999998</v>
      </c>
      <c r="AQ64" s="22">
        <f>Мясо!AQ85</f>
        <v>3495.62109375</v>
      </c>
      <c r="AR64" s="22">
        <f>Мясо!AR85</f>
        <v>4218.6892361111104</v>
      </c>
      <c r="AS64" s="22">
        <f>Мясо!AS85</f>
        <v>4542.475360347461</v>
      </c>
      <c r="AT64" s="22">
        <f>Мясо!AT85</f>
        <v>4729.6618336952724</v>
      </c>
      <c r="AU64" s="22">
        <f>Мясо!AU85</f>
        <v>4825.1651364237459</v>
      </c>
      <c r="AV64" s="22">
        <f>Мясо!AV85</f>
        <v>4922.6174861466816</v>
      </c>
      <c r="AW64" s="22">
        <f>Мясо!AW85</f>
        <v>4678.8172574432929</v>
      </c>
      <c r="AX64" s="22">
        <f>Мясо!AX85</f>
        <v>4539.9527397199936</v>
      </c>
      <c r="AY64" s="22">
        <f>Мясо!AY85</f>
        <v>4405.254157528394</v>
      </c>
      <c r="AZ64" s="22">
        <f>Мясо!AZ85</f>
        <v>4187.4914496519732</v>
      </c>
      <c r="BA64" s="22">
        <f>Мясо!BA85</f>
        <v>5566.6552662026334</v>
      </c>
      <c r="BB64" s="22">
        <f>Мясо!BB85</f>
        <v>3474.4555560958033</v>
      </c>
      <c r="BC64" s="22">
        <f>Мясо!BC85</f>
        <v>4058.9549779296881</v>
      </c>
      <c r="BD64" s="22">
        <f>Мясо!BD85</f>
        <v>4897.5542167968752</v>
      </c>
      <c r="BE64" s="22">
        <f>Мясо!BE85</f>
        <v>5272.6560063627576</v>
      </c>
      <c r="BF64" s="22">
        <f>Мясо!BF85</f>
        <v>5490.2666732945399</v>
      </c>
      <c r="BG64" s="22">
        <f>Мясо!BG85</f>
        <v>5601.2925237699383</v>
      </c>
      <c r="BH64" s="22">
        <f>Мясо!BH85</f>
        <v>5714.5842079285094</v>
      </c>
      <c r="BI64" s="22">
        <f>Мясо!BI85</f>
        <v>5431.8350404107523</v>
      </c>
      <c r="BJ64" s="22">
        <f>Мясо!BJ85</f>
        <v>5270.3799891984281</v>
      </c>
      <c r="BK64" s="22">
        <f>Мясо!BK85</f>
        <v>5113.7685895224758</v>
      </c>
      <c r="BL64" s="22">
        <f>Мясо!BL85</f>
        <v>4927.4373428298459</v>
      </c>
      <c r="BM64" s="22">
        <f>Мясо!BM85</f>
        <v>6464.1068800618013</v>
      </c>
      <c r="BN64" s="22">
        <f>Мясо!BN85</f>
        <v>4037.5774437774808</v>
      </c>
      <c r="BO64" s="22">
        <f>Мясо!BO85</f>
        <v>4714.5109763492492</v>
      </c>
      <c r="BP64" s="22">
        <f>Мясо!BP85</f>
        <v>5687.1254349901374</v>
      </c>
      <c r="BQ64" s="22">
        <f>Мясо!BQ85</f>
        <v>6121.6845614266877</v>
      </c>
      <c r="BR64" s="22">
        <f>Мясо!BR85</f>
        <v>6374.6714181528005</v>
      </c>
      <c r="BS64" s="22">
        <f>Мясо!BS85</f>
        <v>6503.7463450538771</v>
      </c>
      <c r="BT64" s="22">
        <f>Мясо!BT85</f>
        <v>6635.4554541366097</v>
      </c>
      <c r="BU64" s="22">
        <f>Мясо!BU85</f>
        <v>6307.5266578494566</v>
      </c>
      <c r="BV64" s="22">
        <f>Мясо!BV85</f>
        <v>6119.8008581139729</v>
      </c>
      <c r="BW64" s="22">
        <f>Мясо!BW85</f>
        <v>6019.7863400341221</v>
      </c>
      <c r="BX64" s="22">
        <f>Мясо!BX85</f>
        <v>5721.2970230324145</v>
      </c>
      <c r="BY64" s="22">
        <f>Мясо!BY85</f>
        <v>7508.8472089443139</v>
      </c>
      <c r="BZ64" s="22">
        <f>Мясо!BZ85</f>
        <v>4589.5073413502296</v>
      </c>
      <c r="CA64" s="22">
        <f>Мясо!CA85</f>
        <v>5368.9175698271783</v>
      </c>
      <c r="CB64" s="22">
        <f>Мясо!CB85</f>
        <v>6485.8728661051737</v>
      </c>
      <c r="CC64" s="22">
        <f>Мясо!CC85</f>
        <v>6986.588276684156</v>
      </c>
      <c r="CD64" s="22">
        <f>Мясо!CD85</f>
        <v>7276.6162204978009</v>
      </c>
      <c r="CE64" s="22">
        <f>Мясо!CE85</f>
        <v>7425.122094676467</v>
      </c>
      <c r="CF64" s="22">
        <f>Мясо!CF85</f>
        <v>7576.6795971137799</v>
      </c>
      <c r="CG64" s="22">
        <f>Мясо!CG85</f>
        <v>7201.2427243237007</v>
      </c>
      <c r="CH64" s="22">
        <f>Мясо!CH85</f>
        <v>7086.3785318591881</v>
      </c>
      <c r="CI64" s="22">
        <f>Мясо!CI85</f>
        <v>6876.2407427026346</v>
      </c>
      <c r="CJ64" s="22">
        <f>Мясо!CJ85</f>
        <v>6535.8345940267627</v>
      </c>
      <c r="CK64" s="22">
        <f>Мясо!CK85</f>
        <v>8577.7301589165399</v>
      </c>
      <c r="CN64" s="10"/>
      <c r="CO64" s="10">
        <f>SUMIF($F$2:$CK$2,CO$3,$F64:$CK64)</f>
        <v>12472.052648000001</v>
      </c>
      <c r="CP64" s="10">
        <f t="shared" si="239"/>
        <v>18440.02220992</v>
      </c>
      <c r="CQ64" s="10">
        <f t="shared" si="224"/>
        <v>25572.625287600004</v>
      </c>
      <c r="CR64" s="10">
        <f t="shared" si="224"/>
        <v>53117.455767020554</v>
      </c>
      <c r="CS64" s="10">
        <f t="shared" si="224"/>
        <v>61717.292004201423</v>
      </c>
      <c r="CT64" s="10">
        <f t="shared" si="222"/>
        <v>71752.029721861123</v>
      </c>
      <c r="CU64" s="10">
        <f t="shared" si="222"/>
        <v>81986.730718083621</v>
      </c>
      <c r="CV64" s="8"/>
    </row>
    <row r="65" spans="2:100" outlineLevel="3" x14ac:dyDescent="0.2">
      <c r="B65" s="95" t="s">
        <v>282</v>
      </c>
      <c r="C65" s="97" t="s">
        <v>4</v>
      </c>
      <c r="D65" s="105"/>
      <c r="E65" s="159"/>
      <c r="F65" s="22">
        <f>Пицца!F55+Снеки!F55+'Мясная гастрономия'!F54+Сыр!F54+'Кондитерские изделия'!F54</f>
        <v>0</v>
      </c>
      <c r="G65" s="22">
        <f>Пицца!G55+Снеки!G55+'Мясная гастрономия'!G54+Сыр!G54+'Кондитерские изделия'!G54</f>
        <v>0</v>
      </c>
      <c r="H65" s="22">
        <f>Пицца!H55+Снеки!H55+'Мясная гастрономия'!H54+Сыр!H54+'Кондитерские изделия'!H54</f>
        <v>0</v>
      </c>
      <c r="I65" s="22">
        <f>Пицца!I55+Снеки!I55+'Мясная гастрономия'!I54+Сыр!I54+'Кондитерские изделия'!I54</f>
        <v>0</v>
      </c>
      <c r="J65" s="22">
        <f>Пицца!J55+Снеки!J55+'Мясная гастрономия'!J54+Сыр!J54+'Кондитерские изделия'!J54</f>
        <v>0</v>
      </c>
      <c r="K65" s="22">
        <f>Пицца!K55+Снеки!K55+'Мясная гастрономия'!K54+Сыр!K54+'Кондитерские изделия'!K54</f>
        <v>0</v>
      </c>
      <c r="L65" s="22">
        <f>Пицца!L55+Снеки!L55+'Мясная гастрономия'!L54+Сыр!L54+'Кондитерские изделия'!L54</f>
        <v>1.1456500000000001</v>
      </c>
      <c r="M65" s="22">
        <f>Пицца!M55+Снеки!M55+'Мясная гастрономия'!M54+Сыр!M54+'Кондитерские изделия'!M54</f>
        <v>3.18885</v>
      </c>
      <c r="N65" s="22">
        <f>Пицца!N55+Снеки!N55+'Мясная гастрономия'!N54+Сыр!N54+'Кондитерские изделия'!N54</f>
        <v>6.0035500000000006</v>
      </c>
      <c r="O65" s="22">
        <f>Пицца!O55+Снеки!O55+'Мясная гастрономия'!O54+Сыр!O54+'Кондитерские изделия'!O54</f>
        <v>3.1257499999999996</v>
      </c>
      <c r="P65" s="22">
        <f>Пицца!P55+Снеки!P55+'Мясная гастрономия'!P54+Сыр!P54+'Кондитерские изделия'!P54</f>
        <v>2.4793500000000002</v>
      </c>
      <c r="Q65" s="22">
        <f>Пицца!Q55+Снеки!Q55+'Мясная гастрономия'!Q54+Сыр!Q54+'Кондитерские изделия'!Q54</f>
        <v>3.0043500000000005</v>
      </c>
      <c r="R65" s="22">
        <f>Пицца!R55+Снеки!R55+'Мясная гастрономия'!R54+Сыр!R54+'Кондитерские изделия'!R54</f>
        <v>8.7666800000000009</v>
      </c>
      <c r="S65" s="22">
        <f>Пицца!S55+Снеки!S55+'Мясная гастрономия'!S54+Сыр!S54+'Кондитерские изделия'!S54</f>
        <v>9.2152700000000003</v>
      </c>
      <c r="T65" s="22">
        <f>Пицца!T55+Снеки!T55+'Мясная гастрономия'!T54+Сыр!T54+'Кондитерские изделия'!T54</f>
        <v>5.5008083999999995</v>
      </c>
      <c r="U65" s="22">
        <f>Пицца!U55+Снеки!U55+'Мясная гастрономия'!U54+Сыр!U54+'Кондитерские изделия'!U54</f>
        <v>95.510740999999996</v>
      </c>
      <c r="V65" s="22">
        <f>Пицца!V55+Снеки!V55+'Мясная гастрономия'!V54+Сыр!V54+'Кондитерские изделия'!V54</f>
        <v>66.112751400000008</v>
      </c>
      <c r="W65" s="22">
        <f>Пицца!W55+Снеки!W55+'Мясная гастрономия'!W54+Сыр!W54+'Кондитерские изделия'!W54</f>
        <v>86.212315000000004</v>
      </c>
      <c r="X65" s="22">
        <f>Пицца!X55+Снеки!X55+'Мясная гастрономия'!X54+Сыр!X54+'Кондитерские изделия'!X54</f>
        <v>101.8106622</v>
      </c>
      <c r="Y65" s="22">
        <f>Пицца!Y55+Снеки!Y55+'Мясная гастрономия'!Y54+Сыр!Y54+'Кондитерские изделия'!Y54</f>
        <v>71.746356800000001</v>
      </c>
      <c r="Z65" s="22">
        <f>Пицца!Z55+Снеки!Z55+'Мясная гастрономия'!Z54+Сыр!Z54+'Кондитерские изделия'!Z54</f>
        <v>55.189364300000008</v>
      </c>
      <c r="AA65" s="22">
        <f>Пицца!AA55+Снеки!AA55+'Мясная гастрономия'!AA54+Сыр!AA54+'Кондитерские изделия'!AA54</f>
        <v>60.8958023</v>
      </c>
      <c r="AB65" s="22">
        <f>Пицца!AB55+Снеки!AB55+'Мясная гастрономия'!AB54+Сыр!AB54+'Кондитерские изделия'!AB54</f>
        <v>38.771645499999998</v>
      </c>
      <c r="AC65" s="22">
        <f>Пицца!AC55+Снеки!AC55+'Мясная гастрономия'!AC54+Сыр!AC54+'Кондитерские изделия'!AC54</f>
        <v>70.710415800000007</v>
      </c>
      <c r="AD65" s="22">
        <f>Пицца!AD55+Снеки!AD55+'Мясная гастрономия'!AD54+Сыр!AD54+'Кондитерские изделия'!AD54</f>
        <v>24.705850000000002</v>
      </c>
      <c r="AE65" s="22">
        <f>Пицца!AE55+Снеки!AE55+'Мясная гастрономия'!AE54+Сыр!AE54+'Кондитерские изделия'!AE54</f>
        <v>29.499549999999999</v>
      </c>
      <c r="AF65" s="22">
        <f>Пицца!AF55+Снеки!AF55+'Мясная гастрономия'!AF54+Сыр!AF54+'Кондитерские изделия'!AF54</f>
        <v>34.863749999999996</v>
      </c>
      <c r="AG65" s="22">
        <f>Пицца!AG55+Снеки!AG55+'Мясная гастрономия'!AG54+Сыр!AG54+'Кондитерские изделия'!AG54</f>
        <v>35.386706249999996</v>
      </c>
      <c r="AH65" s="22">
        <f>Пицца!AH55+Снеки!AH55+'Мясная гастрономия'!AH54+Сыр!AH54+'Кондитерские изделия'!AH54</f>
        <v>439.47998840875005</v>
      </c>
      <c r="AI65" s="22">
        <f>Пицца!AI55+Снеки!AI55+'Мясная гастрономия'!AI54+Сыр!AI54+'Кондитерские изделия'!AI54</f>
        <v>934.45620002121871</v>
      </c>
      <c r="AJ65" s="22">
        <f>Пицца!AJ55+Снеки!AJ55+'Мясная гастрономия'!AJ54+Сыр!AJ54+'Кондитерские изделия'!AJ54</f>
        <v>1940.4996407752712</v>
      </c>
      <c r="AK65" s="22">
        <f>Пицца!AK55+Снеки!AK55+'Мясная гастрономия'!AK54+Сыр!AK54+'Кондитерские изделия'!AK54</f>
        <v>2128.755891071326</v>
      </c>
      <c r="AL65" s="22">
        <f>Пицца!AL55+Снеки!AL55+'Мясная гастрономия'!AL54+Сыр!AL54+'Кондитерские изделия'!AL54</f>
        <v>2132.9924288882085</v>
      </c>
      <c r="AM65" s="22">
        <f>Пицца!AM55+Снеки!AM55+'Мясная гастрономия'!AM54+Сыр!AM54+'Кондитерские изделия'!AM54</f>
        <v>1151.8379084171493</v>
      </c>
      <c r="AN65" s="22">
        <f>Пицца!AN55+Снеки!AN55+'Мясная гастрономия'!AN54+Сыр!AN54+'Кондитерские изделия'!AN54</f>
        <v>678.03620466526104</v>
      </c>
      <c r="AO65" s="22">
        <f>Пицца!AO55+Снеки!AO55+'Мясная гастрономия'!AO54+Сыр!AO54+'Кондитерские изделия'!AO54</f>
        <v>509.52935353383606</v>
      </c>
      <c r="AP65" s="22">
        <f>Пицца!AP55+Снеки!AP55+'Мясная гастрономия'!AP54+Сыр!AP54+'Кондитерские изделия'!AP54</f>
        <v>526.77717874862674</v>
      </c>
      <c r="AQ65" s="22">
        <f>Пицца!AQ55+Снеки!AQ55+'Мясная гастрономия'!AQ54+Сыр!AQ54+'Кондитерские изделия'!AQ54</f>
        <v>532.63416460456438</v>
      </c>
      <c r="AR65" s="22">
        <f>Пицца!AR55+Снеки!AR55+'Мясная гастрономия'!AR54+Сыр!AR54+'Кондитерские изделия'!AR54</f>
        <v>539.56794729857154</v>
      </c>
      <c r="AS65" s="22">
        <f>Пицца!AS55+Снеки!AS55+'Мясная гастрономия'!AS54+Сыр!AS54+'Кондитерские изделия'!AS54</f>
        <v>547.08114675709851</v>
      </c>
      <c r="AT65" s="22">
        <f>Пицца!AT55+Снеки!AT55+'Мясная гастрономия'!AT54+Сыр!AT54+'Кондитерские изделия'!AT54</f>
        <v>549.45647268911603</v>
      </c>
      <c r="AU65" s="22">
        <f>Пицца!AU55+Снеки!AU55+'Мясная гастрономия'!AU54+Сыр!AU54+'Кондитерские изделия'!AU54</f>
        <v>551.32709439613814</v>
      </c>
      <c r="AV65" s="22">
        <f>Пицца!AV55+Снеки!AV55+'Мясная гастрономия'!AV54+Сыр!AV54+'Кондитерские изделия'!AV54</f>
        <v>553.27829859268797</v>
      </c>
      <c r="AW65" s="22">
        <f>Пицца!AW55+Снеки!AW55+'Мясная гастрономия'!AW54+Сыр!AW54+'Кондитерские изделия'!AW54</f>
        <v>555.31716878730185</v>
      </c>
      <c r="AX65" s="22">
        <f>Пицца!AX55+Снеки!AX55+'Мясная гастрономия'!AX54+Сыр!AX54+'Кондитерские изделия'!AX54</f>
        <v>557.45148671731795</v>
      </c>
      <c r="AY65" s="22">
        <f>Пицца!AY55+Снеки!AY55+'Мясная гастрономия'!AY54+Сыр!AY54+'Кондитерские изделия'!AY54</f>
        <v>560.30928643432685</v>
      </c>
      <c r="AZ65" s="22">
        <f>Пицца!AZ55+Снеки!AZ55+'Мясная гастрономия'!AZ54+Сыр!AZ54+'Кондитерские изделия'!AZ54</f>
        <v>563.29799911226462</v>
      </c>
      <c r="BA65" s="22">
        <f>Пицца!BA55+Снеки!BA55+'Мясная гастрономия'!BA54+Сыр!BA54+'Кондитерские изделия'!BA54</f>
        <v>572.40665404620063</v>
      </c>
      <c r="BB65" s="22">
        <f>Пицца!BB55+Снеки!BB55+'Мясная гастрономия'!BB54+Сыр!BB54+'Кондитерские изделия'!BB54</f>
        <v>573.21229144475274</v>
      </c>
      <c r="BC65" s="22">
        <f>Пицца!BC55+Снеки!BC55+'Мясная гастрономия'!BC54+Сыр!BC54+'Кондитерские изделия'!BC54</f>
        <v>573.92935196393262</v>
      </c>
      <c r="BD65" s="22">
        <f>Пицца!BD55+Снеки!BD55+'Мясная гастрономия'!BD54+Сыр!BD54+'Кондитерские изделия'!BD54</f>
        <v>582.47502270934399</v>
      </c>
      <c r="BE65" s="22">
        <f>Пицца!BE55+Снеки!BE55+'Мясная гастрономия'!BE54+Сыр!BE54+'Кондитерские изделия'!BE54</f>
        <v>591.74282859976938</v>
      </c>
      <c r="BF65" s="22">
        <f>Пицца!BF55+Снеки!BF55+'Мясная гастрономия'!BF54+Сыр!BF54+'Кондитерские изделия'!BF54</f>
        <v>594.58611848533621</v>
      </c>
      <c r="BG65" s="22">
        <f>Пицца!BG55+Снеки!BG55+'Мясная гастрономия'!BG54+Сыр!BG54+'Кондитерские изделия'!BG54</f>
        <v>596.60338153768816</v>
      </c>
      <c r="BH65" s="22">
        <f>Пицца!BH55+Снеки!BH55+'Мясная гастрономия'!BH54+Сыр!BH54+'Кондитерские изделия'!BH54</f>
        <v>598.71675174623374</v>
      </c>
      <c r="BI65" s="22">
        <f>Пицца!BI55+Снеки!BI55+'Мясная гастрономия'!BI54+Сыр!BI54+'Кондитерские изделия'!BI54</f>
        <v>600.93502668464942</v>
      </c>
      <c r="BJ65" s="22">
        <f>Пицца!BJ55+Снеки!BJ55+'Мясная гастрономия'!BJ54+Сыр!BJ54+'Кондитерские изделия'!BJ54</f>
        <v>603.26787602051468</v>
      </c>
      <c r="BK65" s="22">
        <f>Пицца!BK55+Снеки!BK55+'Мясная гастрономия'!BK54+Сыр!BK54+'Кондитерские изделия'!BK54</f>
        <v>606.69144438156309</v>
      </c>
      <c r="BL65" s="22">
        <f>Пицца!BL55+Снеки!BL55+'Мясная гастрономия'!BL54+Сыр!BL54+'Кондитерские изделия'!BL54</f>
        <v>610.27607374350282</v>
      </c>
      <c r="BM65" s="22">
        <f>Пицца!BM55+Снеки!BM55+'Мясная гастрономия'!BM54+Сыр!BM54+'Кондитерские изделия'!BM54</f>
        <v>621.50800502254697</v>
      </c>
      <c r="BN65" s="22">
        <f>Пицца!BN55+Снеки!BN55+'Мясная гастрономия'!BN54+Сыр!BN54+'Кондитерские изделия'!BN54</f>
        <v>620.32533201540525</v>
      </c>
      <c r="BO65" s="22">
        <f>Пицца!BO55+Снеки!BO55+'Мясная гастрономия'!BO54+Сыр!BO54+'Кондитерские изделия'!BO54</f>
        <v>621.17135429587904</v>
      </c>
      <c r="BP65" s="22">
        <f>Пицца!BP55+Снеки!BP55+'Мясная гастрономия'!BP54+Сыр!BP54+'Кондитерские изделия'!BP54</f>
        <v>631.51538321059274</v>
      </c>
      <c r="BQ65" s="22">
        <f>Пицца!BQ55+Снеки!BQ55+'Мясная гастрономия'!BQ54+Сыр!BQ54+'Кондитерские изделия'!BQ54</f>
        <v>642.73909766843963</v>
      </c>
      <c r="BR65" s="22">
        <f>Пицца!BR55+Снеки!BR55+'Мясная гастрономия'!BR54+Сыр!BR54+'Кондитерские изделия'!BR54</f>
        <v>646.12356159671094</v>
      </c>
      <c r="BS65" s="22">
        <f>Пицца!BS55+Снеки!BS55+'Мясная гастрономия'!BS54+Сыр!BS54+'Кондитерские изделия'!BS54</f>
        <v>648.55422884654695</v>
      </c>
      <c r="BT65" s="22">
        <f>Пицца!BT55+Снеки!BT55+'Мясная гастрономия'!BT54+Сыр!BT54+'Кондитерские изделия'!BT54</f>
        <v>651.1019825384468</v>
      </c>
      <c r="BU65" s="22">
        <f>Пицца!BU55+Снеки!BU55+'Мясная гастрономия'!BU54+Сыр!BU54+'Кондитерские изделия'!BU54</f>
        <v>653.77755521828647</v>
      </c>
      <c r="BV65" s="22">
        <f>Пицца!BV55+Снеки!BV55+'Мясная гастрономия'!BV54+Сыр!BV54+'Кондитерские изделия'!BV54</f>
        <v>656.59274339632054</v>
      </c>
      <c r="BW65" s="22">
        <f>Пицца!BW55+Снеки!BW55+'Мясная гастрономия'!BW54+Сыр!BW54+'Кондитерские изделия'!BW54</f>
        <v>660.68177450362555</v>
      </c>
      <c r="BX65" s="22">
        <f>Пицца!BX55+Снеки!BX55+'Мясная гастрономия'!BX54+Сыр!BX54+'Кондитерские изделия'!BX54</f>
        <v>664.96588102986141</v>
      </c>
      <c r="BY65" s="22">
        <f>Пицца!BY55+Снеки!BY55+'Мясная гастрономия'!BY54+Сыр!BY54+'Кондитерские изделия'!BY54</f>
        <v>678.57825354442082</v>
      </c>
      <c r="BZ65" s="22">
        <f>Пицца!BZ55+Снеки!BZ55+'Мясная гастрономия'!BZ54+Сыр!BZ54+'Кондитерские изделия'!BZ54</f>
        <v>663.54982526090919</v>
      </c>
      <c r="CA65" s="22">
        <f>Пицца!CA55+Снеки!CA55+'Мясная гастрономия'!CA54+Сыр!CA54+'Кондитерские изделия'!CA54</f>
        <v>665.76049761054071</v>
      </c>
      <c r="CB65" s="22">
        <f>Пицца!CB55+Снеки!CB55+'Мясная гастрономия'!CB54+Сыр!CB54+'Кондитерские изделия'!CB54</f>
        <v>678.32924443955335</v>
      </c>
      <c r="CC65" s="22">
        <f>Пицца!CC55+Снеки!CC55+'Мясная гастрономия'!CC54+Сыр!CC54+'Кондитерские изделия'!CC54</f>
        <v>691.97045702033461</v>
      </c>
      <c r="CD65" s="22">
        <f>Пицца!CD55+Снеки!CD55+'Мясная гастрономия'!CD54+Сыр!CD54+'Кондитерские изделия'!CD54</f>
        <v>696.04702236333424</v>
      </c>
      <c r="CE65" s="22">
        <f>Пицца!CE55+Снеки!CE55+'Мясная гастрономия'!CE54+Сыр!CE54+'Кондитерские изделия'!CE54</f>
        <v>700.28643447056947</v>
      </c>
      <c r="CF65" s="22">
        <f>Пицца!CF55+Снеки!CF55+'Мясная гастрономия'!CF54+Сыр!CF54+'Кондитерские изделия'!CF54</f>
        <v>704.70126936542226</v>
      </c>
      <c r="CG65" s="22">
        <f>Пицца!CG55+Снеки!CG55+'Мясная гастрономия'!CG54+Сыр!CG54+'Кондитерские изделия'!CG54</f>
        <v>709.30529625790632</v>
      </c>
      <c r="CH65" s="22">
        <f>Пицца!CH55+Снеки!CH55+'Мясная гастрономия'!CH54+Сыр!CH54+'Кондитерские изделия'!CH54</f>
        <v>714.11359568109697</v>
      </c>
      <c r="CI65" s="22">
        <f>Пицца!CI55+Снеки!CI55+'Мясная гастрономия'!CI54+Сыр!CI54+'Кондитерские изделия'!CI54</f>
        <v>719.14268941894898</v>
      </c>
      <c r="CJ65" s="22">
        <f>Пицца!CJ55+Снеки!CJ55+'Мясная гастрономия'!CJ54+Сыр!CJ54+'Кондитерские изделия'!CJ54</f>
        <v>724.41068340421896</v>
      </c>
      <c r="CK65" s="22">
        <f>Пицца!CK55+Снеки!CK55+'Мясная гастрономия'!CK54+Сыр!CK54+'Кондитерские изделия'!CK54</f>
        <v>741.06008977709985</v>
      </c>
      <c r="CN65" s="10"/>
      <c r="CO65" s="10">
        <f t="shared" ref="CO65" si="245">SUMIF($F$2:$CK$2,CO$3,$F65:$CK65)</f>
        <v>18.947500000000002</v>
      </c>
      <c r="CP65" s="10">
        <f t="shared" si="239"/>
        <v>670.44281269999999</v>
      </c>
      <c r="CQ65" s="10">
        <f t="shared" si="224"/>
        <v>10040.043472031022</v>
      </c>
      <c r="CR65" s="10">
        <f t="shared" si="224"/>
        <v>6608.9048981842152</v>
      </c>
      <c r="CS65" s="10">
        <f t="shared" si="224"/>
        <v>7153.944172339834</v>
      </c>
      <c r="CT65" s="10">
        <f t="shared" si="222"/>
        <v>7776.1271478645358</v>
      </c>
      <c r="CU65" s="10">
        <f t="shared" si="222"/>
        <v>8408.6771050699335</v>
      </c>
      <c r="CV65" s="10"/>
    </row>
    <row r="66" spans="2:100" outlineLevel="1" collapsed="1" x14ac:dyDescent="0.2">
      <c r="B66" s="98" t="s">
        <v>302</v>
      </c>
      <c r="C66" s="89" t="s">
        <v>4</v>
      </c>
      <c r="D66" s="92"/>
      <c r="F66" s="94">
        <f>Мясо!F94</f>
        <v>0</v>
      </c>
      <c r="G66" s="94">
        <f>Мясо!G94</f>
        <v>0</v>
      </c>
      <c r="H66" s="94">
        <f>Мясо!H94</f>
        <v>0</v>
      </c>
      <c r="I66" s="94">
        <f>Мясо!I94</f>
        <v>0</v>
      </c>
      <c r="J66" s="94">
        <f>Мясо!J94</f>
        <v>0</v>
      </c>
      <c r="K66" s="94">
        <f>Мясо!K94</f>
        <v>0</v>
      </c>
      <c r="L66" s="94">
        <f>Мясо!L94</f>
        <v>0</v>
      </c>
      <c r="M66" s="94">
        <f>Мясо!M94</f>
        <v>0</v>
      </c>
      <c r="N66" s="94">
        <f>Мясо!N94</f>
        <v>0</v>
      </c>
      <c r="O66" s="94">
        <f>Мясо!O94</f>
        <v>0</v>
      </c>
      <c r="P66" s="94">
        <f>Мясо!P94</f>
        <v>0</v>
      </c>
      <c r="Q66" s="94">
        <f>Мясо!Q94</f>
        <v>0</v>
      </c>
      <c r="R66" s="94">
        <f>Мясо!R94</f>
        <v>0</v>
      </c>
      <c r="S66" s="94">
        <f>Мясо!S94</f>
        <v>0</v>
      </c>
      <c r="T66" s="94">
        <f>Мясо!T94</f>
        <v>0</v>
      </c>
      <c r="U66" s="94">
        <f>Мясо!U94</f>
        <v>0</v>
      </c>
      <c r="V66" s="94">
        <f>Мясо!V94</f>
        <v>0</v>
      </c>
      <c r="W66" s="94">
        <f>Мясо!W94</f>
        <v>0</v>
      </c>
      <c r="X66" s="94">
        <f>Мясо!X94</f>
        <v>0</v>
      </c>
      <c r="Y66" s="94">
        <f>Мясо!Y94</f>
        <v>0</v>
      </c>
      <c r="Z66" s="94">
        <f>Мясо!Z94</f>
        <v>0</v>
      </c>
      <c r="AA66" s="94">
        <f>Мясо!AA94</f>
        <v>0</v>
      </c>
      <c r="AB66" s="94">
        <f>Мясо!AB94</f>
        <v>0</v>
      </c>
      <c r="AC66" s="94">
        <f>Мясо!AC94</f>
        <v>0</v>
      </c>
      <c r="AD66" s="94">
        <f>Мясо!AD94</f>
        <v>0</v>
      </c>
      <c r="AE66" s="94">
        <f>Мясо!AE94</f>
        <v>0</v>
      </c>
      <c r="AF66" s="94">
        <f>Мясо!AF94</f>
        <v>0</v>
      </c>
      <c r="AG66" s="94">
        <f>Мясо!AG94</f>
        <v>0</v>
      </c>
      <c r="AH66" s="94">
        <f>Мясо!AH94</f>
        <v>0</v>
      </c>
      <c r="AI66" s="94">
        <f>Мясо!AI94</f>
        <v>0</v>
      </c>
      <c r="AJ66" s="94">
        <f>Мясо!AJ94</f>
        <v>0</v>
      </c>
      <c r="AK66" s="94">
        <f>Мясо!AK94</f>
        <v>12600</v>
      </c>
      <c r="AL66" s="94">
        <f>Мясо!AL94</f>
        <v>15960</v>
      </c>
      <c r="AM66" s="94">
        <f>Мясо!AM94</f>
        <v>17640</v>
      </c>
      <c r="AN66" s="94">
        <f>Мясо!AN94</f>
        <v>21000</v>
      </c>
      <c r="AO66" s="94">
        <f>Мясо!AO94</f>
        <v>24360</v>
      </c>
      <c r="AP66" s="94">
        <f>Мясо!AP94</f>
        <v>21741.3</v>
      </c>
      <c r="AQ66" s="94">
        <f>Мясо!AQ94</f>
        <v>32353.125000000004</v>
      </c>
      <c r="AR66" s="94">
        <f>Мясо!AR94</f>
        <v>44934.895833333328</v>
      </c>
      <c r="AS66" s="94">
        <f>Мясо!AS94</f>
        <v>51471.816533027872</v>
      </c>
      <c r="AT66" s="94">
        <f>Мясо!AT94</f>
        <v>53616.475555237368</v>
      </c>
      <c r="AU66" s="94">
        <f>Мясо!AU94</f>
        <v>54710.689342078957</v>
      </c>
      <c r="AV66" s="94">
        <f>Мясо!AV94</f>
        <v>55827.234022529541</v>
      </c>
      <c r="AW66" s="94">
        <f>Мясо!AW94</f>
        <v>51573.730477955862</v>
      </c>
      <c r="AX66" s="94">
        <f>Мясо!AX94</f>
        <v>50026.518563617188</v>
      </c>
      <c r="AY66" s="94">
        <f>Мясо!AY94</f>
        <v>48525.723006708664</v>
      </c>
      <c r="AZ66" s="94">
        <f>Мясо!AZ94</f>
        <v>46099.436856373228</v>
      </c>
      <c r="BA66" s="94">
        <f>Мясо!BA94</f>
        <v>61465.915808497644</v>
      </c>
      <c r="BB66" s="94">
        <f>Мясо!BB94</f>
        <v>25124.246280000003</v>
      </c>
      <c r="BC66" s="94">
        <f>Мясо!BC94</f>
        <v>37387.271250000013</v>
      </c>
      <c r="BD66" s="94">
        <f>Мясо!BD94</f>
        <v>51926.765625000007</v>
      </c>
      <c r="BE66" s="94">
        <f>Мясо!BE94</f>
        <v>59480.831185567025</v>
      </c>
      <c r="BF66" s="94">
        <f>Мясо!BF94</f>
        <v>61959.199151632325</v>
      </c>
      <c r="BG66" s="94">
        <f>Мясо!BG94</f>
        <v>63223.672603706444</v>
      </c>
      <c r="BH66" s="94">
        <f>Мясо!BH94</f>
        <v>64513.951636435151</v>
      </c>
      <c r="BI66" s="94">
        <f>Мясо!BI94</f>
        <v>59598.602940325814</v>
      </c>
      <c r="BJ66" s="94">
        <f>Мясо!BJ94</f>
        <v>57810.64485211602</v>
      </c>
      <c r="BK66" s="94">
        <f>Мясо!BK94</f>
        <v>56076.325506552545</v>
      </c>
      <c r="BL66" s="94">
        <f>Мясо!BL94</f>
        <v>53272.509231224911</v>
      </c>
      <c r="BM66" s="94">
        <f>Мясо!BM94</f>
        <v>71030.012308299891</v>
      </c>
      <c r="BN66" s="94">
        <f>Мясо!BN94</f>
        <v>29033.579001168004</v>
      </c>
      <c r="BO66" s="94">
        <f>Мясо!BO94</f>
        <v>43204.730656500018</v>
      </c>
      <c r="BP66" s="94">
        <f>Мясо!BP94</f>
        <v>60006.570356250006</v>
      </c>
      <c r="BQ66" s="94">
        <f>Мясо!BQ94</f>
        <v>68736.048518041251</v>
      </c>
      <c r="BR66" s="94">
        <f>Мясо!BR94</f>
        <v>71600.050539626318</v>
      </c>
      <c r="BS66" s="94">
        <f>Мясо!BS94</f>
        <v>73061.276060843185</v>
      </c>
      <c r="BT66" s="94">
        <f>Мясо!BT94</f>
        <v>74552.322511064471</v>
      </c>
      <c r="BU66" s="94">
        <f>Мясо!BU94</f>
        <v>68872.1455578405</v>
      </c>
      <c r="BV66" s="94">
        <f>Мясо!BV94</f>
        <v>66805.981191105282</v>
      </c>
      <c r="BW66" s="94">
        <f>Мясо!BW94</f>
        <v>64801.801755372129</v>
      </c>
      <c r="BX66" s="94">
        <f>Мясо!BX94</f>
        <v>61561.711667603508</v>
      </c>
      <c r="BY66" s="94">
        <f>Мясо!BY94</f>
        <v>82082.282223471339</v>
      </c>
      <c r="BZ66" s="94">
        <f>Мясо!BZ94</f>
        <v>33551.203893749749</v>
      </c>
      <c r="CA66" s="94">
        <f>Мясо!CA94</f>
        <v>49927.38674665142</v>
      </c>
      <c r="CB66" s="94">
        <f>Мясо!CB94</f>
        <v>69343.592703682516</v>
      </c>
      <c r="CC66" s="94">
        <f>Мясо!CC94</f>
        <v>79431.377667448483</v>
      </c>
      <c r="CD66" s="94">
        <f>Мясо!CD94</f>
        <v>82741.018403592185</v>
      </c>
      <c r="CE66" s="94">
        <f>Мясо!CE94</f>
        <v>84429.610615910366</v>
      </c>
      <c r="CF66" s="94">
        <f>Мясо!CF94</f>
        <v>86152.663893786099</v>
      </c>
      <c r="CG66" s="94">
        <f>Мясо!CG94</f>
        <v>79588.651406640492</v>
      </c>
      <c r="CH66" s="94">
        <f>Мясо!CH94</f>
        <v>77200.991864441283</v>
      </c>
      <c r="CI66" s="94">
        <f>Мясо!CI94</f>
        <v>74884.962108508043</v>
      </c>
      <c r="CJ66" s="94">
        <f>Мясо!CJ94</f>
        <v>71140.714003082612</v>
      </c>
      <c r="CK66" s="94">
        <f>Мясо!CK94</f>
        <v>94854.285337443493</v>
      </c>
      <c r="CN66" s="14"/>
      <c r="CO66" s="94">
        <f>SUMIF($F$2:$CK$2,CO$3,$F66:$CK66)</f>
        <v>0</v>
      </c>
      <c r="CP66" s="94">
        <f t="shared" si="239"/>
        <v>0</v>
      </c>
      <c r="CQ66" s="94">
        <f t="shared" si="224"/>
        <v>91560</v>
      </c>
      <c r="CR66" s="94">
        <f t="shared" si="224"/>
        <v>572346.86099935963</v>
      </c>
      <c r="CS66" s="94">
        <f t="shared" si="224"/>
        <v>661404.03257086012</v>
      </c>
      <c r="CT66" s="94">
        <f t="shared" si="222"/>
        <v>764318.50003888598</v>
      </c>
      <c r="CU66" s="94">
        <f t="shared" si="222"/>
        <v>883246.45864493679</v>
      </c>
      <c r="CV66" s="8"/>
    </row>
    <row r="67" spans="2:100" outlineLevel="1" collapsed="1" x14ac:dyDescent="0.2">
      <c r="B67" s="98" t="s">
        <v>91</v>
      </c>
      <c r="C67" s="89" t="s">
        <v>4</v>
      </c>
      <c r="D67" s="92"/>
      <c r="F67" s="94">
        <f>Мясо!F92+Мясо!F93</f>
        <v>1474.5997919999998</v>
      </c>
      <c r="G67" s="94">
        <f>Мясо!G92+Мясо!G93</f>
        <v>1297.9744320000002</v>
      </c>
      <c r="H67" s="94">
        <f>Мясо!H92+Мясо!H93</f>
        <v>1541.7786959999999</v>
      </c>
      <c r="I67" s="94">
        <f>Мясо!I92+Мясо!I93</f>
        <v>1483.0088399999997</v>
      </c>
      <c r="J67" s="94">
        <f>Мясо!J92+Мясо!J93</f>
        <v>1648.4696759999999</v>
      </c>
      <c r="K67" s="94">
        <f>Мясо!K92+Мясо!K93</f>
        <v>1530.702168</v>
      </c>
      <c r="L67" s="94">
        <f>Мясо!L92+Мясо!L93</f>
        <v>1443.7818</v>
      </c>
      <c r="M67" s="94">
        <f>Мясо!M92+Мясо!M93</f>
        <v>1400.6080680000002</v>
      </c>
      <c r="N67" s="94">
        <f>Мясо!N92+Мясо!N93</f>
        <v>1388.1957959999997</v>
      </c>
      <c r="O67" s="94">
        <f>Мясо!O92+Мясо!O93</f>
        <v>1874.4930239999997</v>
      </c>
      <c r="P67" s="94">
        <f>Мясо!P92+Мясо!P93</f>
        <v>1484.8544279999999</v>
      </c>
      <c r="Q67" s="94">
        <f>Мясо!Q92+Мясо!Q93</f>
        <v>1250.7139920000002</v>
      </c>
      <c r="R67" s="94">
        <f>Мясо!R92+Мясо!R93</f>
        <v>2959.7815000000001</v>
      </c>
      <c r="S67" s="94">
        <f>Мясо!S92+Мясо!S93</f>
        <v>1079.3815</v>
      </c>
      <c r="T67" s="94">
        <f>Мясо!T92+Мясо!T93</f>
        <v>241.78150000000005</v>
      </c>
      <c r="U67" s="94">
        <f>Мясо!U92+Мясо!U93</f>
        <v>2164.1815000000001</v>
      </c>
      <c r="V67" s="94">
        <f>Мясо!V92+Мясо!V93</f>
        <v>656.4</v>
      </c>
      <c r="W67" s="94">
        <f>Мясо!W92+Мясо!W93</f>
        <v>1280.3999999999999</v>
      </c>
      <c r="X67" s="94">
        <f t="shared" ref="X67:AW67" si="246">SUM(X68:X71,X73,X75:X76,X78:X81)</f>
        <v>1681.25</v>
      </c>
      <c r="Y67" s="94">
        <f t="shared" si="246"/>
        <v>1681.25</v>
      </c>
      <c r="Z67" s="94">
        <f t="shared" si="246"/>
        <v>1691</v>
      </c>
      <c r="AA67" s="94">
        <f t="shared" si="246"/>
        <v>1760.75</v>
      </c>
      <c r="AB67" s="94">
        <f t="shared" si="246"/>
        <v>1760.75</v>
      </c>
      <c r="AC67" s="94">
        <f t="shared" si="246"/>
        <v>1760.75</v>
      </c>
      <c r="AD67" s="94">
        <f t="shared" si="246"/>
        <v>1760.75</v>
      </c>
      <c r="AE67" s="94">
        <f t="shared" si="246"/>
        <v>1760.75</v>
      </c>
      <c r="AF67" s="94">
        <f t="shared" si="246"/>
        <v>1760.75</v>
      </c>
      <c r="AG67" s="94">
        <f t="shared" si="246"/>
        <v>1760.75</v>
      </c>
      <c r="AH67" s="94">
        <f t="shared" si="246"/>
        <v>1760.75</v>
      </c>
      <c r="AI67" s="94">
        <f t="shared" si="246"/>
        <v>1760.75</v>
      </c>
      <c r="AJ67" s="94">
        <f t="shared" si="246"/>
        <v>1760.75</v>
      </c>
      <c r="AK67" s="94">
        <f t="shared" si="246"/>
        <v>1760.75</v>
      </c>
      <c r="AL67" s="94">
        <f t="shared" si="246"/>
        <v>1760.75</v>
      </c>
      <c r="AM67" s="94">
        <f t="shared" si="246"/>
        <v>1760.75</v>
      </c>
      <c r="AN67" s="94">
        <f t="shared" si="246"/>
        <v>1760.75</v>
      </c>
      <c r="AO67" s="94">
        <f t="shared" si="246"/>
        <v>1760.75</v>
      </c>
      <c r="AP67" s="94">
        <f t="shared" si="246"/>
        <v>1760.75</v>
      </c>
      <c r="AQ67" s="94">
        <f t="shared" si="246"/>
        <v>1760.75</v>
      </c>
      <c r="AR67" s="94">
        <f t="shared" si="246"/>
        <v>1760.75</v>
      </c>
      <c r="AS67" s="94">
        <f t="shared" si="246"/>
        <v>1760.75</v>
      </c>
      <c r="AT67" s="94">
        <f t="shared" si="246"/>
        <v>1760.75</v>
      </c>
      <c r="AU67" s="94">
        <f t="shared" si="246"/>
        <v>1760.75</v>
      </c>
      <c r="AV67" s="94">
        <f t="shared" si="246"/>
        <v>1760.75</v>
      </c>
      <c r="AW67" s="94">
        <f t="shared" si="246"/>
        <v>1760.75</v>
      </c>
      <c r="AX67" s="94">
        <f t="shared" ref="AX67:BU67" si="247">SUM(AX68:AX71,AX73,AX75:AX76,AX78:AX81)</f>
        <v>1821.25</v>
      </c>
      <c r="AY67" s="94">
        <f t="shared" si="247"/>
        <v>1821.25</v>
      </c>
      <c r="AZ67" s="94">
        <f t="shared" si="247"/>
        <v>1821.25</v>
      </c>
      <c r="BA67" s="94">
        <f t="shared" si="247"/>
        <v>1821.25</v>
      </c>
      <c r="BB67" s="94">
        <f t="shared" si="247"/>
        <v>1821.25</v>
      </c>
      <c r="BC67" s="94">
        <f t="shared" si="247"/>
        <v>1821.25</v>
      </c>
      <c r="BD67" s="94">
        <f t="shared" si="247"/>
        <v>1821.25</v>
      </c>
      <c r="BE67" s="94">
        <f t="shared" si="247"/>
        <v>1821.25</v>
      </c>
      <c r="BF67" s="94">
        <f t="shared" si="247"/>
        <v>1821.25</v>
      </c>
      <c r="BG67" s="94">
        <f t="shared" si="247"/>
        <v>1821.25</v>
      </c>
      <c r="BH67" s="94">
        <f t="shared" si="247"/>
        <v>1821.25</v>
      </c>
      <c r="BI67" s="94">
        <f t="shared" si="247"/>
        <v>1821.25</v>
      </c>
      <c r="BJ67" s="94">
        <f t="shared" si="247"/>
        <v>1821.25</v>
      </c>
      <c r="BK67" s="94">
        <f t="shared" si="247"/>
        <v>1821.25</v>
      </c>
      <c r="BL67" s="94">
        <f t="shared" si="247"/>
        <v>1821.25</v>
      </c>
      <c r="BM67" s="94">
        <f t="shared" si="247"/>
        <v>1821.25</v>
      </c>
      <c r="BN67" s="94">
        <f t="shared" si="247"/>
        <v>1821.25</v>
      </c>
      <c r="BO67" s="94">
        <f t="shared" si="247"/>
        <v>1821.25</v>
      </c>
      <c r="BP67" s="94">
        <f t="shared" si="247"/>
        <v>1821.25</v>
      </c>
      <c r="BQ67" s="94">
        <f t="shared" si="247"/>
        <v>1821.25</v>
      </c>
      <c r="BR67" s="94">
        <f t="shared" si="247"/>
        <v>1821.25</v>
      </c>
      <c r="BS67" s="94">
        <f t="shared" si="247"/>
        <v>1821.25</v>
      </c>
      <c r="BT67" s="94">
        <f t="shared" si="247"/>
        <v>1821.25</v>
      </c>
      <c r="BU67" s="94">
        <f t="shared" si="247"/>
        <v>1821.25</v>
      </c>
      <c r="BV67" s="94">
        <f t="shared" ref="BV67:BX67" si="248">SUM(BV68:BV71,BV73,BV75:BV76,BV78:BV81)</f>
        <v>1821.25</v>
      </c>
      <c r="BW67" s="94">
        <f t="shared" si="248"/>
        <v>1821.25</v>
      </c>
      <c r="BX67" s="94">
        <f t="shared" si="248"/>
        <v>1821.25</v>
      </c>
      <c r="BY67" s="94">
        <f t="shared" ref="BY67:CK67" si="249">SUM(BY68:BY71,BY73,BY75:BY76,BY78:BY81)</f>
        <v>1821.25</v>
      </c>
      <c r="BZ67" s="94">
        <f t="shared" si="249"/>
        <v>1821.25</v>
      </c>
      <c r="CA67" s="94">
        <f t="shared" si="249"/>
        <v>1821.25</v>
      </c>
      <c r="CB67" s="94">
        <f t="shared" si="249"/>
        <v>1821.25</v>
      </c>
      <c r="CC67" s="94">
        <f t="shared" si="249"/>
        <v>1821.25</v>
      </c>
      <c r="CD67" s="94">
        <f t="shared" si="249"/>
        <v>1821.25</v>
      </c>
      <c r="CE67" s="94">
        <f t="shared" si="249"/>
        <v>1821.25</v>
      </c>
      <c r="CF67" s="94">
        <f t="shared" si="249"/>
        <v>1821.25</v>
      </c>
      <c r="CG67" s="94">
        <f t="shared" si="249"/>
        <v>1821.25</v>
      </c>
      <c r="CH67" s="94">
        <f t="shared" si="249"/>
        <v>1821.25</v>
      </c>
      <c r="CI67" s="94">
        <f t="shared" si="249"/>
        <v>1821.25</v>
      </c>
      <c r="CJ67" s="94">
        <f t="shared" si="249"/>
        <v>1821.25</v>
      </c>
      <c r="CK67" s="94">
        <f t="shared" si="249"/>
        <v>1821.25</v>
      </c>
      <c r="CN67" s="14"/>
      <c r="CO67" s="94">
        <f>SUMIF($F$2:$CK$2,CO$3,$F67:$CK67)</f>
        <v>17819.180711999998</v>
      </c>
      <c r="CP67" s="94">
        <f t="shared" si="239"/>
        <v>18717.675999999999</v>
      </c>
      <c r="CQ67" s="94">
        <f t="shared" si="224"/>
        <v>21129</v>
      </c>
      <c r="CR67" s="94">
        <f t="shared" si="224"/>
        <v>21371</v>
      </c>
      <c r="CS67" s="94">
        <f t="shared" si="224"/>
        <v>21855</v>
      </c>
      <c r="CT67" s="94">
        <f t="shared" si="222"/>
        <v>21855</v>
      </c>
      <c r="CU67" s="94">
        <f t="shared" si="222"/>
        <v>21855</v>
      </c>
      <c r="CV67" s="8"/>
    </row>
    <row r="68" spans="2:100" hidden="1" outlineLevel="2" x14ac:dyDescent="0.2">
      <c r="B68" s="95" t="s">
        <v>26</v>
      </c>
      <c r="C68" s="92" t="s">
        <v>4</v>
      </c>
      <c r="D68" s="92">
        <v>400</v>
      </c>
      <c r="X68" s="8">
        <f t="shared" ref="X68:CK68" si="250">$D68</f>
        <v>400</v>
      </c>
      <c r="Y68" s="8">
        <f t="shared" si="250"/>
        <v>400</v>
      </c>
      <c r="Z68" s="8">
        <f t="shared" si="250"/>
        <v>400</v>
      </c>
      <c r="AA68" s="8">
        <f t="shared" si="250"/>
        <v>400</v>
      </c>
      <c r="AB68" s="8">
        <f t="shared" si="250"/>
        <v>400</v>
      </c>
      <c r="AC68" s="8">
        <f t="shared" si="250"/>
        <v>400</v>
      </c>
      <c r="AD68" s="8">
        <f t="shared" si="250"/>
        <v>400</v>
      </c>
      <c r="AE68" s="8">
        <f t="shared" si="250"/>
        <v>400</v>
      </c>
      <c r="AF68" s="8">
        <f t="shared" si="250"/>
        <v>400</v>
      </c>
      <c r="AG68" s="8">
        <f t="shared" si="250"/>
        <v>400</v>
      </c>
      <c r="AH68" s="8">
        <f t="shared" si="250"/>
        <v>400</v>
      </c>
      <c r="AI68" s="8">
        <f t="shared" si="250"/>
        <v>400</v>
      </c>
      <c r="AJ68" s="8">
        <f t="shared" si="250"/>
        <v>400</v>
      </c>
      <c r="AK68" s="8">
        <f t="shared" si="250"/>
        <v>400</v>
      </c>
      <c r="AL68" s="8">
        <f t="shared" si="250"/>
        <v>400</v>
      </c>
      <c r="AM68" s="8">
        <f t="shared" si="250"/>
        <v>400</v>
      </c>
      <c r="AN68" s="8">
        <f t="shared" si="250"/>
        <v>400</v>
      </c>
      <c r="AO68" s="8">
        <f t="shared" si="250"/>
        <v>400</v>
      </c>
      <c r="AP68" s="8">
        <f t="shared" si="250"/>
        <v>400</v>
      </c>
      <c r="AQ68" s="8">
        <f t="shared" si="250"/>
        <v>400</v>
      </c>
      <c r="AR68" s="8">
        <f t="shared" si="250"/>
        <v>400</v>
      </c>
      <c r="AS68" s="8">
        <f t="shared" si="250"/>
        <v>400</v>
      </c>
      <c r="AT68" s="8">
        <f t="shared" si="250"/>
        <v>400</v>
      </c>
      <c r="AU68" s="8">
        <f t="shared" si="250"/>
        <v>400</v>
      </c>
      <c r="AV68" s="8">
        <f t="shared" si="250"/>
        <v>400</v>
      </c>
      <c r="AW68" s="8">
        <f t="shared" si="250"/>
        <v>400</v>
      </c>
      <c r="AX68" s="8">
        <f t="shared" si="250"/>
        <v>400</v>
      </c>
      <c r="AY68" s="8">
        <f t="shared" si="250"/>
        <v>400</v>
      </c>
      <c r="AZ68" s="8">
        <f t="shared" si="250"/>
        <v>400</v>
      </c>
      <c r="BA68" s="8">
        <f t="shared" si="250"/>
        <v>400</v>
      </c>
      <c r="BB68" s="8">
        <f t="shared" si="250"/>
        <v>400</v>
      </c>
      <c r="BC68" s="8">
        <f t="shared" si="250"/>
        <v>400</v>
      </c>
      <c r="BD68" s="8">
        <f t="shared" si="250"/>
        <v>400</v>
      </c>
      <c r="BE68" s="8">
        <f t="shared" si="250"/>
        <v>400</v>
      </c>
      <c r="BF68" s="8">
        <f t="shared" si="250"/>
        <v>400</v>
      </c>
      <c r="BG68" s="8">
        <f t="shared" si="250"/>
        <v>400</v>
      </c>
      <c r="BH68" s="8">
        <f t="shared" si="250"/>
        <v>400</v>
      </c>
      <c r="BI68" s="8">
        <f t="shared" si="250"/>
        <v>400</v>
      </c>
      <c r="BJ68" s="8">
        <f t="shared" si="250"/>
        <v>400</v>
      </c>
      <c r="BK68" s="8">
        <f t="shared" si="250"/>
        <v>400</v>
      </c>
      <c r="BL68" s="8">
        <f t="shared" si="250"/>
        <v>400</v>
      </c>
      <c r="BM68" s="8">
        <f t="shared" si="250"/>
        <v>400</v>
      </c>
      <c r="BN68" s="8">
        <f t="shared" si="250"/>
        <v>400</v>
      </c>
      <c r="BO68" s="8">
        <f t="shared" si="250"/>
        <v>400</v>
      </c>
      <c r="BP68" s="8">
        <f t="shared" si="250"/>
        <v>400</v>
      </c>
      <c r="BQ68" s="8">
        <f t="shared" si="250"/>
        <v>400</v>
      </c>
      <c r="BR68" s="8">
        <f t="shared" si="250"/>
        <v>400</v>
      </c>
      <c r="BS68" s="8">
        <f t="shared" si="250"/>
        <v>400</v>
      </c>
      <c r="BT68" s="8">
        <f t="shared" si="250"/>
        <v>400</v>
      </c>
      <c r="BU68" s="8">
        <f t="shared" si="250"/>
        <v>400</v>
      </c>
      <c r="BV68" s="8">
        <f t="shared" si="250"/>
        <v>400</v>
      </c>
      <c r="BW68" s="8">
        <f t="shared" si="250"/>
        <v>400</v>
      </c>
      <c r="BX68" s="8">
        <f t="shared" si="250"/>
        <v>400</v>
      </c>
      <c r="BY68" s="8">
        <f t="shared" si="250"/>
        <v>400</v>
      </c>
      <c r="BZ68" s="8">
        <f t="shared" si="250"/>
        <v>400</v>
      </c>
      <c r="CA68" s="8">
        <f t="shared" si="250"/>
        <v>400</v>
      </c>
      <c r="CB68" s="8">
        <f t="shared" si="250"/>
        <v>400</v>
      </c>
      <c r="CC68" s="8">
        <f t="shared" si="250"/>
        <v>400</v>
      </c>
      <c r="CD68" s="8">
        <f t="shared" si="250"/>
        <v>400</v>
      </c>
      <c r="CE68" s="8">
        <f t="shared" si="250"/>
        <v>400</v>
      </c>
      <c r="CF68" s="8">
        <f t="shared" si="250"/>
        <v>400</v>
      </c>
      <c r="CG68" s="8">
        <f t="shared" si="250"/>
        <v>400</v>
      </c>
      <c r="CH68" s="8">
        <f t="shared" si="250"/>
        <v>400</v>
      </c>
      <c r="CI68" s="8">
        <f t="shared" si="250"/>
        <v>400</v>
      </c>
      <c r="CJ68" s="8">
        <f t="shared" si="250"/>
        <v>400</v>
      </c>
      <c r="CK68" s="8">
        <f t="shared" si="250"/>
        <v>400</v>
      </c>
      <c r="CN68" s="10"/>
      <c r="CO68" s="10">
        <f t="shared" ref="CO68:CO71" si="251">SUMIF($F$2:$CK$2,CO$3,$F68:$CK68)</f>
        <v>0</v>
      </c>
      <c r="CP68" s="10">
        <f t="shared" si="239"/>
        <v>2400</v>
      </c>
      <c r="CQ68" s="10">
        <f t="shared" si="224"/>
        <v>4800</v>
      </c>
      <c r="CR68" s="10">
        <f t="shared" si="224"/>
        <v>4800</v>
      </c>
      <c r="CS68" s="10">
        <f t="shared" si="224"/>
        <v>4800</v>
      </c>
      <c r="CT68" s="10">
        <f t="shared" si="222"/>
        <v>4800</v>
      </c>
      <c r="CU68" s="10">
        <f t="shared" si="222"/>
        <v>4800</v>
      </c>
      <c r="CV68" s="8"/>
    </row>
    <row r="69" spans="2:100" hidden="1" outlineLevel="2" x14ac:dyDescent="0.2">
      <c r="B69" s="95" t="s">
        <v>27</v>
      </c>
      <c r="C69" s="92" t="s">
        <v>4</v>
      </c>
      <c r="D69" s="92">
        <v>70</v>
      </c>
      <c r="X69" s="8">
        <f t="shared" ref="X69:CK70" si="252">$D69</f>
        <v>70</v>
      </c>
      <c r="Y69" s="8">
        <f t="shared" si="252"/>
        <v>70</v>
      </c>
      <c r="Z69" s="8">
        <f t="shared" si="252"/>
        <v>70</v>
      </c>
      <c r="AA69" s="8">
        <f t="shared" si="252"/>
        <v>70</v>
      </c>
      <c r="AB69" s="8">
        <f t="shared" si="252"/>
        <v>70</v>
      </c>
      <c r="AC69" s="8">
        <f t="shared" si="252"/>
        <v>70</v>
      </c>
      <c r="AD69" s="8">
        <f t="shared" si="252"/>
        <v>70</v>
      </c>
      <c r="AE69" s="8">
        <f t="shared" si="252"/>
        <v>70</v>
      </c>
      <c r="AF69" s="8">
        <f t="shared" si="252"/>
        <v>70</v>
      </c>
      <c r="AG69" s="8">
        <f t="shared" si="252"/>
        <v>70</v>
      </c>
      <c r="AH69" s="8">
        <f t="shared" si="252"/>
        <v>70</v>
      </c>
      <c r="AI69" s="8">
        <f t="shared" si="252"/>
        <v>70</v>
      </c>
      <c r="AJ69" s="8">
        <f t="shared" si="252"/>
        <v>70</v>
      </c>
      <c r="AK69" s="8">
        <f t="shared" si="252"/>
        <v>70</v>
      </c>
      <c r="AL69" s="8">
        <f t="shared" si="252"/>
        <v>70</v>
      </c>
      <c r="AM69" s="8">
        <f t="shared" si="252"/>
        <v>70</v>
      </c>
      <c r="AN69" s="8">
        <f t="shared" si="252"/>
        <v>70</v>
      </c>
      <c r="AO69" s="8">
        <f t="shared" si="252"/>
        <v>70</v>
      </c>
      <c r="AP69" s="8">
        <f t="shared" si="252"/>
        <v>70</v>
      </c>
      <c r="AQ69" s="8">
        <f t="shared" si="252"/>
        <v>70</v>
      </c>
      <c r="AR69" s="8">
        <f t="shared" si="252"/>
        <v>70</v>
      </c>
      <c r="AS69" s="8">
        <f t="shared" si="252"/>
        <v>70</v>
      </c>
      <c r="AT69" s="8">
        <f t="shared" si="252"/>
        <v>70</v>
      </c>
      <c r="AU69" s="8">
        <f t="shared" si="252"/>
        <v>70</v>
      </c>
      <c r="AV69" s="8">
        <f t="shared" si="252"/>
        <v>70</v>
      </c>
      <c r="AW69" s="8">
        <f t="shared" si="252"/>
        <v>70</v>
      </c>
      <c r="AX69" s="8">
        <f t="shared" si="252"/>
        <v>70</v>
      </c>
      <c r="AY69" s="8">
        <f t="shared" si="252"/>
        <v>70</v>
      </c>
      <c r="AZ69" s="8">
        <f t="shared" si="252"/>
        <v>70</v>
      </c>
      <c r="BA69" s="8">
        <f t="shared" si="252"/>
        <v>70</v>
      </c>
      <c r="BB69" s="8">
        <f t="shared" si="252"/>
        <v>70</v>
      </c>
      <c r="BC69" s="8">
        <f t="shared" si="252"/>
        <v>70</v>
      </c>
      <c r="BD69" s="8">
        <f t="shared" si="252"/>
        <v>70</v>
      </c>
      <c r="BE69" s="8">
        <f t="shared" si="252"/>
        <v>70</v>
      </c>
      <c r="BF69" s="8">
        <f t="shared" si="252"/>
        <v>70</v>
      </c>
      <c r="BG69" s="8">
        <f t="shared" si="252"/>
        <v>70</v>
      </c>
      <c r="BH69" s="8">
        <f t="shared" si="252"/>
        <v>70</v>
      </c>
      <c r="BI69" s="8">
        <f t="shared" si="252"/>
        <v>70</v>
      </c>
      <c r="BJ69" s="8">
        <f t="shared" si="252"/>
        <v>70</v>
      </c>
      <c r="BK69" s="8">
        <f t="shared" si="252"/>
        <v>70</v>
      </c>
      <c r="BL69" s="8">
        <f t="shared" si="252"/>
        <v>70</v>
      </c>
      <c r="BM69" s="8">
        <f t="shared" si="252"/>
        <v>70</v>
      </c>
      <c r="BN69" s="8">
        <f t="shared" si="252"/>
        <v>70</v>
      </c>
      <c r="BO69" s="8">
        <f t="shared" si="252"/>
        <v>70</v>
      </c>
      <c r="BP69" s="8">
        <f t="shared" si="252"/>
        <v>70</v>
      </c>
      <c r="BQ69" s="8">
        <f t="shared" si="252"/>
        <v>70</v>
      </c>
      <c r="BR69" s="8">
        <f t="shared" si="252"/>
        <v>70</v>
      </c>
      <c r="BS69" s="8">
        <f t="shared" si="252"/>
        <v>70</v>
      </c>
      <c r="BT69" s="8">
        <f t="shared" si="252"/>
        <v>70</v>
      </c>
      <c r="BU69" s="8">
        <f t="shared" si="252"/>
        <v>70</v>
      </c>
      <c r="BV69" s="8">
        <f t="shared" si="252"/>
        <v>70</v>
      </c>
      <c r="BW69" s="8">
        <f t="shared" si="252"/>
        <v>70</v>
      </c>
      <c r="BX69" s="8">
        <f t="shared" si="252"/>
        <v>70</v>
      </c>
      <c r="BY69" s="8">
        <f t="shared" si="252"/>
        <v>70</v>
      </c>
      <c r="BZ69" s="8">
        <f t="shared" si="252"/>
        <v>70</v>
      </c>
      <c r="CA69" s="8">
        <f t="shared" si="252"/>
        <v>70</v>
      </c>
      <c r="CB69" s="8">
        <f t="shared" si="252"/>
        <v>70</v>
      </c>
      <c r="CC69" s="8">
        <f t="shared" si="252"/>
        <v>70</v>
      </c>
      <c r="CD69" s="8">
        <f t="shared" si="252"/>
        <v>70</v>
      </c>
      <c r="CE69" s="8">
        <f t="shared" si="252"/>
        <v>70</v>
      </c>
      <c r="CF69" s="8">
        <f t="shared" si="252"/>
        <v>70</v>
      </c>
      <c r="CG69" s="8">
        <f t="shared" si="252"/>
        <v>70</v>
      </c>
      <c r="CH69" s="8">
        <f t="shared" si="252"/>
        <v>70</v>
      </c>
      <c r="CI69" s="8">
        <f t="shared" si="252"/>
        <v>70</v>
      </c>
      <c r="CJ69" s="8">
        <f t="shared" si="252"/>
        <v>70</v>
      </c>
      <c r="CK69" s="8">
        <f t="shared" si="252"/>
        <v>70</v>
      </c>
      <c r="CN69" s="10"/>
      <c r="CO69" s="10">
        <f t="shared" si="251"/>
        <v>0</v>
      </c>
      <c r="CP69" s="10">
        <f t="shared" si="239"/>
        <v>420</v>
      </c>
      <c r="CQ69" s="10">
        <f t="shared" si="224"/>
        <v>840</v>
      </c>
      <c r="CR69" s="10">
        <f t="shared" si="224"/>
        <v>840</v>
      </c>
      <c r="CS69" s="10">
        <f t="shared" si="224"/>
        <v>840</v>
      </c>
      <c r="CT69" s="10">
        <f t="shared" ref="CT69:CU71" si="253">SUMIF($L$2:$CK$2,CT$3,$L69:$CK69)</f>
        <v>840</v>
      </c>
      <c r="CU69" s="10">
        <f t="shared" si="253"/>
        <v>840</v>
      </c>
      <c r="CV69" s="8"/>
    </row>
    <row r="70" spans="2:100" hidden="1" outlineLevel="2" x14ac:dyDescent="0.2">
      <c r="B70" s="95" t="s">
        <v>28</v>
      </c>
      <c r="C70" s="92" t="s">
        <v>4</v>
      </c>
      <c r="D70" s="92">
        <v>20</v>
      </c>
      <c r="X70" s="8">
        <f t="shared" si="252"/>
        <v>20</v>
      </c>
      <c r="Y70" s="8">
        <f t="shared" si="252"/>
        <v>20</v>
      </c>
      <c r="Z70" s="8">
        <f t="shared" si="252"/>
        <v>20</v>
      </c>
      <c r="AA70" s="8">
        <f t="shared" si="252"/>
        <v>20</v>
      </c>
      <c r="AB70" s="8">
        <f t="shared" si="252"/>
        <v>20</v>
      </c>
      <c r="AC70" s="8">
        <f t="shared" si="252"/>
        <v>20</v>
      </c>
      <c r="AD70" s="8">
        <f t="shared" si="252"/>
        <v>20</v>
      </c>
      <c r="AE70" s="8">
        <f t="shared" si="252"/>
        <v>20</v>
      </c>
      <c r="AF70" s="8">
        <f t="shared" si="252"/>
        <v>20</v>
      </c>
      <c r="AG70" s="8">
        <f t="shared" si="252"/>
        <v>20</v>
      </c>
      <c r="AH70" s="8">
        <f t="shared" si="252"/>
        <v>20</v>
      </c>
      <c r="AI70" s="8">
        <f t="shared" si="252"/>
        <v>20</v>
      </c>
      <c r="AJ70" s="8">
        <f t="shared" si="252"/>
        <v>20</v>
      </c>
      <c r="AK70" s="8">
        <f t="shared" si="252"/>
        <v>20</v>
      </c>
      <c r="AL70" s="8">
        <f t="shared" si="252"/>
        <v>20</v>
      </c>
      <c r="AM70" s="8">
        <f t="shared" si="252"/>
        <v>20</v>
      </c>
      <c r="AN70" s="8">
        <f t="shared" si="252"/>
        <v>20</v>
      </c>
      <c r="AO70" s="8">
        <f t="shared" si="252"/>
        <v>20</v>
      </c>
      <c r="AP70" s="8">
        <f t="shared" si="252"/>
        <v>20</v>
      </c>
      <c r="AQ70" s="8">
        <f t="shared" si="252"/>
        <v>20</v>
      </c>
      <c r="AR70" s="8">
        <f t="shared" si="252"/>
        <v>20</v>
      </c>
      <c r="AS70" s="8">
        <f t="shared" si="252"/>
        <v>20</v>
      </c>
      <c r="AT70" s="8">
        <f t="shared" si="252"/>
        <v>20</v>
      </c>
      <c r="AU70" s="8">
        <f t="shared" si="252"/>
        <v>20</v>
      </c>
      <c r="AV70" s="8">
        <f t="shared" si="252"/>
        <v>20</v>
      </c>
      <c r="AW70" s="8">
        <f t="shared" si="252"/>
        <v>20</v>
      </c>
      <c r="AX70" s="8">
        <f t="shared" si="252"/>
        <v>20</v>
      </c>
      <c r="AY70" s="8">
        <f t="shared" si="252"/>
        <v>20</v>
      </c>
      <c r="AZ70" s="8">
        <f t="shared" si="252"/>
        <v>20</v>
      </c>
      <c r="BA70" s="8">
        <f t="shared" si="252"/>
        <v>20</v>
      </c>
      <c r="BB70" s="8">
        <f t="shared" si="252"/>
        <v>20</v>
      </c>
      <c r="BC70" s="8">
        <f t="shared" si="252"/>
        <v>20</v>
      </c>
      <c r="BD70" s="8">
        <f t="shared" si="252"/>
        <v>20</v>
      </c>
      <c r="BE70" s="8">
        <f t="shared" si="252"/>
        <v>20</v>
      </c>
      <c r="BF70" s="8">
        <f t="shared" si="252"/>
        <v>20</v>
      </c>
      <c r="BG70" s="8">
        <f t="shared" si="252"/>
        <v>20</v>
      </c>
      <c r="BH70" s="8">
        <f t="shared" si="252"/>
        <v>20</v>
      </c>
      <c r="BI70" s="8">
        <f t="shared" si="252"/>
        <v>20</v>
      </c>
      <c r="BJ70" s="8">
        <f t="shared" si="252"/>
        <v>20</v>
      </c>
      <c r="BK70" s="8">
        <f t="shared" si="252"/>
        <v>20</v>
      </c>
      <c r="BL70" s="8">
        <f t="shared" si="252"/>
        <v>20</v>
      </c>
      <c r="BM70" s="8">
        <f t="shared" si="252"/>
        <v>20</v>
      </c>
      <c r="BN70" s="8">
        <f t="shared" si="252"/>
        <v>20</v>
      </c>
      <c r="BO70" s="8">
        <f t="shared" si="252"/>
        <v>20</v>
      </c>
      <c r="BP70" s="8">
        <f t="shared" si="252"/>
        <v>20</v>
      </c>
      <c r="BQ70" s="8">
        <f t="shared" si="252"/>
        <v>20</v>
      </c>
      <c r="BR70" s="8">
        <f t="shared" si="252"/>
        <v>20</v>
      </c>
      <c r="BS70" s="8">
        <f t="shared" si="252"/>
        <v>20</v>
      </c>
      <c r="BT70" s="8">
        <f t="shared" si="252"/>
        <v>20</v>
      </c>
      <c r="BU70" s="8">
        <f t="shared" si="252"/>
        <v>20</v>
      </c>
      <c r="BV70" s="8">
        <f t="shared" si="252"/>
        <v>20</v>
      </c>
      <c r="BW70" s="8">
        <f t="shared" si="252"/>
        <v>20</v>
      </c>
      <c r="BX70" s="8">
        <f t="shared" si="252"/>
        <v>20</v>
      </c>
      <c r="BY70" s="8">
        <f t="shared" si="252"/>
        <v>20</v>
      </c>
      <c r="BZ70" s="8">
        <f t="shared" si="252"/>
        <v>20</v>
      </c>
      <c r="CA70" s="8">
        <f t="shared" si="252"/>
        <v>20</v>
      </c>
      <c r="CB70" s="8">
        <f t="shared" si="252"/>
        <v>20</v>
      </c>
      <c r="CC70" s="8">
        <f t="shared" si="252"/>
        <v>20</v>
      </c>
      <c r="CD70" s="8">
        <f t="shared" si="252"/>
        <v>20</v>
      </c>
      <c r="CE70" s="8">
        <f t="shared" si="252"/>
        <v>20</v>
      </c>
      <c r="CF70" s="8">
        <f t="shared" si="252"/>
        <v>20</v>
      </c>
      <c r="CG70" s="8">
        <f t="shared" si="252"/>
        <v>20</v>
      </c>
      <c r="CH70" s="8">
        <f t="shared" si="252"/>
        <v>20</v>
      </c>
      <c r="CI70" s="8">
        <f t="shared" si="252"/>
        <v>20</v>
      </c>
      <c r="CJ70" s="8">
        <f t="shared" si="252"/>
        <v>20</v>
      </c>
      <c r="CK70" s="8">
        <f t="shared" si="252"/>
        <v>20</v>
      </c>
      <c r="CN70" s="10"/>
      <c r="CO70" s="10">
        <f t="shared" si="251"/>
        <v>0</v>
      </c>
      <c r="CP70" s="10">
        <f>SUMIF($L$2:$CK$2,CP$3,$L70:$CK70)</f>
        <v>120</v>
      </c>
      <c r="CQ70" s="10">
        <f t="shared" si="224"/>
        <v>240</v>
      </c>
      <c r="CR70" s="10">
        <f t="shared" si="224"/>
        <v>240</v>
      </c>
      <c r="CS70" s="10">
        <f t="shared" si="224"/>
        <v>240</v>
      </c>
      <c r="CT70" s="10">
        <f t="shared" si="253"/>
        <v>240</v>
      </c>
      <c r="CU70" s="10">
        <f t="shared" si="253"/>
        <v>240</v>
      </c>
      <c r="CV70" s="8"/>
    </row>
    <row r="71" spans="2:100" hidden="1" outlineLevel="2" x14ac:dyDescent="0.2">
      <c r="B71" s="95" t="s">
        <v>29</v>
      </c>
      <c r="C71" s="92" t="s">
        <v>4</v>
      </c>
      <c r="D71" s="92">
        <v>150</v>
      </c>
      <c r="F71" s="10"/>
      <c r="G71" s="10"/>
      <c r="H71" s="10"/>
      <c r="I71" s="10"/>
      <c r="J71" s="10"/>
      <c r="K71" s="10"/>
      <c r="L71" s="10"/>
      <c r="M71" s="10"/>
      <c r="N71" s="10"/>
      <c r="O71" s="10"/>
      <c r="P71" s="10"/>
      <c r="Q71" s="10"/>
      <c r="R71" s="10"/>
      <c r="S71" s="10"/>
      <c r="T71" s="10"/>
      <c r="U71" s="10"/>
      <c r="V71" s="10"/>
      <c r="W71" s="10"/>
      <c r="X71" s="10">
        <f t="shared" ref="X71:CK71" si="254">$D$71*X72</f>
        <v>170.25</v>
      </c>
      <c r="Y71" s="10">
        <f t="shared" si="254"/>
        <v>170.25</v>
      </c>
      <c r="Z71" s="10">
        <f t="shared" si="254"/>
        <v>180</v>
      </c>
      <c r="AA71" s="10">
        <f t="shared" si="254"/>
        <v>249.75</v>
      </c>
      <c r="AB71" s="10">
        <f t="shared" si="254"/>
        <v>249.75</v>
      </c>
      <c r="AC71" s="10">
        <f t="shared" si="254"/>
        <v>249.75</v>
      </c>
      <c r="AD71" s="10">
        <f t="shared" si="254"/>
        <v>249.75</v>
      </c>
      <c r="AE71" s="10">
        <f t="shared" si="254"/>
        <v>249.75</v>
      </c>
      <c r="AF71" s="10">
        <f t="shared" si="254"/>
        <v>249.75</v>
      </c>
      <c r="AG71" s="10">
        <f t="shared" si="254"/>
        <v>249.75</v>
      </c>
      <c r="AH71" s="10">
        <f t="shared" si="254"/>
        <v>249.75</v>
      </c>
      <c r="AI71" s="10">
        <f t="shared" si="254"/>
        <v>249.75</v>
      </c>
      <c r="AJ71" s="10">
        <f t="shared" si="254"/>
        <v>249.75</v>
      </c>
      <c r="AK71" s="10">
        <f t="shared" si="254"/>
        <v>249.75</v>
      </c>
      <c r="AL71" s="10">
        <f t="shared" si="254"/>
        <v>249.75</v>
      </c>
      <c r="AM71" s="10">
        <f t="shared" si="254"/>
        <v>249.75</v>
      </c>
      <c r="AN71" s="10">
        <f t="shared" si="254"/>
        <v>249.75</v>
      </c>
      <c r="AO71" s="10">
        <f t="shared" si="254"/>
        <v>249.75</v>
      </c>
      <c r="AP71" s="10">
        <f t="shared" si="254"/>
        <v>249.75</v>
      </c>
      <c r="AQ71" s="10">
        <f t="shared" si="254"/>
        <v>249.75</v>
      </c>
      <c r="AR71" s="10">
        <f t="shared" si="254"/>
        <v>249.75</v>
      </c>
      <c r="AS71" s="10">
        <f t="shared" si="254"/>
        <v>249.75</v>
      </c>
      <c r="AT71" s="10">
        <f t="shared" si="254"/>
        <v>249.75</v>
      </c>
      <c r="AU71" s="10">
        <f t="shared" si="254"/>
        <v>249.75</v>
      </c>
      <c r="AV71" s="10">
        <f t="shared" si="254"/>
        <v>249.75</v>
      </c>
      <c r="AW71" s="10">
        <f t="shared" si="254"/>
        <v>249.75</v>
      </c>
      <c r="AX71" s="10">
        <f t="shared" si="254"/>
        <v>249.75</v>
      </c>
      <c r="AY71" s="10">
        <f t="shared" si="254"/>
        <v>249.75</v>
      </c>
      <c r="AZ71" s="10">
        <f t="shared" si="254"/>
        <v>249.75</v>
      </c>
      <c r="BA71" s="10">
        <f t="shared" si="254"/>
        <v>249.75</v>
      </c>
      <c r="BB71" s="10">
        <f t="shared" si="254"/>
        <v>249.75</v>
      </c>
      <c r="BC71" s="10">
        <f t="shared" si="254"/>
        <v>249.75</v>
      </c>
      <c r="BD71" s="10">
        <f t="shared" si="254"/>
        <v>249.75</v>
      </c>
      <c r="BE71" s="10">
        <f t="shared" si="254"/>
        <v>249.75</v>
      </c>
      <c r="BF71" s="10">
        <f t="shared" si="254"/>
        <v>249.75</v>
      </c>
      <c r="BG71" s="10">
        <f t="shared" si="254"/>
        <v>249.75</v>
      </c>
      <c r="BH71" s="10">
        <f t="shared" si="254"/>
        <v>249.75</v>
      </c>
      <c r="BI71" s="10">
        <f t="shared" si="254"/>
        <v>249.75</v>
      </c>
      <c r="BJ71" s="10">
        <f t="shared" si="254"/>
        <v>249.75</v>
      </c>
      <c r="BK71" s="10">
        <f t="shared" si="254"/>
        <v>249.75</v>
      </c>
      <c r="BL71" s="10">
        <f t="shared" si="254"/>
        <v>249.75</v>
      </c>
      <c r="BM71" s="10">
        <f t="shared" si="254"/>
        <v>249.75</v>
      </c>
      <c r="BN71" s="10">
        <f t="shared" si="254"/>
        <v>249.75</v>
      </c>
      <c r="BO71" s="10">
        <f t="shared" si="254"/>
        <v>249.75</v>
      </c>
      <c r="BP71" s="10">
        <f t="shared" si="254"/>
        <v>249.75</v>
      </c>
      <c r="BQ71" s="10">
        <f t="shared" si="254"/>
        <v>249.75</v>
      </c>
      <c r="BR71" s="10">
        <f t="shared" si="254"/>
        <v>249.75</v>
      </c>
      <c r="BS71" s="10">
        <f t="shared" si="254"/>
        <v>249.75</v>
      </c>
      <c r="BT71" s="10">
        <f t="shared" si="254"/>
        <v>249.75</v>
      </c>
      <c r="BU71" s="10">
        <f t="shared" si="254"/>
        <v>249.75</v>
      </c>
      <c r="BV71" s="10">
        <f t="shared" si="254"/>
        <v>249.75</v>
      </c>
      <c r="BW71" s="10">
        <f t="shared" si="254"/>
        <v>249.75</v>
      </c>
      <c r="BX71" s="10">
        <f t="shared" si="254"/>
        <v>249.75</v>
      </c>
      <c r="BY71" s="10">
        <f t="shared" si="254"/>
        <v>249.75</v>
      </c>
      <c r="BZ71" s="10">
        <f t="shared" si="254"/>
        <v>249.75</v>
      </c>
      <c r="CA71" s="10">
        <f t="shared" si="254"/>
        <v>249.75</v>
      </c>
      <c r="CB71" s="10">
        <f t="shared" si="254"/>
        <v>249.75</v>
      </c>
      <c r="CC71" s="10">
        <f t="shared" si="254"/>
        <v>249.75</v>
      </c>
      <c r="CD71" s="10">
        <f t="shared" si="254"/>
        <v>249.75</v>
      </c>
      <c r="CE71" s="10">
        <f t="shared" si="254"/>
        <v>249.75</v>
      </c>
      <c r="CF71" s="10">
        <f t="shared" si="254"/>
        <v>249.75</v>
      </c>
      <c r="CG71" s="10">
        <f t="shared" si="254"/>
        <v>249.75</v>
      </c>
      <c r="CH71" s="10">
        <f t="shared" si="254"/>
        <v>249.75</v>
      </c>
      <c r="CI71" s="10">
        <f t="shared" si="254"/>
        <v>249.75</v>
      </c>
      <c r="CJ71" s="10">
        <f t="shared" si="254"/>
        <v>249.75</v>
      </c>
      <c r="CK71" s="10">
        <f t="shared" si="254"/>
        <v>249.75</v>
      </c>
      <c r="CN71" s="10"/>
      <c r="CO71" s="10">
        <f t="shared" si="251"/>
        <v>0</v>
      </c>
      <c r="CP71" s="10">
        <f>SUMIF($L$2:$CK$2,CP$3,$L71:$CK71)</f>
        <v>1269.75</v>
      </c>
      <c r="CQ71" s="10">
        <f t="shared" si="224"/>
        <v>2997</v>
      </c>
      <c r="CR71" s="10">
        <f t="shared" si="224"/>
        <v>2997</v>
      </c>
      <c r="CS71" s="10">
        <f t="shared" si="224"/>
        <v>2997</v>
      </c>
      <c r="CT71" s="10">
        <f t="shared" si="253"/>
        <v>2997</v>
      </c>
      <c r="CU71" s="10">
        <f t="shared" si="253"/>
        <v>2997</v>
      </c>
      <c r="CV71" s="8"/>
    </row>
    <row r="72" spans="2:100" hidden="1" outlineLevel="2" x14ac:dyDescent="0.2">
      <c r="B72" s="99"/>
      <c r="C72" s="107"/>
      <c r="D72" s="99"/>
      <c r="F72" s="25">
        <v>1</v>
      </c>
      <c r="G72" s="25">
        <v>1</v>
      </c>
      <c r="H72" s="25">
        <v>1</v>
      </c>
      <c r="I72" s="25">
        <v>1</v>
      </c>
      <c r="J72" s="25">
        <v>1</v>
      </c>
      <c r="K72" s="25">
        <v>1</v>
      </c>
      <c r="L72" s="25">
        <v>1</v>
      </c>
      <c r="M72" s="25">
        <v>1.0640000000000001</v>
      </c>
      <c r="N72" s="25">
        <v>1.0640000000000001</v>
      </c>
      <c r="O72" s="25">
        <v>1.0640000000000001</v>
      </c>
      <c r="P72" s="25">
        <v>1.0640000000000001</v>
      </c>
      <c r="Q72" s="25">
        <v>1.1000000000000001</v>
      </c>
      <c r="R72" s="25">
        <v>1.1000000000000001</v>
      </c>
      <c r="S72" s="25">
        <v>1.135</v>
      </c>
      <c r="T72" s="25">
        <v>1.135</v>
      </c>
      <c r="U72" s="25">
        <v>1.135</v>
      </c>
      <c r="V72" s="25">
        <v>1.135</v>
      </c>
      <c r="W72" s="25">
        <v>1.135</v>
      </c>
      <c r="X72" s="25">
        <v>1.135</v>
      </c>
      <c r="Y72" s="25">
        <v>1.135</v>
      </c>
      <c r="Z72" s="25">
        <v>1.2</v>
      </c>
      <c r="AA72" s="25">
        <v>1.665</v>
      </c>
      <c r="AB72" s="25">
        <v>1.665</v>
      </c>
      <c r="AC72" s="25">
        <v>1.665</v>
      </c>
      <c r="AD72" s="25">
        <v>1.665</v>
      </c>
      <c r="AE72" s="25">
        <v>1.665</v>
      </c>
      <c r="AF72" s="25">
        <v>1.665</v>
      </c>
      <c r="AG72" s="25">
        <v>1.665</v>
      </c>
      <c r="AH72" s="25">
        <v>1.665</v>
      </c>
      <c r="AI72" s="25">
        <v>1.665</v>
      </c>
      <c r="AJ72" s="25">
        <v>1.665</v>
      </c>
      <c r="AK72" s="25">
        <v>1.665</v>
      </c>
      <c r="AL72" s="25">
        <v>1.665</v>
      </c>
      <c r="AM72" s="25">
        <v>1.665</v>
      </c>
      <c r="AN72" s="25">
        <v>1.665</v>
      </c>
      <c r="AO72" s="25">
        <v>1.665</v>
      </c>
      <c r="AP72" s="25">
        <v>1.665</v>
      </c>
      <c r="AQ72" s="25">
        <v>1.665</v>
      </c>
      <c r="AR72" s="25">
        <v>1.665</v>
      </c>
      <c r="AS72" s="25">
        <v>1.665</v>
      </c>
      <c r="AT72" s="25">
        <v>1.665</v>
      </c>
      <c r="AU72" s="25">
        <v>1.665</v>
      </c>
      <c r="AV72" s="25">
        <v>1.665</v>
      </c>
      <c r="AW72" s="25">
        <v>1.665</v>
      </c>
      <c r="AX72" s="25">
        <f>AW72</f>
        <v>1.665</v>
      </c>
      <c r="AY72" s="25">
        <f t="shared" ref="AY72:BU72" si="255">AX72</f>
        <v>1.665</v>
      </c>
      <c r="AZ72" s="25">
        <f t="shared" si="255"/>
        <v>1.665</v>
      </c>
      <c r="BA72" s="25">
        <f t="shared" si="255"/>
        <v>1.665</v>
      </c>
      <c r="BB72" s="25">
        <f t="shared" si="255"/>
        <v>1.665</v>
      </c>
      <c r="BC72" s="25">
        <f t="shared" si="255"/>
        <v>1.665</v>
      </c>
      <c r="BD72" s="25">
        <f t="shared" si="255"/>
        <v>1.665</v>
      </c>
      <c r="BE72" s="25">
        <f t="shared" si="255"/>
        <v>1.665</v>
      </c>
      <c r="BF72" s="25">
        <f t="shared" si="255"/>
        <v>1.665</v>
      </c>
      <c r="BG72" s="25">
        <f t="shared" si="255"/>
        <v>1.665</v>
      </c>
      <c r="BH72" s="25">
        <f t="shared" si="255"/>
        <v>1.665</v>
      </c>
      <c r="BI72" s="25">
        <f t="shared" si="255"/>
        <v>1.665</v>
      </c>
      <c r="BJ72" s="25">
        <f t="shared" si="255"/>
        <v>1.665</v>
      </c>
      <c r="BK72" s="25">
        <f t="shared" si="255"/>
        <v>1.665</v>
      </c>
      <c r="BL72" s="25">
        <f t="shared" si="255"/>
        <v>1.665</v>
      </c>
      <c r="BM72" s="25">
        <f t="shared" si="255"/>
        <v>1.665</v>
      </c>
      <c r="BN72" s="25">
        <f t="shared" si="255"/>
        <v>1.665</v>
      </c>
      <c r="BO72" s="25">
        <f t="shared" si="255"/>
        <v>1.665</v>
      </c>
      <c r="BP72" s="25">
        <f t="shared" si="255"/>
        <v>1.665</v>
      </c>
      <c r="BQ72" s="25">
        <f t="shared" si="255"/>
        <v>1.665</v>
      </c>
      <c r="BR72" s="25">
        <f t="shared" si="255"/>
        <v>1.665</v>
      </c>
      <c r="BS72" s="25">
        <f t="shared" si="255"/>
        <v>1.665</v>
      </c>
      <c r="BT72" s="25">
        <f t="shared" si="255"/>
        <v>1.665</v>
      </c>
      <c r="BU72" s="25">
        <f t="shared" si="255"/>
        <v>1.665</v>
      </c>
      <c r="BV72" s="25">
        <f t="shared" ref="BV72" si="256">BU72</f>
        <v>1.665</v>
      </c>
      <c r="BW72" s="25">
        <f t="shared" ref="BW72" si="257">BV72</f>
        <v>1.665</v>
      </c>
      <c r="BX72" s="25">
        <f t="shared" ref="BX72" si="258">BW72</f>
        <v>1.665</v>
      </c>
      <c r="BY72" s="25">
        <f t="shared" ref="BY72" si="259">BX72</f>
        <v>1.665</v>
      </c>
      <c r="BZ72" s="25">
        <f t="shared" ref="BZ72" si="260">BY72</f>
        <v>1.665</v>
      </c>
      <c r="CA72" s="25">
        <f t="shared" ref="CA72" si="261">BZ72</f>
        <v>1.665</v>
      </c>
      <c r="CB72" s="25">
        <f t="shared" ref="CB72" si="262">CA72</f>
        <v>1.665</v>
      </c>
      <c r="CC72" s="25">
        <f t="shared" ref="CC72" si="263">CB72</f>
        <v>1.665</v>
      </c>
      <c r="CD72" s="25">
        <f t="shared" ref="CD72" si="264">CC72</f>
        <v>1.665</v>
      </c>
      <c r="CE72" s="25">
        <f t="shared" ref="CE72" si="265">CD72</f>
        <v>1.665</v>
      </c>
      <c r="CF72" s="25">
        <f t="shared" ref="CF72" si="266">CE72</f>
        <v>1.665</v>
      </c>
      <c r="CG72" s="25">
        <f t="shared" ref="CG72" si="267">CF72</f>
        <v>1.665</v>
      </c>
      <c r="CH72" s="25">
        <f t="shared" ref="CH72" si="268">CG72</f>
        <v>1.665</v>
      </c>
      <c r="CI72" s="25">
        <f t="shared" ref="CI72" si="269">CH72</f>
        <v>1.665</v>
      </c>
      <c r="CJ72" s="25">
        <f t="shared" ref="CJ72" si="270">CI72</f>
        <v>1.665</v>
      </c>
      <c r="CK72" s="25">
        <f t="shared" ref="CK72" si="271">CJ72</f>
        <v>1.665</v>
      </c>
      <c r="CN72" s="10"/>
      <c r="CO72" s="10"/>
      <c r="CP72" s="10"/>
      <c r="CQ72" s="10"/>
      <c r="CR72" s="10"/>
      <c r="CS72" s="10"/>
      <c r="CT72" s="10"/>
      <c r="CU72" s="10"/>
      <c r="CV72" s="8"/>
    </row>
    <row r="73" spans="2:100" hidden="1" outlineLevel="2" x14ac:dyDescent="0.2">
      <c r="B73" s="95" t="s">
        <v>30</v>
      </c>
      <c r="C73" s="92" t="s">
        <v>4</v>
      </c>
      <c r="D73" s="92">
        <v>50</v>
      </c>
      <c r="F73" s="10"/>
      <c r="G73" s="10"/>
      <c r="H73" s="10"/>
      <c r="I73" s="10"/>
      <c r="J73" s="10"/>
      <c r="K73" s="10"/>
      <c r="L73" s="10"/>
      <c r="M73" s="10"/>
      <c r="N73" s="10"/>
      <c r="O73" s="10"/>
      <c r="P73" s="10"/>
      <c r="Q73" s="10"/>
      <c r="R73" s="10"/>
      <c r="S73" s="10"/>
      <c r="T73" s="10"/>
      <c r="U73" s="10"/>
      <c r="V73" s="10"/>
      <c r="W73" s="10"/>
      <c r="X73" s="10">
        <f t="shared" ref="X73:CK73" si="272">$D$73*X74</f>
        <v>150</v>
      </c>
      <c r="Y73" s="10">
        <f t="shared" si="272"/>
        <v>150</v>
      </c>
      <c r="Z73" s="10">
        <f t="shared" si="272"/>
        <v>150</v>
      </c>
      <c r="AA73" s="10">
        <f t="shared" si="272"/>
        <v>150</v>
      </c>
      <c r="AB73" s="10">
        <f t="shared" si="272"/>
        <v>150</v>
      </c>
      <c r="AC73" s="10">
        <f t="shared" si="272"/>
        <v>150</v>
      </c>
      <c r="AD73" s="10">
        <f t="shared" si="272"/>
        <v>150</v>
      </c>
      <c r="AE73" s="10">
        <f t="shared" si="272"/>
        <v>150</v>
      </c>
      <c r="AF73" s="10">
        <f t="shared" si="272"/>
        <v>150</v>
      </c>
      <c r="AG73" s="10">
        <f t="shared" si="272"/>
        <v>150</v>
      </c>
      <c r="AH73" s="10">
        <f t="shared" si="272"/>
        <v>150</v>
      </c>
      <c r="AI73" s="10">
        <f t="shared" si="272"/>
        <v>150</v>
      </c>
      <c r="AJ73" s="10">
        <f t="shared" si="272"/>
        <v>150</v>
      </c>
      <c r="AK73" s="10">
        <f t="shared" si="272"/>
        <v>150</v>
      </c>
      <c r="AL73" s="10">
        <f t="shared" si="272"/>
        <v>150</v>
      </c>
      <c r="AM73" s="10">
        <f t="shared" si="272"/>
        <v>150</v>
      </c>
      <c r="AN73" s="10">
        <f t="shared" si="272"/>
        <v>150</v>
      </c>
      <c r="AO73" s="10">
        <f t="shared" si="272"/>
        <v>150</v>
      </c>
      <c r="AP73" s="10">
        <f t="shared" si="272"/>
        <v>150</v>
      </c>
      <c r="AQ73" s="10">
        <f t="shared" si="272"/>
        <v>150</v>
      </c>
      <c r="AR73" s="10">
        <f t="shared" si="272"/>
        <v>150</v>
      </c>
      <c r="AS73" s="10">
        <f t="shared" si="272"/>
        <v>150</v>
      </c>
      <c r="AT73" s="10">
        <f t="shared" si="272"/>
        <v>150</v>
      </c>
      <c r="AU73" s="10">
        <f t="shared" si="272"/>
        <v>150</v>
      </c>
      <c r="AV73" s="10">
        <f t="shared" si="272"/>
        <v>150</v>
      </c>
      <c r="AW73" s="10">
        <f t="shared" si="272"/>
        <v>150</v>
      </c>
      <c r="AX73" s="10">
        <f t="shared" si="272"/>
        <v>200</v>
      </c>
      <c r="AY73" s="10">
        <f t="shared" si="272"/>
        <v>200</v>
      </c>
      <c r="AZ73" s="10">
        <f t="shared" si="272"/>
        <v>200</v>
      </c>
      <c r="BA73" s="10">
        <f t="shared" si="272"/>
        <v>200</v>
      </c>
      <c r="BB73" s="10">
        <f t="shared" si="272"/>
        <v>200</v>
      </c>
      <c r="BC73" s="10">
        <f t="shared" si="272"/>
        <v>200</v>
      </c>
      <c r="BD73" s="10">
        <f t="shared" si="272"/>
        <v>200</v>
      </c>
      <c r="BE73" s="10">
        <f t="shared" si="272"/>
        <v>200</v>
      </c>
      <c r="BF73" s="10">
        <f t="shared" si="272"/>
        <v>200</v>
      </c>
      <c r="BG73" s="10">
        <f t="shared" si="272"/>
        <v>200</v>
      </c>
      <c r="BH73" s="10">
        <f t="shared" si="272"/>
        <v>200</v>
      </c>
      <c r="BI73" s="10">
        <f t="shared" si="272"/>
        <v>200</v>
      </c>
      <c r="BJ73" s="10">
        <f t="shared" si="272"/>
        <v>200</v>
      </c>
      <c r="BK73" s="10">
        <f t="shared" si="272"/>
        <v>200</v>
      </c>
      <c r="BL73" s="10">
        <f t="shared" si="272"/>
        <v>200</v>
      </c>
      <c r="BM73" s="10">
        <f t="shared" si="272"/>
        <v>200</v>
      </c>
      <c r="BN73" s="10">
        <f t="shared" si="272"/>
        <v>200</v>
      </c>
      <c r="BO73" s="10">
        <f t="shared" si="272"/>
        <v>200</v>
      </c>
      <c r="BP73" s="10">
        <f t="shared" si="272"/>
        <v>200</v>
      </c>
      <c r="BQ73" s="10">
        <f t="shared" si="272"/>
        <v>200</v>
      </c>
      <c r="BR73" s="10">
        <f t="shared" si="272"/>
        <v>200</v>
      </c>
      <c r="BS73" s="10">
        <f t="shared" si="272"/>
        <v>200</v>
      </c>
      <c r="BT73" s="10">
        <f t="shared" si="272"/>
        <v>200</v>
      </c>
      <c r="BU73" s="10">
        <f t="shared" si="272"/>
        <v>200</v>
      </c>
      <c r="BV73" s="10">
        <f t="shared" si="272"/>
        <v>200</v>
      </c>
      <c r="BW73" s="10">
        <f t="shared" si="272"/>
        <v>200</v>
      </c>
      <c r="BX73" s="10">
        <f t="shared" si="272"/>
        <v>200</v>
      </c>
      <c r="BY73" s="10">
        <f t="shared" si="272"/>
        <v>200</v>
      </c>
      <c r="BZ73" s="10">
        <f t="shared" si="272"/>
        <v>200</v>
      </c>
      <c r="CA73" s="10">
        <f t="shared" si="272"/>
        <v>200</v>
      </c>
      <c r="CB73" s="10">
        <f t="shared" si="272"/>
        <v>200</v>
      </c>
      <c r="CC73" s="10">
        <f t="shared" si="272"/>
        <v>200</v>
      </c>
      <c r="CD73" s="10">
        <f t="shared" si="272"/>
        <v>200</v>
      </c>
      <c r="CE73" s="10">
        <f t="shared" si="272"/>
        <v>200</v>
      </c>
      <c r="CF73" s="10">
        <f t="shared" si="272"/>
        <v>200</v>
      </c>
      <c r="CG73" s="10">
        <f t="shared" si="272"/>
        <v>200</v>
      </c>
      <c r="CH73" s="10">
        <f t="shared" si="272"/>
        <v>200</v>
      </c>
      <c r="CI73" s="10">
        <f t="shared" si="272"/>
        <v>200</v>
      </c>
      <c r="CJ73" s="10">
        <f t="shared" si="272"/>
        <v>200</v>
      </c>
      <c r="CK73" s="10">
        <f t="shared" si="272"/>
        <v>200</v>
      </c>
      <c r="CN73" s="10"/>
      <c r="CO73" s="10">
        <f t="shared" ref="CO73" si="273">SUMIF($F$2:$CK$2,CO$3,$F73:$CK73)</f>
        <v>0</v>
      </c>
      <c r="CP73" s="10">
        <f>SUMIF($L$2:$CK$2,CP$3,$L73:$CK73)</f>
        <v>900</v>
      </c>
      <c r="CQ73" s="10">
        <f>SUMIF($L$2:$CK$2,CQ$3,$L73:$CK73)</f>
        <v>1800</v>
      </c>
      <c r="CR73" s="10">
        <f>SUMIF($L$2:$CK$2,CR$3,$L73:$CK73)</f>
        <v>2000</v>
      </c>
      <c r="CS73" s="10">
        <f>SUMIF($L$2:$CK$2,CS$3,$L73:$CK73)</f>
        <v>2400</v>
      </c>
      <c r="CT73" s="10">
        <f t="shared" ref="CT73:CU73" si="274">SUMIF($L$2:$CK$2,CT$3,$L73:$CK73)</f>
        <v>2400</v>
      </c>
      <c r="CU73" s="10">
        <f t="shared" si="274"/>
        <v>2400</v>
      </c>
      <c r="CV73" s="8"/>
    </row>
    <row r="74" spans="2:100" hidden="1" outlineLevel="2" x14ac:dyDescent="0.2">
      <c r="B74" s="99"/>
      <c r="C74" s="107"/>
      <c r="D74" s="99"/>
      <c r="F74" s="25">
        <v>1</v>
      </c>
      <c r="G74" s="25">
        <v>1</v>
      </c>
      <c r="H74" s="25">
        <v>1</v>
      </c>
      <c r="I74" s="25">
        <v>1</v>
      </c>
      <c r="J74" s="25">
        <v>1</v>
      </c>
      <c r="K74" s="25">
        <v>1</v>
      </c>
      <c r="L74" s="25">
        <v>1</v>
      </c>
      <c r="M74" s="25">
        <v>1</v>
      </c>
      <c r="N74" s="25">
        <v>1</v>
      </c>
      <c r="O74" s="25">
        <v>1</v>
      </c>
      <c r="P74" s="25">
        <v>3</v>
      </c>
      <c r="Q74" s="25">
        <v>3</v>
      </c>
      <c r="R74" s="25">
        <v>3</v>
      </c>
      <c r="S74" s="25">
        <v>3</v>
      </c>
      <c r="T74" s="25">
        <v>3</v>
      </c>
      <c r="U74" s="25">
        <v>3</v>
      </c>
      <c r="V74" s="25">
        <v>3</v>
      </c>
      <c r="W74" s="25">
        <v>3</v>
      </c>
      <c r="X74" s="25">
        <v>3</v>
      </c>
      <c r="Y74" s="25">
        <v>3</v>
      </c>
      <c r="Z74" s="25">
        <v>3</v>
      </c>
      <c r="AA74" s="25">
        <v>3</v>
      </c>
      <c r="AB74" s="25">
        <v>3</v>
      </c>
      <c r="AC74" s="25">
        <v>3</v>
      </c>
      <c r="AD74" s="25">
        <v>3</v>
      </c>
      <c r="AE74" s="25">
        <v>3</v>
      </c>
      <c r="AF74" s="25">
        <v>3</v>
      </c>
      <c r="AG74" s="25">
        <v>3</v>
      </c>
      <c r="AH74" s="25">
        <v>3</v>
      </c>
      <c r="AI74" s="25">
        <v>3</v>
      </c>
      <c r="AJ74" s="25">
        <v>3</v>
      </c>
      <c r="AK74" s="25">
        <v>3</v>
      </c>
      <c r="AL74" s="25">
        <v>3</v>
      </c>
      <c r="AM74" s="25">
        <v>3</v>
      </c>
      <c r="AN74" s="25">
        <v>3</v>
      </c>
      <c r="AO74" s="25">
        <v>3</v>
      </c>
      <c r="AP74" s="25">
        <v>3</v>
      </c>
      <c r="AQ74" s="25">
        <v>3</v>
      </c>
      <c r="AR74" s="25">
        <v>3</v>
      </c>
      <c r="AS74" s="25">
        <v>3</v>
      </c>
      <c r="AT74" s="25">
        <v>3</v>
      </c>
      <c r="AU74" s="25">
        <v>3</v>
      </c>
      <c r="AV74" s="25">
        <v>3</v>
      </c>
      <c r="AW74" s="25">
        <v>3</v>
      </c>
      <c r="AX74" s="25">
        <v>4</v>
      </c>
      <c r="AY74" s="25">
        <f>AX74</f>
        <v>4</v>
      </c>
      <c r="AZ74" s="25">
        <f t="shared" ref="AZ74:BU74" si="275">AY74</f>
        <v>4</v>
      </c>
      <c r="BA74" s="25">
        <f t="shared" si="275"/>
        <v>4</v>
      </c>
      <c r="BB74" s="25">
        <f t="shared" si="275"/>
        <v>4</v>
      </c>
      <c r="BC74" s="25">
        <f t="shared" si="275"/>
        <v>4</v>
      </c>
      <c r="BD74" s="25">
        <f t="shared" si="275"/>
        <v>4</v>
      </c>
      <c r="BE74" s="25">
        <f t="shared" si="275"/>
        <v>4</v>
      </c>
      <c r="BF74" s="25">
        <f t="shared" si="275"/>
        <v>4</v>
      </c>
      <c r="BG74" s="25">
        <f t="shared" si="275"/>
        <v>4</v>
      </c>
      <c r="BH74" s="25">
        <f t="shared" si="275"/>
        <v>4</v>
      </c>
      <c r="BI74" s="25">
        <f t="shared" si="275"/>
        <v>4</v>
      </c>
      <c r="BJ74" s="25">
        <f t="shared" si="275"/>
        <v>4</v>
      </c>
      <c r="BK74" s="25">
        <f t="shared" si="275"/>
        <v>4</v>
      </c>
      <c r="BL74" s="25">
        <f t="shared" si="275"/>
        <v>4</v>
      </c>
      <c r="BM74" s="25">
        <f t="shared" si="275"/>
        <v>4</v>
      </c>
      <c r="BN74" s="25">
        <f t="shared" si="275"/>
        <v>4</v>
      </c>
      <c r="BO74" s="25">
        <f t="shared" si="275"/>
        <v>4</v>
      </c>
      <c r="BP74" s="25">
        <f t="shared" si="275"/>
        <v>4</v>
      </c>
      <c r="BQ74" s="25">
        <f t="shared" si="275"/>
        <v>4</v>
      </c>
      <c r="BR74" s="25">
        <f t="shared" si="275"/>
        <v>4</v>
      </c>
      <c r="BS74" s="25">
        <f t="shared" si="275"/>
        <v>4</v>
      </c>
      <c r="BT74" s="25">
        <f t="shared" si="275"/>
        <v>4</v>
      </c>
      <c r="BU74" s="25">
        <f t="shared" si="275"/>
        <v>4</v>
      </c>
      <c r="BV74" s="25">
        <f t="shared" ref="BV74" si="276">BU74</f>
        <v>4</v>
      </c>
      <c r="BW74" s="25">
        <f t="shared" ref="BW74" si="277">BV74</f>
        <v>4</v>
      </c>
      <c r="BX74" s="25">
        <f t="shared" ref="BX74" si="278">BW74</f>
        <v>4</v>
      </c>
      <c r="BY74" s="25">
        <f t="shared" ref="BY74" si="279">BX74</f>
        <v>4</v>
      </c>
      <c r="BZ74" s="25">
        <f t="shared" ref="BZ74" si="280">BY74</f>
        <v>4</v>
      </c>
      <c r="CA74" s="25">
        <f t="shared" ref="CA74" si="281">BZ74</f>
        <v>4</v>
      </c>
      <c r="CB74" s="25">
        <f t="shared" ref="CB74" si="282">CA74</f>
        <v>4</v>
      </c>
      <c r="CC74" s="25">
        <f t="shared" ref="CC74" si="283">CB74</f>
        <v>4</v>
      </c>
      <c r="CD74" s="25">
        <f t="shared" ref="CD74" si="284">CC74</f>
        <v>4</v>
      </c>
      <c r="CE74" s="25">
        <f t="shared" ref="CE74" si="285">CD74</f>
        <v>4</v>
      </c>
      <c r="CF74" s="25">
        <f t="shared" ref="CF74" si="286">CE74</f>
        <v>4</v>
      </c>
      <c r="CG74" s="25">
        <f t="shared" ref="CG74" si="287">CF74</f>
        <v>4</v>
      </c>
      <c r="CH74" s="25">
        <f t="shared" ref="CH74" si="288">CG74</f>
        <v>4</v>
      </c>
      <c r="CI74" s="25">
        <f t="shared" ref="CI74" si="289">CH74</f>
        <v>4</v>
      </c>
      <c r="CJ74" s="25">
        <f t="shared" ref="CJ74" si="290">CI74</f>
        <v>4</v>
      </c>
      <c r="CK74" s="25">
        <f t="shared" ref="CK74" si="291">CJ74</f>
        <v>4</v>
      </c>
      <c r="CN74" s="10"/>
      <c r="CO74" s="10"/>
      <c r="CP74" s="10"/>
      <c r="CQ74" s="10"/>
      <c r="CR74" s="10"/>
      <c r="CS74" s="10"/>
      <c r="CT74" s="10"/>
      <c r="CU74" s="10"/>
      <c r="CV74" s="8"/>
    </row>
    <row r="75" spans="2:100" hidden="1" outlineLevel="2" x14ac:dyDescent="0.2">
      <c r="B75" s="95" t="s">
        <v>31</v>
      </c>
      <c r="C75" s="92" t="s">
        <v>4</v>
      </c>
      <c r="D75" s="92">
        <v>150</v>
      </c>
      <c r="X75" s="8">
        <f t="shared" ref="X75:CK75" si="292">$D75</f>
        <v>150</v>
      </c>
      <c r="Y75" s="8">
        <f t="shared" si="292"/>
        <v>150</v>
      </c>
      <c r="Z75" s="8">
        <f t="shared" si="292"/>
        <v>150</v>
      </c>
      <c r="AA75" s="8">
        <f t="shared" si="292"/>
        <v>150</v>
      </c>
      <c r="AB75" s="8">
        <f t="shared" si="292"/>
        <v>150</v>
      </c>
      <c r="AC75" s="8">
        <f t="shared" si="292"/>
        <v>150</v>
      </c>
      <c r="AD75" s="8">
        <f t="shared" si="292"/>
        <v>150</v>
      </c>
      <c r="AE75" s="8">
        <f t="shared" si="292"/>
        <v>150</v>
      </c>
      <c r="AF75" s="8">
        <f t="shared" si="292"/>
        <v>150</v>
      </c>
      <c r="AG75" s="8">
        <f t="shared" si="292"/>
        <v>150</v>
      </c>
      <c r="AH75" s="8">
        <f t="shared" si="292"/>
        <v>150</v>
      </c>
      <c r="AI75" s="8">
        <f t="shared" si="292"/>
        <v>150</v>
      </c>
      <c r="AJ75" s="8">
        <f t="shared" si="292"/>
        <v>150</v>
      </c>
      <c r="AK75" s="8">
        <f t="shared" si="292"/>
        <v>150</v>
      </c>
      <c r="AL75" s="8">
        <f t="shared" si="292"/>
        <v>150</v>
      </c>
      <c r="AM75" s="8">
        <f t="shared" si="292"/>
        <v>150</v>
      </c>
      <c r="AN75" s="8">
        <f t="shared" si="292"/>
        <v>150</v>
      </c>
      <c r="AO75" s="8">
        <f t="shared" si="292"/>
        <v>150</v>
      </c>
      <c r="AP75" s="8">
        <f t="shared" si="292"/>
        <v>150</v>
      </c>
      <c r="AQ75" s="8">
        <f t="shared" si="292"/>
        <v>150</v>
      </c>
      <c r="AR75" s="8">
        <f t="shared" si="292"/>
        <v>150</v>
      </c>
      <c r="AS75" s="8">
        <f t="shared" si="292"/>
        <v>150</v>
      </c>
      <c r="AT75" s="8">
        <f t="shared" si="292"/>
        <v>150</v>
      </c>
      <c r="AU75" s="8">
        <f t="shared" si="292"/>
        <v>150</v>
      </c>
      <c r="AV75" s="8">
        <f t="shared" si="292"/>
        <v>150</v>
      </c>
      <c r="AW75" s="8">
        <f t="shared" si="292"/>
        <v>150</v>
      </c>
      <c r="AX75" s="8">
        <f t="shared" si="292"/>
        <v>150</v>
      </c>
      <c r="AY75" s="8">
        <f t="shared" si="292"/>
        <v>150</v>
      </c>
      <c r="AZ75" s="8">
        <f t="shared" si="292"/>
        <v>150</v>
      </c>
      <c r="BA75" s="8">
        <f t="shared" si="292"/>
        <v>150</v>
      </c>
      <c r="BB75" s="8">
        <f t="shared" si="292"/>
        <v>150</v>
      </c>
      <c r="BC75" s="8">
        <f t="shared" si="292"/>
        <v>150</v>
      </c>
      <c r="BD75" s="8">
        <f t="shared" si="292"/>
        <v>150</v>
      </c>
      <c r="BE75" s="8">
        <f t="shared" si="292"/>
        <v>150</v>
      </c>
      <c r="BF75" s="8">
        <f t="shared" si="292"/>
        <v>150</v>
      </c>
      <c r="BG75" s="8">
        <f t="shared" si="292"/>
        <v>150</v>
      </c>
      <c r="BH75" s="8">
        <f t="shared" si="292"/>
        <v>150</v>
      </c>
      <c r="BI75" s="8">
        <f t="shared" si="292"/>
        <v>150</v>
      </c>
      <c r="BJ75" s="8">
        <f t="shared" si="292"/>
        <v>150</v>
      </c>
      <c r="BK75" s="8">
        <f t="shared" si="292"/>
        <v>150</v>
      </c>
      <c r="BL75" s="8">
        <f t="shared" si="292"/>
        <v>150</v>
      </c>
      <c r="BM75" s="8">
        <f t="shared" si="292"/>
        <v>150</v>
      </c>
      <c r="BN75" s="8">
        <f t="shared" si="292"/>
        <v>150</v>
      </c>
      <c r="BO75" s="8">
        <f t="shared" si="292"/>
        <v>150</v>
      </c>
      <c r="BP75" s="8">
        <f t="shared" si="292"/>
        <v>150</v>
      </c>
      <c r="BQ75" s="8">
        <f t="shared" si="292"/>
        <v>150</v>
      </c>
      <c r="BR75" s="8">
        <f t="shared" si="292"/>
        <v>150</v>
      </c>
      <c r="BS75" s="8">
        <f t="shared" si="292"/>
        <v>150</v>
      </c>
      <c r="BT75" s="8">
        <f t="shared" si="292"/>
        <v>150</v>
      </c>
      <c r="BU75" s="8">
        <f t="shared" si="292"/>
        <v>150</v>
      </c>
      <c r="BV75" s="8">
        <f t="shared" si="292"/>
        <v>150</v>
      </c>
      <c r="BW75" s="8">
        <f t="shared" si="292"/>
        <v>150</v>
      </c>
      <c r="BX75" s="8">
        <f t="shared" si="292"/>
        <v>150</v>
      </c>
      <c r="BY75" s="8">
        <f t="shared" si="292"/>
        <v>150</v>
      </c>
      <c r="BZ75" s="8">
        <f t="shared" si="292"/>
        <v>150</v>
      </c>
      <c r="CA75" s="8">
        <f t="shared" si="292"/>
        <v>150</v>
      </c>
      <c r="CB75" s="8">
        <f t="shared" si="292"/>
        <v>150</v>
      </c>
      <c r="CC75" s="8">
        <f t="shared" si="292"/>
        <v>150</v>
      </c>
      <c r="CD75" s="8">
        <f t="shared" si="292"/>
        <v>150</v>
      </c>
      <c r="CE75" s="8">
        <f t="shared" si="292"/>
        <v>150</v>
      </c>
      <c r="CF75" s="8">
        <f t="shared" si="292"/>
        <v>150</v>
      </c>
      <c r="CG75" s="8">
        <f t="shared" si="292"/>
        <v>150</v>
      </c>
      <c r="CH75" s="8">
        <f t="shared" si="292"/>
        <v>150</v>
      </c>
      <c r="CI75" s="8">
        <f t="shared" si="292"/>
        <v>150</v>
      </c>
      <c r="CJ75" s="8">
        <f t="shared" si="292"/>
        <v>150</v>
      </c>
      <c r="CK75" s="8">
        <f t="shared" si="292"/>
        <v>150</v>
      </c>
      <c r="CN75" s="10"/>
      <c r="CO75" s="10">
        <f t="shared" ref="CO75:CO76" si="293">SUMIF($F$2:$CK$2,CO$3,$F75:$CK75)</f>
        <v>0</v>
      </c>
      <c r="CP75" s="10">
        <f t="shared" ref="CP75:CS76" si="294">SUMIF($L$2:$CK$2,CP$3,$L75:$CK75)</f>
        <v>900</v>
      </c>
      <c r="CQ75" s="10">
        <f t="shared" si="294"/>
        <v>1800</v>
      </c>
      <c r="CR75" s="10">
        <f t="shared" si="294"/>
        <v>1800</v>
      </c>
      <c r="CS75" s="10">
        <f t="shared" si="294"/>
        <v>1800</v>
      </c>
      <c r="CT75" s="10">
        <f t="shared" ref="CT75:CU76" si="295">SUMIF($L$2:$CK$2,CT$3,$L75:$CK75)</f>
        <v>1800</v>
      </c>
      <c r="CU75" s="10">
        <f t="shared" si="295"/>
        <v>1800</v>
      </c>
      <c r="CV75" s="8"/>
    </row>
    <row r="76" spans="2:100" hidden="1" outlineLevel="2" x14ac:dyDescent="0.2">
      <c r="B76" s="95" t="s">
        <v>32</v>
      </c>
      <c r="C76" s="92" t="s">
        <v>4</v>
      </c>
      <c r="D76" s="447">
        <v>10.5</v>
      </c>
      <c r="F76" s="10"/>
      <c r="G76" s="10"/>
      <c r="H76" s="10"/>
      <c r="I76" s="10"/>
      <c r="J76" s="10"/>
      <c r="K76" s="10"/>
      <c r="L76" s="10"/>
      <c r="M76" s="10"/>
      <c r="N76" s="10"/>
      <c r="O76" s="10"/>
      <c r="P76" s="10"/>
      <c r="Q76" s="10"/>
      <c r="R76" s="10"/>
      <c r="S76" s="10"/>
      <c r="T76" s="10"/>
      <c r="U76" s="10"/>
      <c r="V76" s="10"/>
      <c r="W76" s="10"/>
      <c r="X76" s="10">
        <f t="shared" ref="X76:CK76" si="296">$D$76*X77</f>
        <v>21</v>
      </c>
      <c r="Y76" s="10">
        <f t="shared" si="296"/>
        <v>21</v>
      </c>
      <c r="Z76" s="10">
        <f t="shared" si="296"/>
        <v>21</v>
      </c>
      <c r="AA76" s="10">
        <f t="shared" si="296"/>
        <v>21</v>
      </c>
      <c r="AB76" s="10">
        <f t="shared" si="296"/>
        <v>21</v>
      </c>
      <c r="AC76" s="10">
        <f t="shared" si="296"/>
        <v>21</v>
      </c>
      <c r="AD76" s="10">
        <f t="shared" si="296"/>
        <v>21</v>
      </c>
      <c r="AE76" s="10">
        <f t="shared" si="296"/>
        <v>21</v>
      </c>
      <c r="AF76" s="10">
        <f t="shared" si="296"/>
        <v>21</v>
      </c>
      <c r="AG76" s="10">
        <f t="shared" si="296"/>
        <v>21</v>
      </c>
      <c r="AH76" s="10">
        <f t="shared" si="296"/>
        <v>21</v>
      </c>
      <c r="AI76" s="10">
        <f t="shared" si="296"/>
        <v>21</v>
      </c>
      <c r="AJ76" s="10">
        <f t="shared" si="296"/>
        <v>21</v>
      </c>
      <c r="AK76" s="10">
        <f t="shared" si="296"/>
        <v>21</v>
      </c>
      <c r="AL76" s="10">
        <f t="shared" si="296"/>
        <v>21</v>
      </c>
      <c r="AM76" s="10">
        <f t="shared" si="296"/>
        <v>21</v>
      </c>
      <c r="AN76" s="10">
        <f t="shared" si="296"/>
        <v>21</v>
      </c>
      <c r="AO76" s="10">
        <f t="shared" si="296"/>
        <v>21</v>
      </c>
      <c r="AP76" s="10">
        <f t="shared" si="296"/>
        <v>21</v>
      </c>
      <c r="AQ76" s="10">
        <f t="shared" si="296"/>
        <v>21</v>
      </c>
      <c r="AR76" s="10">
        <f t="shared" si="296"/>
        <v>21</v>
      </c>
      <c r="AS76" s="10">
        <f t="shared" si="296"/>
        <v>21</v>
      </c>
      <c r="AT76" s="10">
        <f t="shared" si="296"/>
        <v>21</v>
      </c>
      <c r="AU76" s="10">
        <f t="shared" si="296"/>
        <v>21</v>
      </c>
      <c r="AV76" s="10">
        <f t="shared" si="296"/>
        <v>21</v>
      </c>
      <c r="AW76" s="10">
        <f t="shared" si="296"/>
        <v>21</v>
      </c>
      <c r="AX76" s="10">
        <f t="shared" si="296"/>
        <v>31.5</v>
      </c>
      <c r="AY76" s="10">
        <f t="shared" si="296"/>
        <v>31.5</v>
      </c>
      <c r="AZ76" s="10">
        <f t="shared" si="296"/>
        <v>31.5</v>
      </c>
      <c r="BA76" s="10">
        <f t="shared" si="296"/>
        <v>31.5</v>
      </c>
      <c r="BB76" s="10">
        <f t="shared" si="296"/>
        <v>31.5</v>
      </c>
      <c r="BC76" s="10">
        <f t="shared" si="296"/>
        <v>31.5</v>
      </c>
      <c r="BD76" s="10">
        <f t="shared" si="296"/>
        <v>31.5</v>
      </c>
      <c r="BE76" s="10">
        <f t="shared" si="296"/>
        <v>31.5</v>
      </c>
      <c r="BF76" s="10">
        <f t="shared" si="296"/>
        <v>31.5</v>
      </c>
      <c r="BG76" s="10">
        <f t="shared" si="296"/>
        <v>31.5</v>
      </c>
      <c r="BH76" s="10">
        <f t="shared" si="296"/>
        <v>31.5</v>
      </c>
      <c r="BI76" s="10">
        <f t="shared" si="296"/>
        <v>31.5</v>
      </c>
      <c r="BJ76" s="10">
        <f t="shared" si="296"/>
        <v>31.5</v>
      </c>
      <c r="BK76" s="10">
        <f t="shared" si="296"/>
        <v>31.5</v>
      </c>
      <c r="BL76" s="10">
        <f t="shared" si="296"/>
        <v>31.5</v>
      </c>
      <c r="BM76" s="10">
        <f t="shared" si="296"/>
        <v>31.5</v>
      </c>
      <c r="BN76" s="10">
        <f t="shared" si="296"/>
        <v>31.5</v>
      </c>
      <c r="BO76" s="10">
        <f t="shared" si="296"/>
        <v>31.5</v>
      </c>
      <c r="BP76" s="10">
        <f t="shared" si="296"/>
        <v>31.5</v>
      </c>
      <c r="BQ76" s="10">
        <f t="shared" si="296"/>
        <v>31.5</v>
      </c>
      <c r="BR76" s="10">
        <f t="shared" si="296"/>
        <v>31.5</v>
      </c>
      <c r="BS76" s="10">
        <f t="shared" si="296"/>
        <v>31.5</v>
      </c>
      <c r="BT76" s="10">
        <f t="shared" si="296"/>
        <v>31.5</v>
      </c>
      <c r="BU76" s="10">
        <f t="shared" si="296"/>
        <v>31.5</v>
      </c>
      <c r="BV76" s="10">
        <f t="shared" si="296"/>
        <v>31.5</v>
      </c>
      <c r="BW76" s="10">
        <f t="shared" si="296"/>
        <v>31.5</v>
      </c>
      <c r="BX76" s="10">
        <f t="shared" si="296"/>
        <v>31.5</v>
      </c>
      <c r="BY76" s="10">
        <f t="shared" si="296"/>
        <v>31.5</v>
      </c>
      <c r="BZ76" s="10">
        <f t="shared" si="296"/>
        <v>31.5</v>
      </c>
      <c r="CA76" s="10">
        <f t="shared" si="296"/>
        <v>31.5</v>
      </c>
      <c r="CB76" s="10">
        <f t="shared" si="296"/>
        <v>31.5</v>
      </c>
      <c r="CC76" s="10">
        <f t="shared" si="296"/>
        <v>31.5</v>
      </c>
      <c r="CD76" s="10">
        <f t="shared" si="296"/>
        <v>31.5</v>
      </c>
      <c r="CE76" s="10">
        <f t="shared" si="296"/>
        <v>31.5</v>
      </c>
      <c r="CF76" s="10">
        <f t="shared" si="296"/>
        <v>31.5</v>
      </c>
      <c r="CG76" s="10">
        <f t="shared" si="296"/>
        <v>31.5</v>
      </c>
      <c r="CH76" s="10">
        <f t="shared" si="296"/>
        <v>31.5</v>
      </c>
      <c r="CI76" s="10">
        <f t="shared" si="296"/>
        <v>31.5</v>
      </c>
      <c r="CJ76" s="10">
        <f t="shared" si="296"/>
        <v>31.5</v>
      </c>
      <c r="CK76" s="10">
        <f t="shared" si="296"/>
        <v>31.5</v>
      </c>
      <c r="CN76" s="10"/>
      <c r="CO76" s="10">
        <f t="shared" si="293"/>
        <v>0</v>
      </c>
      <c r="CP76" s="10">
        <f t="shared" si="294"/>
        <v>126</v>
      </c>
      <c r="CQ76" s="10">
        <f t="shared" si="294"/>
        <v>252</v>
      </c>
      <c r="CR76" s="10">
        <f t="shared" si="294"/>
        <v>294</v>
      </c>
      <c r="CS76" s="10">
        <f t="shared" si="294"/>
        <v>378</v>
      </c>
      <c r="CT76" s="10">
        <f t="shared" si="295"/>
        <v>378</v>
      </c>
      <c r="CU76" s="10">
        <f t="shared" si="295"/>
        <v>378</v>
      </c>
      <c r="CV76" s="8"/>
    </row>
    <row r="77" spans="2:100" hidden="1" outlineLevel="2" x14ac:dyDescent="0.2">
      <c r="B77" s="99"/>
      <c r="C77" s="107"/>
      <c r="D77" s="99"/>
      <c r="F77" s="25">
        <v>1</v>
      </c>
      <c r="G77" s="25">
        <v>1</v>
      </c>
      <c r="H77" s="25">
        <v>1</v>
      </c>
      <c r="I77" s="25">
        <v>1</v>
      </c>
      <c r="J77" s="25">
        <v>1</v>
      </c>
      <c r="K77" s="25">
        <v>1</v>
      </c>
      <c r="L77" s="25">
        <v>1</v>
      </c>
      <c r="M77" s="25">
        <v>1</v>
      </c>
      <c r="N77" s="25">
        <v>1</v>
      </c>
      <c r="O77" s="25">
        <v>1</v>
      </c>
      <c r="P77" s="25">
        <v>1.5</v>
      </c>
      <c r="Q77" s="25">
        <v>2</v>
      </c>
      <c r="R77" s="25">
        <v>2</v>
      </c>
      <c r="S77" s="25">
        <v>2</v>
      </c>
      <c r="T77" s="25">
        <v>2</v>
      </c>
      <c r="U77" s="25">
        <v>2</v>
      </c>
      <c r="V77" s="25">
        <v>2</v>
      </c>
      <c r="W77" s="25">
        <v>2</v>
      </c>
      <c r="X77" s="25">
        <v>2</v>
      </c>
      <c r="Y77" s="25">
        <v>2</v>
      </c>
      <c r="Z77" s="25">
        <v>2</v>
      </c>
      <c r="AA77" s="25">
        <v>2</v>
      </c>
      <c r="AB77" s="25">
        <v>2</v>
      </c>
      <c r="AC77" s="25">
        <v>2</v>
      </c>
      <c r="AD77" s="25">
        <v>2</v>
      </c>
      <c r="AE77" s="25">
        <v>2</v>
      </c>
      <c r="AF77" s="25">
        <v>2</v>
      </c>
      <c r="AG77" s="25">
        <v>2</v>
      </c>
      <c r="AH77" s="25">
        <v>2</v>
      </c>
      <c r="AI77" s="25">
        <v>2</v>
      </c>
      <c r="AJ77" s="25">
        <v>2</v>
      </c>
      <c r="AK77" s="25">
        <v>2</v>
      </c>
      <c r="AL77" s="25">
        <v>2</v>
      </c>
      <c r="AM77" s="25">
        <v>2</v>
      </c>
      <c r="AN77" s="25">
        <v>2</v>
      </c>
      <c r="AO77" s="25">
        <v>2</v>
      </c>
      <c r="AP77" s="25">
        <v>2</v>
      </c>
      <c r="AQ77" s="25">
        <v>2</v>
      </c>
      <c r="AR77" s="25">
        <v>2</v>
      </c>
      <c r="AS77" s="25">
        <v>2</v>
      </c>
      <c r="AT77" s="25">
        <v>2</v>
      </c>
      <c r="AU77" s="25">
        <v>2</v>
      </c>
      <c r="AV77" s="25">
        <v>2</v>
      </c>
      <c r="AW77" s="25">
        <v>2</v>
      </c>
      <c r="AX77" s="25">
        <v>3</v>
      </c>
      <c r="AY77" s="25">
        <f>AX77</f>
        <v>3</v>
      </c>
      <c r="AZ77" s="25">
        <f t="shared" ref="AZ77:BU77" si="297">AY77</f>
        <v>3</v>
      </c>
      <c r="BA77" s="25">
        <f t="shared" si="297"/>
        <v>3</v>
      </c>
      <c r="BB77" s="25">
        <f t="shared" si="297"/>
        <v>3</v>
      </c>
      <c r="BC77" s="25">
        <f t="shared" si="297"/>
        <v>3</v>
      </c>
      <c r="BD77" s="25">
        <f t="shared" si="297"/>
        <v>3</v>
      </c>
      <c r="BE77" s="25">
        <f t="shared" si="297"/>
        <v>3</v>
      </c>
      <c r="BF77" s="25">
        <f t="shared" si="297"/>
        <v>3</v>
      </c>
      <c r="BG77" s="25">
        <f t="shared" si="297"/>
        <v>3</v>
      </c>
      <c r="BH77" s="25">
        <f t="shared" si="297"/>
        <v>3</v>
      </c>
      <c r="BI77" s="25">
        <f t="shared" si="297"/>
        <v>3</v>
      </c>
      <c r="BJ77" s="25">
        <f t="shared" si="297"/>
        <v>3</v>
      </c>
      <c r="BK77" s="25">
        <f t="shared" si="297"/>
        <v>3</v>
      </c>
      <c r="BL77" s="25">
        <f t="shared" si="297"/>
        <v>3</v>
      </c>
      <c r="BM77" s="25">
        <f t="shared" si="297"/>
        <v>3</v>
      </c>
      <c r="BN77" s="25">
        <f t="shared" si="297"/>
        <v>3</v>
      </c>
      <c r="BO77" s="25">
        <f t="shared" si="297"/>
        <v>3</v>
      </c>
      <c r="BP77" s="25">
        <f t="shared" si="297"/>
        <v>3</v>
      </c>
      <c r="BQ77" s="25">
        <f t="shared" si="297"/>
        <v>3</v>
      </c>
      <c r="BR77" s="25">
        <f t="shared" si="297"/>
        <v>3</v>
      </c>
      <c r="BS77" s="25">
        <f t="shared" si="297"/>
        <v>3</v>
      </c>
      <c r="BT77" s="25">
        <f t="shared" si="297"/>
        <v>3</v>
      </c>
      <c r="BU77" s="25">
        <f t="shared" si="297"/>
        <v>3</v>
      </c>
      <c r="BV77" s="25">
        <f t="shared" ref="BV77" si="298">BU77</f>
        <v>3</v>
      </c>
      <c r="BW77" s="25">
        <f t="shared" ref="BW77" si="299">BV77</f>
        <v>3</v>
      </c>
      <c r="BX77" s="25">
        <f t="shared" ref="BX77" si="300">BW77</f>
        <v>3</v>
      </c>
      <c r="BY77" s="25">
        <f t="shared" ref="BY77" si="301">BX77</f>
        <v>3</v>
      </c>
      <c r="BZ77" s="25">
        <f t="shared" ref="BZ77" si="302">BY77</f>
        <v>3</v>
      </c>
      <c r="CA77" s="25">
        <f t="shared" ref="CA77" si="303">BZ77</f>
        <v>3</v>
      </c>
      <c r="CB77" s="25">
        <f t="shared" ref="CB77" si="304">CA77</f>
        <v>3</v>
      </c>
      <c r="CC77" s="25">
        <f t="shared" ref="CC77" si="305">CB77</f>
        <v>3</v>
      </c>
      <c r="CD77" s="25">
        <f t="shared" ref="CD77" si="306">CC77</f>
        <v>3</v>
      </c>
      <c r="CE77" s="25">
        <f t="shared" ref="CE77" si="307">CD77</f>
        <v>3</v>
      </c>
      <c r="CF77" s="25">
        <f t="shared" ref="CF77" si="308">CE77</f>
        <v>3</v>
      </c>
      <c r="CG77" s="25">
        <f t="shared" ref="CG77" si="309">CF77</f>
        <v>3</v>
      </c>
      <c r="CH77" s="25">
        <f t="shared" ref="CH77" si="310">CG77</f>
        <v>3</v>
      </c>
      <c r="CI77" s="25">
        <f t="shared" ref="CI77" si="311">CH77</f>
        <v>3</v>
      </c>
      <c r="CJ77" s="25">
        <f t="shared" ref="CJ77" si="312">CI77</f>
        <v>3</v>
      </c>
      <c r="CK77" s="25">
        <f t="shared" ref="CK77" si="313">CJ77</f>
        <v>3</v>
      </c>
      <c r="CN77" s="10"/>
      <c r="CO77" s="10"/>
      <c r="CP77" s="10"/>
      <c r="CQ77" s="10"/>
      <c r="CR77" s="10"/>
      <c r="CS77" s="10"/>
      <c r="CT77" s="10"/>
      <c r="CU77" s="10"/>
      <c r="CV77" s="8"/>
    </row>
    <row r="78" spans="2:100" hidden="1" outlineLevel="2" x14ac:dyDescent="0.2">
      <c r="B78" s="95" t="s">
        <v>33</v>
      </c>
      <c r="C78" s="92" t="s">
        <v>4</v>
      </c>
      <c r="D78" s="92">
        <v>150</v>
      </c>
      <c r="X78" s="8">
        <f t="shared" ref="X78:CK81" si="314">$D78</f>
        <v>150</v>
      </c>
      <c r="Y78" s="8">
        <f t="shared" si="314"/>
        <v>150</v>
      </c>
      <c r="Z78" s="8">
        <f t="shared" si="314"/>
        <v>150</v>
      </c>
      <c r="AA78" s="8">
        <f t="shared" si="314"/>
        <v>150</v>
      </c>
      <c r="AB78" s="8">
        <f t="shared" si="314"/>
        <v>150</v>
      </c>
      <c r="AC78" s="8">
        <f t="shared" si="314"/>
        <v>150</v>
      </c>
      <c r="AD78" s="8">
        <f t="shared" si="314"/>
        <v>150</v>
      </c>
      <c r="AE78" s="8">
        <f t="shared" si="314"/>
        <v>150</v>
      </c>
      <c r="AF78" s="8">
        <f t="shared" si="314"/>
        <v>150</v>
      </c>
      <c r="AG78" s="8">
        <f t="shared" si="314"/>
        <v>150</v>
      </c>
      <c r="AH78" s="8">
        <f t="shared" si="314"/>
        <v>150</v>
      </c>
      <c r="AI78" s="8">
        <f t="shared" si="314"/>
        <v>150</v>
      </c>
      <c r="AJ78" s="8">
        <f t="shared" si="314"/>
        <v>150</v>
      </c>
      <c r="AK78" s="8">
        <f t="shared" si="314"/>
        <v>150</v>
      </c>
      <c r="AL78" s="8">
        <f t="shared" si="314"/>
        <v>150</v>
      </c>
      <c r="AM78" s="8">
        <f t="shared" si="314"/>
        <v>150</v>
      </c>
      <c r="AN78" s="8">
        <f t="shared" si="314"/>
        <v>150</v>
      </c>
      <c r="AO78" s="8">
        <f t="shared" si="314"/>
        <v>150</v>
      </c>
      <c r="AP78" s="8">
        <f t="shared" si="314"/>
        <v>150</v>
      </c>
      <c r="AQ78" s="8">
        <f t="shared" si="314"/>
        <v>150</v>
      </c>
      <c r="AR78" s="8">
        <f t="shared" si="314"/>
        <v>150</v>
      </c>
      <c r="AS78" s="8">
        <f t="shared" si="314"/>
        <v>150</v>
      </c>
      <c r="AT78" s="8">
        <f t="shared" si="314"/>
        <v>150</v>
      </c>
      <c r="AU78" s="8">
        <f t="shared" si="314"/>
        <v>150</v>
      </c>
      <c r="AV78" s="8">
        <f t="shared" si="314"/>
        <v>150</v>
      </c>
      <c r="AW78" s="8">
        <f t="shared" si="314"/>
        <v>150</v>
      </c>
      <c r="AX78" s="8">
        <f t="shared" si="314"/>
        <v>150</v>
      </c>
      <c r="AY78" s="8">
        <f t="shared" si="314"/>
        <v>150</v>
      </c>
      <c r="AZ78" s="8">
        <f t="shared" si="314"/>
        <v>150</v>
      </c>
      <c r="BA78" s="8">
        <f t="shared" si="314"/>
        <v>150</v>
      </c>
      <c r="BB78" s="8">
        <f t="shared" si="314"/>
        <v>150</v>
      </c>
      <c r="BC78" s="8">
        <f t="shared" si="314"/>
        <v>150</v>
      </c>
      <c r="BD78" s="8">
        <f t="shared" si="314"/>
        <v>150</v>
      </c>
      <c r="BE78" s="8">
        <f t="shared" si="314"/>
        <v>150</v>
      </c>
      <c r="BF78" s="8">
        <f t="shared" si="314"/>
        <v>150</v>
      </c>
      <c r="BG78" s="8">
        <f t="shared" si="314"/>
        <v>150</v>
      </c>
      <c r="BH78" s="8">
        <f t="shared" si="314"/>
        <v>150</v>
      </c>
      <c r="BI78" s="8">
        <f t="shared" si="314"/>
        <v>150</v>
      </c>
      <c r="BJ78" s="8">
        <f t="shared" si="314"/>
        <v>150</v>
      </c>
      <c r="BK78" s="8">
        <f t="shared" si="314"/>
        <v>150</v>
      </c>
      <c r="BL78" s="8">
        <f t="shared" si="314"/>
        <v>150</v>
      </c>
      <c r="BM78" s="8">
        <f t="shared" si="314"/>
        <v>150</v>
      </c>
      <c r="BN78" s="8">
        <f t="shared" si="314"/>
        <v>150</v>
      </c>
      <c r="BO78" s="8">
        <f t="shared" si="314"/>
        <v>150</v>
      </c>
      <c r="BP78" s="8">
        <f t="shared" si="314"/>
        <v>150</v>
      </c>
      <c r="BQ78" s="8">
        <f t="shared" si="314"/>
        <v>150</v>
      </c>
      <c r="BR78" s="8">
        <f t="shared" si="314"/>
        <v>150</v>
      </c>
      <c r="BS78" s="8">
        <f t="shared" si="314"/>
        <v>150</v>
      </c>
      <c r="BT78" s="8">
        <f t="shared" si="314"/>
        <v>150</v>
      </c>
      <c r="BU78" s="8">
        <f t="shared" si="314"/>
        <v>150</v>
      </c>
      <c r="BV78" s="8">
        <f t="shared" si="314"/>
        <v>150</v>
      </c>
      <c r="BW78" s="8">
        <f t="shared" si="314"/>
        <v>150</v>
      </c>
      <c r="BX78" s="8">
        <f t="shared" si="314"/>
        <v>150</v>
      </c>
      <c r="BY78" s="8">
        <f t="shared" si="314"/>
        <v>150</v>
      </c>
      <c r="BZ78" s="8">
        <f t="shared" si="314"/>
        <v>150</v>
      </c>
      <c r="CA78" s="8">
        <f t="shared" si="314"/>
        <v>150</v>
      </c>
      <c r="CB78" s="8">
        <f t="shared" si="314"/>
        <v>150</v>
      </c>
      <c r="CC78" s="8">
        <f t="shared" si="314"/>
        <v>150</v>
      </c>
      <c r="CD78" s="8">
        <f t="shared" si="314"/>
        <v>150</v>
      </c>
      <c r="CE78" s="8">
        <f t="shared" si="314"/>
        <v>150</v>
      </c>
      <c r="CF78" s="8">
        <f t="shared" si="314"/>
        <v>150</v>
      </c>
      <c r="CG78" s="8">
        <f t="shared" si="314"/>
        <v>150</v>
      </c>
      <c r="CH78" s="8">
        <f t="shared" si="314"/>
        <v>150</v>
      </c>
      <c r="CI78" s="8">
        <f t="shared" si="314"/>
        <v>150</v>
      </c>
      <c r="CJ78" s="8">
        <f t="shared" si="314"/>
        <v>150</v>
      </c>
      <c r="CK78" s="8">
        <f t="shared" si="314"/>
        <v>150</v>
      </c>
      <c r="CN78" s="10"/>
      <c r="CO78" s="10">
        <f t="shared" ref="CO78:CO81" si="315">SUMIF($F$2:$CK$2,CO$3,$F78:$CK78)</f>
        <v>0</v>
      </c>
      <c r="CP78" s="10">
        <f t="shared" ref="CP78:CS82" si="316">SUMIF($L$2:$CK$2,CP$3,$L78:$CK78)</f>
        <v>900</v>
      </c>
      <c r="CQ78" s="10">
        <f t="shared" si="316"/>
        <v>1800</v>
      </c>
      <c r="CR78" s="10">
        <f t="shared" si="316"/>
        <v>1800</v>
      </c>
      <c r="CS78" s="10">
        <f t="shared" si="316"/>
        <v>1800</v>
      </c>
      <c r="CT78" s="10">
        <f t="shared" ref="CT78:CU82" si="317">SUMIF($L$2:$CK$2,CT$3,$L78:$CK78)</f>
        <v>1800</v>
      </c>
      <c r="CU78" s="10">
        <f t="shared" si="317"/>
        <v>1800</v>
      </c>
      <c r="CV78" s="8"/>
    </row>
    <row r="79" spans="2:100" hidden="1" outlineLevel="2" x14ac:dyDescent="0.2">
      <c r="B79" s="95" t="s">
        <v>34</v>
      </c>
      <c r="C79" s="92" t="s">
        <v>4</v>
      </c>
      <c r="D79" s="92">
        <v>300</v>
      </c>
      <c r="H79" s="10"/>
      <c r="X79" s="8">
        <f t="shared" si="314"/>
        <v>300</v>
      </c>
      <c r="Y79" s="8">
        <f t="shared" si="314"/>
        <v>300</v>
      </c>
      <c r="Z79" s="8">
        <f t="shared" si="314"/>
        <v>300</v>
      </c>
      <c r="AA79" s="8">
        <f t="shared" si="314"/>
        <v>300</v>
      </c>
      <c r="AB79" s="8">
        <f t="shared" si="314"/>
        <v>300</v>
      </c>
      <c r="AC79" s="8">
        <f t="shared" si="314"/>
        <v>300</v>
      </c>
      <c r="AD79" s="8">
        <f t="shared" si="314"/>
        <v>300</v>
      </c>
      <c r="AE79" s="8">
        <f t="shared" si="314"/>
        <v>300</v>
      </c>
      <c r="AF79" s="8">
        <f t="shared" si="314"/>
        <v>300</v>
      </c>
      <c r="AG79" s="8">
        <f t="shared" si="314"/>
        <v>300</v>
      </c>
      <c r="AH79" s="8">
        <f t="shared" si="314"/>
        <v>300</v>
      </c>
      <c r="AI79" s="8">
        <f t="shared" si="314"/>
        <v>300</v>
      </c>
      <c r="AJ79" s="8">
        <f t="shared" si="314"/>
        <v>300</v>
      </c>
      <c r="AK79" s="8">
        <f t="shared" si="314"/>
        <v>300</v>
      </c>
      <c r="AL79" s="8">
        <f t="shared" si="314"/>
        <v>300</v>
      </c>
      <c r="AM79" s="8">
        <f t="shared" si="314"/>
        <v>300</v>
      </c>
      <c r="AN79" s="8">
        <f t="shared" si="314"/>
        <v>300</v>
      </c>
      <c r="AO79" s="8">
        <f t="shared" si="314"/>
        <v>300</v>
      </c>
      <c r="AP79" s="8">
        <f t="shared" si="314"/>
        <v>300</v>
      </c>
      <c r="AQ79" s="8">
        <f t="shared" si="314"/>
        <v>300</v>
      </c>
      <c r="AR79" s="8">
        <f t="shared" si="314"/>
        <v>300</v>
      </c>
      <c r="AS79" s="8">
        <f t="shared" si="314"/>
        <v>300</v>
      </c>
      <c r="AT79" s="8">
        <f t="shared" si="314"/>
        <v>300</v>
      </c>
      <c r="AU79" s="8">
        <f t="shared" si="314"/>
        <v>300</v>
      </c>
      <c r="AV79" s="8">
        <f t="shared" si="314"/>
        <v>300</v>
      </c>
      <c r="AW79" s="8">
        <f t="shared" si="314"/>
        <v>300</v>
      </c>
      <c r="AX79" s="8">
        <f t="shared" si="314"/>
        <v>300</v>
      </c>
      <c r="AY79" s="8">
        <f t="shared" si="314"/>
        <v>300</v>
      </c>
      <c r="AZ79" s="8">
        <f t="shared" si="314"/>
        <v>300</v>
      </c>
      <c r="BA79" s="8">
        <f t="shared" si="314"/>
        <v>300</v>
      </c>
      <c r="BB79" s="8">
        <f t="shared" si="314"/>
        <v>300</v>
      </c>
      <c r="BC79" s="8">
        <f t="shared" si="314"/>
        <v>300</v>
      </c>
      <c r="BD79" s="8">
        <f t="shared" si="314"/>
        <v>300</v>
      </c>
      <c r="BE79" s="8">
        <f t="shared" si="314"/>
        <v>300</v>
      </c>
      <c r="BF79" s="8">
        <f t="shared" si="314"/>
        <v>300</v>
      </c>
      <c r="BG79" s="8">
        <f t="shared" si="314"/>
        <v>300</v>
      </c>
      <c r="BH79" s="8">
        <f t="shared" si="314"/>
        <v>300</v>
      </c>
      <c r="BI79" s="8">
        <f t="shared" si="314"/>
        <v>300</v>
      </c>
      <c r="BJ79" s="8">
        <f t="shared" si="314"/>
        <v>300</v>
      </c>
      <c r="BK79" s="8">
        <f t="shared" si="314"/>
        <v>300</v>
      </c>
      <c r="BL79" s="8">
        <f t="shared" si="314"/>
        <v>300</v>
      </c>
      <c r="BM79" s="8">
        <f t="shared" si="314"/>
        <v>300</v>
      </c>
      <c r="BN79" s="8">
        <f t="shared" si="314"/>
        <v>300</v>
      </c>
      <c r="BO79" s="8">
        <f t="shared" si="314"/>
        <v>300</v>
      </c>
      <c r="BP79" s="8">
        <f t="shared" si="314"/>
        <v>300</v>
      </c>
      <c r="BQ79" s="8">
        <f t="shared" si="314"/>
        <v>300</v>
      </c>
      <c r="BR79" s="8">
        <f t="shared" si="314"/>
        <v>300</v>
      </c>
      <c r="BS79" s="8">
        <f t="shared" si="314"/>
        <v>300</v>
      </c>
      <c r="BT79" s="8">
        <f t="shared" si="314"/>
        <v>300</v>
      </c>
      <c r="BU79" s="8">
        <f t="shared" si="314"/>
        <v>300</v>
      </c>
      <c r="BV79" s="8">
        <f t="shared" si="314"/>
        <v>300</v>
      </c>
      <c r="BW79" s="8">
        <f t="shared" si="314"/>
        <v>300</v>
      </c>
      <c r="BX79" s="8">
        <f t="shared" si="314"/>
        <v>300</v>
      </c>
      <c r="BY79" s="8">
        <f t="shared" si="314"/>
        <v>300</v>
      </c>
      <c r="BZ79" s="8">
        <f t="shared" si="314"/>
        <v>300</v>
      </c>
      <c r="CA79" s="8">
        <f t="shared" si="314"/>
        <v>300</v>
      </c>
      <c r="CB79" s="8">
        <f t="shared" si="314"/>
        <v>300</v>
      </c>
      <c r="CC79" s="8">
        <f t="shared" si="314"/>
        <v>300</v>
      </c>
      <c r="CD79" s="8">
        <f t="shared" si="314"/>
        <v>300</v>
      </c>
      <c r="CE79" s="8">
        <f t="shared" si="314"/>
        <v>300</v>
      </c>
      <c r="CF79" s="8">
        <f t="shared" si="314"/>
        <v>300</v>
      </c>
      <c r="CG79" s="8">
        <f t="shared" si="314"/>
        <v>300</v>
      </c>
      <c r="CH79" s="8">
        <f t="shared" si="314"/>
        <v>300</v>
      </c>
      <c r="CI79" s="8">
        <f t="shared" si="314"/>
        <v>300</v>
      </c>
      <c r="CJ79" s="8">
        <f t="shared" si="314"/>
        <v>300</v>
      </c>
      <c r="CK79" s="8">
        <f t="shared" si="314"/>
        <v>300</v>
      </c>
      <c r="CN79" s="10"/>
      <c r="CO79" s="10">
        <f t="shared" si="315"/>
        <v>0</v>
      </c>
      <c r="CP79" s="10">
        <f t="shared" si="316"/>
        <v>1800</v>
      </c>
      <c r="CQ79" s="10">
        <f t="shared" si="316"/>
        <v>3600</v>
      </c>
      <c r="CR79" s="10">
        <f t="shared" si="316"/>
        <v>3600</v>
      </c>
      <c r="CS79" s="10">
        <f t="shared" si="316"/>
        <v>3600</v>
      </c>
      <c r="CT79" s="10">
        <f t="shared" si="317"/>
        <v>3600</v>
      </c>
      <c r="CU79" s="10">
        <f t="shared" si="317"/>
        <v>3600</v>
      </c>
      <c r="CV79" s="8"/>
    </row>
    <row r="80" spans="2:100" hidden="1" outlineLevel="2" x14ac:dyDescent="0.2">
      <c r="B80" s="95" t="s">
        <v>35</v>
      </c>
      <c r="C80" s="92" t="s">
        <v>4</v>
      </c>
      <c r="D80" s="92">
        <v>150</v>
      </c>
      <c r="X80" s="8">
        <f t="shared" si="314"/>
        <v>150</v>
      </c>
      <c r="Y80" s="8">
        <f t="shared" si="314"/>
        <v>150</v>
      </c>
      <c r="Z80" s="8">
        <f t="shared" si="314"/>
        <v>150</v>
      </c>
      <c r="AA80" s="8">
        <f t="shared" si="314"/>
        <v>150</v>
      </c>
      <c r="AB80" s="8">
        <f t="shared" si="314"/>
        <v>150</v>
      </c>
      <c r="AC80" s="8">
        <f t="shared" si="314"/>
        <v>150</v>
      </c>
      <c r="AD80" s="8">
        <f t="shared" si="314"/>
        <v>150</v>
      </c>
      <c r="AE80" s="8">
        <f t="shared" si="314"/>
        <v>150</v>
      </c>
      <c r="AF80" s="8">
        <f t="shared" si="314"/>
        <v>150</v>
      </c>
      <c r="AG80" s="8">
        <f t="shared" si="314"/>
        <v>150</v>
      </c>
      <c r="AH80" s="8">
        <f t="shared" si="314"/>
        <v>150</v>
      </c>
      <c r="AI80" s="8">
        <f t="shared" si="314"/>
        <v>150</v>
      </c>
      <c r="AJ80" s="8">
        <f t="shared" si="314"/>
        <v>150</v>
      </c>
      <c r="AK80" s="8">
        <f t="shared" si="314"/>
        <v>150</v>
      </c>
      <c r="AL80" s="8">
        <f t="shared" si="314"/>
        <v>150</v>
      </c>
      <c r="AM80" s="8">
        <f t="shared" si="314"/>
        <v>150</v>
      </c>
      <c r="AN80" s="8">
        <f t="shared" si="314"/>
        <v>150</v>
      </c>
      <c r="AO80" s="8">
        <f t="shared" si="314"/>
        <v>150</v>
      </c>
      <c r="AP80" s="8">
        <f t="shared" si="314"/>
        <v>150</v>
      </c>
      <c r="AQ80" s="8">
        <f t="shared" si="314"/>
        <v>150</v>
      </c>
      <c r="AR80" s="8">
        <f t="shared" si="314"/>
        <v>150</v>
      </c>
      <c r="AS80" s="8">
        <f t="shared" si="314"/>
        <v>150</v>
      </c>
      <c r="AT80" s="8">
        <f t="shared" si="314"/>
        <v>150</v>
      </c>
      <c r="AU80" s="8">
        <f t="shared" si="314"/>
        <v>150</v>
      </c>
      <c r="AV80" s="8">
        <f t="shared" si="314"/>
        <v>150</v>
      </c>
      <c r="AW80" s="8">
        <f t="shared" si="314"/>
        <v>150</v>
      </c>
      <c r="AX80" s="8">
        <f t="shared" si="314"/>
        <v>150</v>
      </c>
      <c r="AY80" s="8">
        <f t="shared" si="314"/>
        <v>150</v>
      </c>
      <c r="AZ80" s="8">
        <f t="shared" si="314"/>
        <v>150</v>
      </c>
      <c r="BA80" s="8">
        <f t="shared" si="314"/>
        <v>150</v>
      </c>
      <c r="BB80" s="8">
        <f t="shared" si="314"/>
        <v>150</v>
      </c>
      <c r="BC80" s="8">
        <f t="shared" si="314"/>
        <v>150</v>
      </c>
      <c r="BD80" s="8">
        <f t="shared" si="314"/>
        <v>150</v>
      </c>
      <c r="BE80" s="8">
        <f t="shared" si="314"/>
        <v>150</v>
      </c>
      <c r="BF80" s="8">
        <f t="shared" si="314"/>
        <v>150</v>
      </c>
      <c r="BG80" s="8">
        <f t="shared" si="314"/>
        <v>150</v>
      </c>
      <c r="BH80" s="8">
        <f t="shared" si="314"/>
        <v>150</v>
      </c>
      <c r="BI80" s="8">
        <f t="shared" si="314"/>
        <v>150</v>
      </c>
      <c r="BJ80" s="8">
        <f t="shared" si="314"/>
        <v>150</v>
      </c>
      <c r="BK80" s="8">
        <f t="shared" si="314"/>
        <v>150</v>
      </c>
      <c r="BL80" s="8">
        <f t="shared" si="314"/>
        <v>150</v>
      </c>
      <c r="BM80" s="8">
        <f t="shared" si="314"/>
        <v>150</v>
      </c>
      <c r="BN80" s="8">
        <f t="shared" si="314"/>
        <v>150</v>
      </c>
      <c r="BO80" s="8">
        <f t="shared" si="314"/>
        <v>150</v>
      </c>
      <c r="BP80" s="8">
        <f t="shared" si="314"/>
        <v>150</v>
      </c>
      <c r="BQ80" s="8">
        <f t="shared" si="314"/>
        <v>150</v>
      </c>
      <c r="BR80" s="8">
        <f t="shared" si="314"/>
        <v>150</v>
      </c>
      <c r="BS80" s="8">
        <f t="shared" si="314"/>
        <v>150</v>
      </c>
      <c r="BT80" s="8">
        <f t="shared" si="314"/>
        <v>150</v>
      </c>
      <c r="BU80" s="8">
        <f t="shared" si="314"/>
        <v>150</v>
      </c>
      <c r="BV80" s="8">
        <f t="shared" ref="BV80:CK81" si="318">$D80</f>
        <v>150</v>
      </c>
      <c r="BW80" s="8">
        <f t="shared" si="318"/>
        <v>150</v>
      </c>
      <c r="BX80" s="8">
        <f t="shared" si="318"/>
        <v>150</v>
      </c>
      <c r="BY80" s="8">
        <f t="shared" si="318"/>
        <v>150</v>
      </c>
      <c r="BZ80" s="8">
        <f t="shared" si="318"/>
        <v>150</v>
      </c>
      <c r="CA80" s="8">
        <f t="shared" si="318"/>
        <v>150</v>
      </c>
      <c r="CB80" s="8">
        <f t="shared" si="318"/>
        <v>150</v>
      </c>
      <c r="CC80" s="8">
        <f t="shared" si="318"/>
        <v>150</v>
      </c>
      <c r="CD80" s="8">
        <f t="shared" si="318"/>
        <v>150</v>
      </c>
      <c r="CE80" s="8">
        <f t="shared" si="318"/>
        <v>150</v>
      </c>
      <c r="CF80" s="8">
        <f t="shared" si="318"/>
        <v>150</v>
      </c>
      <c r="CG80" s="8">
        <f t="shared" si="318"/>
        <v>150</v>
      </c>
      <c r="CH80" s="8">
        <f t="shared" si="318"/>
        <v>150</v>
      </c>
      <c r="CI80" s="8">
        <f t="shared" si="318"/>
        <v>150</v>
      </c>
      <c r="CJ80" s="8">
        <f t="shared" si="318"/>
        <v>150</v>
      </c>
      <c r="CK80" s="8">
        <f t="shared" si="318"/>
        <v>150</v>
      </c>
      <c r="CN80" s="10"/>
      <c r="CO80" s="10">
        <f t="shared" si="315"/>
        <v>0</v>
      </c>
      <c r="CP80" s="10">
        <f t="shared" si="316"/>
        <v>900</v>
      </c>
      <c r="CQ80" s="10">
        <f t="shared" si="316"/>
        <v>1800</v>
      </c>
      <c r="CR80" s="10">
        <f t="shared" si="316"/>
        <v>1800</v>
      </c>
      <c r="CS80" s="10">
        <f t="shared" si="316"/>
        <v>1800</v>
      </c>
      <c r="CT80" s="10">
        <f t="shared" si="317"/>
        <v>1800</v>
      </c>
      <c r="CU80" s="10">
        <f t="shared" si="317"/>
        <v>1800</v>
      </c>
      <c r="CV80" s="8"/>
    </row>
    <row r="81" spans="1:102" hidden="1" outlineLevel="2" x14ac:dyDescent="0.2">
      <c r="B81" s="95" t="s">
        <v>37</v>
      </c>
      <c r="C81" s="92" t="s">
        <v>4</v>
      </c>
      <c r="D81" s="92">
        <v>100</v>
      </c>
      <c r="X81" s="8">
        <f t="shared" si="314"/>
        <v>100</v>
      </c>
      <c r="Y81" s="8">
        <f t="shared" si="314"/>
        <v>100</v>
      </c>
      <c r="Z81" s="8">
        <f t="shared" si="314"/>
        <v>100</v>
      </c>
      <c r="AA81" s="8">
        <f t="shared" si="314"/>
        <v>100</v>
      </c>
      <c r="AB81" s="8">
        <f t="shared" si="314"/>
        <v>100</v>
      </c>
      <c r="AC81" s="8">
        <f t="shared" si="314"/>
        <v>100</v>
      </c>
      <c r="AD81" s="8">
        <f t="shared" si="314"/>
        <v>100</v>
      </c>
      <c r="AE81" s="8">
        <f t="shared" si="314"/>
        <v>100</v>
      </c>
      <c r="AF81" s="8">
        <f t="shared" si="314"/>
        <v>100</v>
      </c>
      <c r="AG81" s="8">
        <f t="shared" si="314"/>
        <v>100</v>
      </c>
      <c r="AH81" s="8">
        <f t="shared" si="314"/>
        <v>100</v>
      </c>
      <c r="AI81" s="8">
        <f t="shared" si="314"/>
        <v>100</v>
      </c>
      <c r="AJ81" s="8">
        <f t="shared" si="314"/>
        <v>100</v>
      </c>
      <c r="AK81" s="8">
        <f t="shared" si="314"/>
        <v>100</v>
      </c>
      <c r="AL81" s="8">
        <f t="shared" si="314"/>
        <v>100</v>
      </c>
      <c r="AM81" s="8">
        <f t="shared" si="314"/>
        <v>100</v>
      </c>
      <c r="AN81" s="8">
        <f t="shared" si="314"/>
        <v>100</v>
      </c>
      <c r="AO81" s="8">
        <f t="shared" si="314"/>
        <v>100</v>
      </c>
      <c r="AP81" s="8">
        <f t="shared" si="314"/>
        <v>100</v>
      </c>
      <c r="AQ81" s="8">
        <f t="shared" si="314"/>
        <v>100</v>
      </c>
      <c r="AR81" s="8">
        <f t="shared" si="314"/>
        <v>100</v>
      </c>
      <c r="AS81" s="8">
        <f t="shared" si="314"/>
        <v>100</v>
      </c>
      <c r="AT81" s="8">
        <f t="shared" si="314"/>
        <v>100</v>
      </c>
      <c r="AU81" s="8">
        <f t="shared" si="314"/>
        <v>100</v>
      </c>
      <c r="AV81" s="8">
        <f t="shared" si="314"/>
        <v>100</v>
      </c>
      <c r="AW81" s="8">
        <f t="shared" si="314"/>
        <v>100</v>
      </c>
      <c r="AX81" s="8">
        <f t="shared" si="314"/>
        <v>100</v>
      </c>
      <c r="AY81" s="8">
        <f t="shared" si="314"/>
        <v>100</v>
      </c>
      <c r="AZ81" s="8">
        <f t="shared" si="314"/>
        <v>100</v>
      </c>
      <c r="BA81" s="8">
        <f t="shared" si="314"/>
        <v>100</v>
      </c>
      <c r="BB81" s="8">
        <f t="shared" si="314"/>
        <v>100</v>
      </c>
      <c r="BC81" s="8">
        <f t="shared" si="314"/>
        <v>100</v>
      </c>
      <c r="BD81" s="8">
        <f t="shared" si="314"/>
        <v>100</v>
      </c>
      <c r="BE81" s="8">
        <f t="shared" si="314"/>
        <v>100</v>
      </c>
      <c r="BF81" s="8">
        <f t="shared" si="314"/>
        <v>100</v>
      </c>
      <c r="BG81" s="8">
        <f t="shared" si="314"/>
        <v>100</v>
      </c>
      <c r="BH81" s="8">
        <f t="shared" si="314"/>
        <v>100</v>
      </c>
      <c r="BI81" s="8">
        <f t="shared" si="314"/>
        <v>100</v>
      </c>
      <c r="BJ81" s="8">
        <f t="shared" si="314"/>
        <v>100</v>
      </c>
      <c r="BK81" s="8">
        <f t="shared" si="314"/>
        <v>100</v>
      </c>
      <c r="BL81" s="8">
        <f t="shared" si="314"/>
        <v>100</v>
      </c>
      <c r="BM81" s="8">
        <f t="shared" si="314"/>
        <v>100</v>
      </c>
      <c r="BN81" s="8">
        <f t="shared" si="314"/>
        <v>100</v>
      </c>
      <c r="BO81" s="8">
        <f t="shared" si="314"/>
        <v>100</v>
      </c>
      <c r="BP81" s="8">
        <f t="shared" si="314"/>
        <v>100</v>
      </c>
      <c r="BQ81" s="8">
        <f t="shared" si="314"/>
        <v>100</v>
      </c>
      <c r="BR81" s="8">
        <f t="shared" si="314"/>
        <v>100</v>
      </c>
      <c r="BS81" s="8">
        <f t="shared" si="314"/>
        <v>100</v>
      </c>
      <c r="BT81" s="8">
        <f t="shared" si="314"/>
        <v>100</v>
      </c>
      <c r="BU81" s="8">
        <f t="shared" si="314"/>
        <v>100</v>
      </c>
      <c r="BV81" s="8">
        <f t="shared" si="318"/>
        <v>100</v>
      </c>
      <c r="BW81" s="8">
        <f t="shared" si="318"/>
        <v>100</v>
      </c>
      <c r="BX81" s="8">
        <f t="shared" si="318"/>
        <v>100</v>
      </c>
      <c r="BY81" s="8">
        <f t="shared" si="318"/>
        <v>100</v>
      </c>
      <c r="BZ81" s="8">
        <f t="shared" si="318"/>
        <v>100</v>
      </c>
      <c r="CA81" s="8">
        <f t="shared" si="318"/>
        <v>100</v>
      </c>
      <c r="CB81" s="8">
        <f t="shared" si="318"/>
        <v>100</v>
      </c>
      <c r="CC81" s="8">
        <f t="shared" si="318"/>
        <v>100</v>
      </c>
      <c r="CD81" s="8">
        <f t="shared" si="318"/>
        <v>100</v>
      </c>
      <c r="CE81" s="8">
        <f t="shared" si="318"/>
        <v>100</v>
      </c>
      <c r="CF81" s="8">
        <f t="shared" si="318"/>
        <v>100</v>
      </c>
      <c r="CG81" s="8">
        <f t="shared" si="318"/>
        <v>100</v>
      </c>
      <c r="CH81" s="8">
        <f t="shared" si="318"/>
        <v>100</v>
      </c>
      <c r="CI81" s="8">
        <f t="shared" si="318"/>
        <v>100</v>
      </c>
      <c r="CJ81" s="8">
        <f t="shared" si="318"/>
        <v>100</v>
      </c>
      <c r="CK81" s="8">
        <f t="shared" si="318"/>
        <v>100</v>
      </c>
      <c r="CN81" s="10"/>
      <c r="CO81" s="10">
        <f t="shared" si="315"/>
        <v>0</v>
      </c>
      <c r="CP81" s="10">
        <f t="shared" si="316"/>
        <v>600</v>
      </c>
      <c r="CQ81" s="10">
        <f t="shared" si="316"/>
        <v>1200</v>
      </c>
      <c r="CR81" s="10">
        <f t="shared" si="316"/>
        <v>1200</v>
      </c>
      <c r="CS81" s="10">
        <f t="shared" si="316"/>
        <v>1200</v>
      </c>
      <c r="CT81" s="10">
        <f t="shared" si="317"/>
        <v>1200</v>
      </c>
      <c r="CU81" s="10">
        <f t="shared" si="317"/>
        <v>1200</v>
      </c>
      <c r="CV81" s="8"/>
    </row>
    <row r="82" spans="1:102" x14ac:dyDescent="0.2">
      <c r="B82" s="132" t="s">
        <v>6</v>
      </c>
      <c r="C82" s="133" t="s">
        <v>4</v>
      </c>
      <c r="D82" s="133"/>
      <c r="E82" s="102"/>
      <c r="F82" s="24">
        <f t="shared" ref="F82:AK82" si="319">F53+F56</f>
        <v>32451.584473349423</v>
      </c>
      <c r="G82" s="24">
        <f t="shared" si="319"/>
        <v>31971.490280398662</v>
      </c>
      <c r="H82" s="24">
        <f t="shared" si="319"/>
        <v>30315.846233262135</v>
      </c>
      <c r="I82" s="24">
        <f t="shared" si="319"/>
        <v>34943.450139546992</v>
      </c>
      <c r="J82" s="24">
        <f t="shared" si="319"/>
        <v>34614.606398119344</v>
      </c>
      <c r="K82" s="24">
        <f t="shared" si="319"/>
        <v>35577.429476341989</v>
      </c>
      <c r="L82" s="24">
        <f t="shared" si="319"/>
        <v>39036.468407970795</v>
      </c>
      <c r="M82" s="24">
        <f t="shared" si="319"/>
        <v>36473.499359295405</v>
      </c>
      <c r="N82" s="24">
        <f t="shared" si="319"/>
        <v>34300.779624677198</v>
      </c>
      <c r="O82" s="24">
        <f t="shared" si="319"/>
        <v>41809.178842637513</v>
      </c>
      <c r="P82" s="24">
        <f t="shared" si="319"/>
        <v>36912.356514250976</v>
      </c>
      <c r="Q82" s="24">
        <f t="shared" si="319"/>
        <v>43961.96141399465</v>
      </c>
      <c r="R82" s="24">
        <f t="shared" si="319"/>
        <v>33533.539899168005</v>
      </c>
      <c r="S82" s="24">
        <f t="shared" si="319"/>
        <v>32587.455089920004</v>
      </c>
      <c r="T82" s="24">
        <f t="shared" si="319"/>
        <v>33820.5549532</v>
      </c>
      <c r="U82" s="24">
        <f t="shared" si="319"/>
        <v>34766.122892812004</v>
      </c>
      <c r="V82" s="24">
        <f t="shared" si="319"/>
        <v>33964.396159495998</v>
      </c>
      <c r="W82" s="24">
        <f t="shared" si="319"/>
        <v>34609.369795372004</v>
      </c>
      <c r="X82" s="24">
        <f t="shared" si="319"/>
        <v>46937.794438899713</v>
      </c>
      <c r="Y82" s="24">
        <f t="shared" si="319"/>
        <v>45699.677431111253</v>
      </c>
      <c r="Z82" s="24">
        <f t="shared" si="319"/>
        <v>46167.087287280061</v>
      </c>
      <c r="AA82" s="24">
        <f t="shared" si="319"/>
        <v>38187.659745236</v>
      </c>
      <c r="AB82" s="24">
        <f t="shared" si="319"/>
        <v>37061.084607260003</v>
      </c>
      <c r="AC82" s="24">
        <f t="shared" si="319"/>
        <v>43092.881614852013</v>
      </c>
      <c r="AD82" s="24">
        <f t="shared" si="319"/>
        <v>30725.186061599998</v>
      </c>
      <c r="AE82" s="24">
        <f t="shared" si="319"/>
        <v>32207.461213599996</v>
      </c>
      <c r="AF82" s="24">
        <f t="shared" si="319"/>
        <v>39148.141324399992</v>
      </c>
      <c r="AG82" s="24">
        <f t="shared" si="319"/>
        <v>39385.859355749999</v>
      </c>
      <c r="AH82" s="24">
        <f t="shared" si="319"/>
        <v>41697.718749326246</v>
      </c>
      <c r="AI82" s="24">
        <f t="shared" si="319"/>
        <v>43575.264005968682</v>
      </c>
      <c r="AJ82" s="24">
        <f t="shared" si="319"/>
        <v>47121.750562039117</v>
      </c>
      <c r="AK82" s="24">
        <f t="shared" si="319"/>
        <v>59007.523724542458</v>
      </c>
      <c r="AL82" s="24">
        <f t="shared" ref="AL82:BQ82" si="320">AL53+AL56</f>
        <v>65801.682183948724</v>
      </c>
      <c r="AM82" s="24">
        <f t="shared" si="320"/>
        <v>65680.462866845148</v>
      </c>
      <c r="AN82" s="24">
        <f t="shared" si="320"/>
        <v>69481.70247933139</v>
      </c>
      <c r="AO82" s="24">
        <f t="shared" si="320"/>
        <v>80418.530294599681</v>
      </c>
      <c r="AP82" s="24">
        <f t="shared" si="320"/>
        <v>69501.595079693914</v>
      </c>
      <c r="AQ82" s="24">
        <f t="shared" si="320"/>
        <v>80890.772133498365</v>
      </c>
      <c r="AR82" s="24">
        <f t="shared" si="320"/>
        <v>98716.451530235296</v>
      </c>
      <c r="AS82" s="24">
        <f t="shared" si="320"/>
        <v>107143.61606099318</v>
      </c>
      <c r="AT82" s="24">
        <f t="shared" si="320"/>
        <v>111294.966746044</v>
      </c>
      <c r="AU82" s="24">
        <f t="shared" si="320"/>
        <v>113419.02630868412</v>
      </c>
      <c r="AV82" s="24">
        <f t="shared" si="320"/>
        <v>115586.97689360174</v>
      </c>
      <c r="AW82" s="24">
        <f t="shared" si="320"/>
        <v>109629.71983027109</v>
      </c>
      <c r="AX82" s="24">
        <f t="shared" si="320"/>
        <v>106685.21408909452</v>
      </c>
      <c r="AY82" s="24">
        <f t="shared" si="320"/>
        <v>103781.24788669623</v>
      </c>
      <c r="AZ82" s="24">
        <f t="shared" si="320"/>
        <v>99064.530201608126</v>
      </c>
      <c r="BA82" s="24">
        <f t="shared" si="320"/>
        <v>129311.09521272549</v>
      </c>
      <c r="BB82" s="24">
        <f t="shared" si="320"/>
        <v>78314.038147038314</v>
      </c>
      <c r="BC82" s="24">
        <f t="shared" si="320"/>
        <v>93556.59530140576</v>
      </c>
      <c r="BD82" s="24">
        <f t="shared" si="320"/>
        <v>114214.7444955103</v>
      </c>
      <c r="BE82" s="24">
        <f t="shared" si="320"/>
        <v>123977.03304205995</v>
      </c>
      <c r="BF82" s="24">
        <f t="shared" si="320"/>
        <v>128792.28904904512</v>
      </c>
      <c r="BG82" s="24">
        <f t="shared" si="320"/>
        <v>131256.32504508554</v>
      </c>
      <c r="BH82" s="24">
        <f t="shared" si="320"/>
        <v>133771.35303755093</v>
      </c>
      <c r="BI82" s="24">
        <f t="shared" si="320"/>
        <v>126868.1037376227</v>
      </c>
      <c r="BJ82" s="24">
        <f t="shared" si="320"/>
        <v>123377.05285636039</v>
      </c>
      <c r="BK82" s="24">
        <f t="shared" si="320"/>
        <v>120006.83858563751</v>
      </c>
      <c r="BL82" s="24">
        <f t="shared" si="320"/>
        <v>115673.10080615804</v>
      </c>
      <c r="BM82" s="24">
        <f t="shared" si="320"/>
        <v>149661.01919741853</v>
      </c>
      <c r="BN82" s="24">
        <f t="shared" si="320"/>
        <v>90522.506157404961</v>
      </c>
      <c r="BO82" s="24">
        <f t="shared" si="320"/>
        <v>108162.41318330346</v>
      </c>
      <c r="BP82" s="24">
        <f t="shared" si="320"/>
        <v>132101.32447828428</v>
      </c>
      <c r="BQ82" s="24">
        <f t="shared" si="320"/>
        <v>143407.95795810636</v>
      </c>
      <c r="BR82" s="24">
        <f t="shared" ref="BR82:BX82" si="321">BR53+BR56</f>
        <v>148999.65052265982</v>
      </c>
      <c r="BS82" s="24">
        <f t="shared" si="321"/>
        <v>151861.60505155986</v>
      </c>
      <c r="BT82" s="24">
        <f t="shared" si="321"/>
        <v>154782.83398110411</v>
      </c>
      <c r="BU82" s="24">
        <f t="shared" si="321"/>
        <v>146786.70849577335</v>
      </c>
      <c r="BV82" s="24">
        <f t="shared" si="321"/>
        <v>142734.41980129795</v>
      </c>
      <c r="BW82" s="24">
        <f t="shared" si="321"/>
        <v>140223.56758395574</v>
      </c>
      <c r="BX82" s="24">
        <f t="shared" si="321"/>
        <v>133797.81040928623</v>
      </c>
      <c r="BY82" s="24">
        <f t="shared" ref="BY82:CK82" si="322">BY53+BY56</f>
        <v>173283.48800352227</v>
      </c>
      <c r="BZ82" s="24">
        <f t="shared" si="322"/>
        <v>102567.4955306027</v>
      </c>
      <c r="CA82" s="24">
        <f t="shared" si="322"/>
        <v>122920.73874895446</v>
      </c>
      <c r="CB82" s="24">
        <f t="shared" si="322"/>
        <v>150473.16273902133</v>
      </c>
      <c r="CC82" s="24">
        <f t="shared" si="322"/>
        <v>163522.9642408432</v>
      </c>
      <c r="CD82" s="24">
        <f t="shared" si="322"/>
        <v>169947.28550514075</v>
      </c>
      <c r="CE82" s="24">
        <f t="shared" si="322"/>
        <v>173263.36537519586</v>
      </c>
      <c r="CF82" s="24">
        <f t="shared" si="322"/>
        <v>176648.62705104565</v>
      </c>
      <c r="CG82" s="24">
        <f t="shared" si="322"/>
        <v>167489.42978067254</v>
      </c>
      <c r="CH82" s="24">
        <f t="shared" si="322"/>
        <v>164570.56130135217</v>
      </c>
      <c r="CI82" s="24">
        <f t="shared" si="322"/>
        <v>160059.06515165293</v>
      </c>
      <c r="CJ82" s="24">
        <f t="shared" si="322"/>
        <v>152715.05350517546</v>
      </c>
      <c r="CK82" s="24">
        <f t="shared" si="322"/>
        <v>197950.62720565975</v>
      </c>
      <c r="CN82" s="146"/>
      <c r="CO82" s="24">
        <f>SUMIF($L$2:$CK$2,CO$3,$L82:$CK82)</f>
        <v>232494.24416282657</v>
      </c>
      <c r="CP82" s="24">
        <f t="shared" si="316"/>
        <v>460427.62391460704</v>
      </c>
      <c r="CQ82" s="24">
        <f t="shared" si="316"/>
        <v>614251.28282195143</v>
      </c>
      <c r="CR82" s="24">
        <f t="shared" si="316"/>
        <v>1245025.2119731461</v>
      </c>
      <c r="CS82" s="24">
        <f t="shared" si="316"/>
        <v>1439468.4933008931</v>
      </c>
      <c r="CT82" s="24">
        <f t="shared" si="317"/>
        <v>1666664.2856262587</v>
      </c>
      <c r="CU82" s="24">
        <f t="shared" si="317"/>
        <v>1902128.3761353171</v>
      </c>
      <c r="CV82" s="8"/>
    </row>
    <row r="85" spans="1:102" x14ac:dyDescent="0.2">
      <c r="B85" s="12" t="s">
        <v>42</v>
      </c>
      <c r="CN85" s="193"/>
    </row>
    <row r="86" spans="1:102" x14ac:dyDescent="0.2">
      <c r="B86" s="134" t="s">
        <v>1</v>
      </c>
      <c r="C86" s="134" t="s">
        <v>2</v>
      </c>
      <c r="D86" s="134" t="s">
        <v>38</v>
      </c>
      <c r="E86" s="102"/>
      <c r="F86" s="135">
        <f t="shared" ref="F86:AK86" si="323">F3</f>
        <v>45292</v>
      </c>
      <c r="G86" s="135">
        <f t="shared" si="323"/>
        <v>45323</v>
      </c>
      <c r="H86" s="135">
        <f t="shared" si="323"/>
        <v>45352</v>
      </c>
      <c r="I86" s="135">
        <f t="shared" si="323"/>
        <v>45383</v>
      </c>
      <c r="J86" s="135">
        <f t="shared" si="323"/>
        <v>45413</v>
      </c>
      <c r="K86" s="135">
        <f t="shared" si="323"/>
        <v>45444</v>
      </c>
      <c r="L86" s="135">
        <f t="shared" si="323"/>
        <v>45474</v>
      </c>
      <c r="M86" s="135">
        <f t="shared" si="323"/>
        <v>45505</v>
      </c>
      <c r="N86" s="135">
        <f t="shared" si="323"/>
        <v>45536</v>
      </c>
      <c r="O86" s="135">
        <f t="shared" si="323"/>
        <v>45566</v>
      </c>
      <c r="P86" s="135">
        <f t="shared" si="323"/>
        <v>45597</v>
      </c>
      <c r="Q86" s="135">
        <f t="shared" si="323"/>
        <v>45627</v>
      </c>
      <c r="R86" s="135">
        <f t="shared" si="323"/>
        <v>45658</v>
      </c>
      <c r="S86" s="135">
        <f t="shared" si="323"/>
        <v>45689</v>
      </c>
      <c r="T86" s="135">
        <f t="shared" si="323"/>
        <v>45717</v>
      </c>
      <c r="U86" s="135">
        <f t="shared" si="323"/>
        <v>45748</v>
      </c>
      <c r="V86" s="135">
        <f t="shared" si="323"/>
        <v>45778</v>
      </c>
      <c r="W86" s="135">
        <f t="shared" si="323"/>
        <v>45809</v>
      </c>
      <c r="X86" s="135">
        <f t="shared" si="323"/>
        <v>45839</v>
      </c>
      <c r="Y86" s="135">
        <f t="shared" si="323"/>
        <v>45870</v>
      </c>
      <c r="Z86" s="135">
        <f t="shared" si="323"/>
        <v>45901</v>
      </c>
      <c r="AA86" s="135">
        <f t="shared" si="323"/>
        <v>45931</v>
      </c>
      <c r="AB86" s="135">
        <f t="shared" si="323"/>
        <v>45962</v>
      </c>
      <c r="AC86" s="135">
        <f t="shared" si="323"/>
        <v>45992</v>
      </c>
      <c r="AD86" s="135">
        <f t="shared" si="323"/>
        <v>46023</v>
      </c>
      <c r="AE86" s="135">
        <f t="shared" si="323"/>
        <v>46054</v>
      </c>
      <c r="AF86" s="135">
        <f t="shared" si="323"/>
        <v>46082</v>
      </c>
      <c r="AG86" s="135">
        <f t="shared" si="323"/>
        <v>46113</v>
      </c>
      <c r="AH86" s="135">
        <f t="shared" si="323"/>
        <v>46143</v>
      </c>
      <c r="AI86" s="135">
        <f t="shared" si="323"/>
        <v>46174</v>
      </c>
      <c r="AJ86" s="135">
        <f t="shared" si="323"/>
        <v>46204</v>
      </c>
      <c r="AK86" s="135">
        <f t="shared" si="323"/>
        <v>46235</v>
      </c>
      <c r="AL86" s="135">
        <f t="shared" ref="AL86:BQ86" si="324">AL3</f>
        <v>46266</v>
      </c>
      <c r="AM86" s="135">
        <f t="shared" si="324"/>
        <v>46296</v>
      </c>
      <c r="AN86" s="135">
        <f t="shared" si="324"/>
        <v>46327</v>
      </c>
      <c r="AO86" s="135">
        <f t="shared" si="324"/>
        <v>46357</v>
      </c>
      <c r="AP86" s="135">
        <f t="shared" si="324"/>
        <v>46388</v>
      </c>
      <c r="AQ86" s="135">
        <f t="shared" si="324"/>
        <v>46419</v>
      </c>
      <c r="AR86" s="135">
        <f t="shared" si="324"/>
        <v>46447</v>
      </c>
      <c r="AS86" s="135">
        <f t="shared" si="324"/>
        <v>46478</v>
      </c>
      <c r="AT86" s="135">
        <f t="shared" si="324"/>
        <v>46508</v>
      </c>
      <c r="AU86" s="135">
        <f t="shared" si="324"/>
        <v>46539</v>
      </c>
      <c r="AV86" s="135">
        <f t="shared" si="324"/>
        <v>46569</v>
      </c>
      <c r="AW86" s="135">
        <f t="shared" si="324"/>
        <v>46600</v>
      </c>
      <c r="AX86" s="135">
        <f t="shared" si="324"/>
        <v>46631</v>
      </c>
      <c r="AY86" s="135">
        <f t="shared" si="324"/>
        <v>46661</v>
      </c>
      <c r="AZ86" s="135">
        <f t="shared" si="324"/>
        <v>46692</v>
      </c>
      <c r="BA86" s="135">
        <f t="shared" si="324"/>
        <v>46722</v>
      </c>
      <c r="BB86" s="135">
        <f t="shared" si="324"/>
        <v>46753</v>
      </c>
      <c r="BC86" s="135">
        <f t="shared" si="324"/>
        <v>46784</v>
      </c>
      <c r="BD86" s="135">
        <f t="shared" si="324"/>
        <v>46813</v>
      </c>
      <c r="BE86" s="135">
        <f t="shared" si="324"/>
        <v>46844</v>
      </c>
      <c r="BF86" s="135">
        <f t="shared" si="324"/>
        <v>46874</v>
      </c>
      <c r="BG86" s="135">
        <f t="shared" si="324"/>
        <v>46905</v>
      </c>
      <c r="BH86" s="135">
        <f t="shared" si="324"/>
        <v>46935</v>
      </c>
      <c r="BI86" s="135">
        <f t="shared" si="324"/>
        <v>46966</v>
      </c>
      <c r="BJ86" s="135">
        <f t="shared" si="324"/>
        <v>46997</v>
      </c>
      <c r="BK86" s="135">
        <f t="shared" si="324"/>
        <v>47027</v>
      </c>
      <c r="BL86" s="135">
        <f t="shared" si="324"/>
        <v>47058</v>
      </c>
      <c r="BM86" s="135">
        <f t="shared" si="324"/>
        <v>47088</v>
      </c>
      <c r="BN86" s="135">
        <f t="shared" si="324"/>
        <v>47119</v>
      </c>
      <c r="BO86" s="135">
        <f t="shared" si="324"/>
        <v>47150</v>
      </c>
      <c r="BP86" s="135">
        <f t="shared" si="324"/>
        <v>47178</v>
      </c>
      <c r="BQ86" s="135">
        <f t="shared" si="324"/>
        <v>47209</v>
      </c>
      <c r="BR86" s="135">
        <f t="shared" ref="BR86:BX86" si="325">BR3</f>
        <v>47239</v>
      </c>
      <c r="BS86" s="135">
        <f t="shared" si="325"/>
        <v>47270</v>
      </c>
      <c r="BT86" s="135">
        <f t="shared" si="325"/>
        <v>47300</v>
      </c>
      <c r="BU86" s="135">
        <f t="shared" si="325"/>
        <v>47331</v>
      </c>
      <c r="BV86" s="135">
        <f t="shared" si="325"/>
        <v>47362</v>
      </c>
      <c r="BW86" s="135">
        <f t="shared" si="325"/>
        <v>47392</v>
      </c>
      <c r="BX86" s="135">
        <f t="shared" si="325"/>
        <v>47423</v>
      </c>
      <c r="BY86" s="135">
        <f t="shared" ref="BY86:CK86" si="326">BY3</f>
        <v>47453</v>
      </c>
      <c r="BZ86" s="135">
        <f t="shared" si="326"/>
        <v>47484</v>
      </c>
      <c r="CA86" s="135">
        <f t="shared" si="326"/>
        <v>47515</v>
      </c>
      <c r="CB86" s="135">
        <f t="shared" si="326"/>
        <v>47543</v>
      </c>
      <c r="CC86" s="135">
        <f t="shared" si="326"/>
        <v>47574</v>
      </c>
      <c r="CD86" s="135">
        <f t="shared" si="326"/>
        <v>47604</v>
      </c>
      <c r="CE86" s="135">
        <f t="shared" si="326"/>
        <v>47635</v>
      </c>
      <c r="CF86" s="135">
        <f t="shared" si="326"/>
        <v>47665</v>
      </c>
      <c r="CG86" s="135">
        <f t="shared" si="326"/>
        <v>47696</v>
      </c>
      <c r="CH86" s="135">
        <f t="shared" si="326"/>
        <v>47727</v>
      </c>
      <c r="CI86" s="135">
        <f t="shared" si="326"/>
        <v>47757</v>
      </c>
      <c r="CJ86" s="135">
        <f t="shared" si="326"/>
        <v>47788</v>
      </c>
      <c r="CK86" s="135">
        <f t="shared" si="326"/>
        <v>47818</v>
      </c>
      <c r="CN86" s="145"/>
      <c r="CO86" s="130">
        <v>2024</v>
      </c>
      <c r="CP86" s="130">
        <f t="shared" ref="CP86" si="327">CO86+1</f>
        <v>2025</v>
      </c>
      <c r="CQ86" s="130">
        <f t="shared" ref="CQ86" si="328">CP86+1</f>
        <v>2026</v>
      </c>
      <c r="CR86" s="130">
        <f t="shared" ref="CR86" si="329">CQ86+1</f>
        <v>2027</v>
      </c>
      <c r="CS86" s="130">
        <f t="shared" ref="CS86" si="330">CR86+1</f>
        <v>2028</v>
      </c>
      <c r="CT86" s="130">
        <f t="shared" ref="CT86" si="331">CS86+1</f>
        <v>2029</v>
      </c>
      <c r="CU86" s="130">
        <f t="shared" ref="CU86" si="332">CT86+1</f>
        <v>2030</v>
      </c>
    </row>
    <row r="87" spans="1:102" s="12" customFormat="1" x14ac:dyDescent="0.2">
      <c r="B87" s="88" t="s">
        <v>92</v>
      </c>
      <c r="C87" s="88" t="s">
        <v>4</v>
      </c>
      <c r="D87" s="108">
        <v>800</v>
      </c>
      <c r="E87" s="14"/>
      <c r="F87" s="14">
        <v>531.84246999999993</v>
      </c>
      <c r="G87" s="14">
        <v>533.66631999999993</v>
      </c>
      <c r="H87" s="14">
        <v>588.49589999999989</v>
      </c>
      <c r="I87" s="14">
        <v>577.76970999999992</v>
      </c>
      <c r="J87" s="14">
        <v>514.19141000000002</v>
      </c>
      <c r="K87" s="14">
        <v>579.27670999999998</v>
      </c>
      <c r="L87" s="14">
        <v>703.44232</v>
      </c>
      <c r="M87" s="14">
        <v>796.66683</v>
      </c>
      <c r="N87" s="14">
        <v>676.93704000000002</v>
      </c>
      <c r="O87" s="14">
        <v>662.72724999999991</v>
      </c>
      <c r="P87" s="14">
        <v>808.51103000000001</v>
      </c>
      <c r="Q87" s="14">
        <v>835.29539</v>
      </c>
      <c r="R87" s="14">
        <f>$D$87*R88</f>
        <v>720</v>
      </c>
      <c r="S87" s="14">
        <f t="shared" ref="S87:CK87" si="333">$D$87*S88</f>
        <v>720</v>
      </c>
      <c r="T87" s="14">
        <f t="shared" si="333"/>
        <v>720</v>
      </c>
      <c r="U87" s="14">
        <f t="shared" si="333"/>
        <v>960</v>
      </c>
      <c r="V87" s="14">
        <f t="shared" si="333"/>
        <v>960</v>
      </c>
      <c r="W87" s="14">
        <f t="shared" si="333"/>
        <v>1040</v>
      </c>
      <c r="X87" s="14">
        <f t="shared" si="333"/>
        <v>1120</v>
      </c>
      <c r="Y87" s="14">
        <f t="shared" si="333"/>
        <v>1120</v>
      </c>
      <c r="Z87" s="14">
        <f t="shared" si="333"/>
        <v>1120</v>
      </c>
      <c r="AA87" s="14">
        <f t="shared" si="333"/>
        <v>1120</v>
      </c>
      <c r="AB87" s="14">
        <f t="shared" si="333"/>
        <v>1120</v>
      </c>
      <c r="AC87" s="14">
        <f t="shared" si="333"/>
        <v>1120</v>
      </c>
      <c r="AD87" s="14">
        <f t="shared" si="333"/>
        <v>1120</v>
      </c>
      <c r="AE87" s="14">
        <f t="shared" si="333"/>
        <v>1120</v>
      </c>
      <c r="AF87" s="14">
        <f t="shared" si="333"/>
        <v>1120</v>
      </c>
      <c r="AG87" s="14">
        <f t="shared" si="333"/>
        <v>1120</v>
      </c>
      <c r="AH87" s="14">
        <f t="shared" si="333"/>
        <v>1120</v>
      </c>
      <c r="AI87" s="14">
        <f t="shared" si="333"/>
        <v>1120</v>
      </c>
      <c r="AJ87" s="14">
        <f t="shared" si="333"/>
        <v>1120</v>
      </c>
      <c r="AK87" s="14">
        <f t="shared" si="333"/>
        <v>1120</v>
      </c>
      <c r="AL87" s="14">
        <f t="shared" si="333"/>
        <v>1120</v>
      </c>
      <c r="AM87" s="14">
        <f t="shared" si="333"/>
        <v>1120</v>
      </c>
      <c r="AN87" s="14">
        <f t="shared" si="333"/>
        <v>1120</v>
      </c>
      <c r="AO87" s="14">
        <f t="shared" si="333"/>
        <v>1120</v>
      </c>
      <c r="AP87" s="14">
        <f t="shared" si="333"/>
        <v>1120</v>
      </c>
      <c r="AQ87" s="14">
        <f t="shared" si="333"/>
        <v>1120</v>
      </c>
      <c r="AR87" s="14">
        <f t="shared" si="333"/>
        <v>1120</v>
      </c>
      <c r="AS87" s="14">
        <f t="shared" si="333"/>
        <v>1120</v>
      </c>
      <c r="AT87" s="14">
        <f t="shared" si="333"/>
        <v>1120</v>
      </c>
      <c r="AU87" s="14">
        <f t="shared" si="333"/>
        <v>1120</v>
      </c>
      <c r="AV87" s="14">
        <f t="shared" si="333"/>
        <v>1120</v>
      </c>
      <c r="AW87" s="14">
        <f t="shared" si="333"/>
        <v>1120</v>
      </c>
      <c r="AX87" s="14">
        <f t="shared" si="333"/>
        <v>1120</v>
      </c>
      <c r="AY87" s="14">
        <f t="shared" si="333"/>
        <v>1120</v>
      </c>
      <c r="AZ87" s="14">
        <f t="shared" si="333"/>
        <v>1120</v>
      </c>
      <c r="BA87" s="14">
        <f t="shared" si="333"/>
        <v>1120</v>
      </c>
      <c r="BB87" s="14">
        <f t="shared" si="333"/>
        <v>1120</v>
      </c>
      <c r="BC87" s="14">
        <f t="shared" si="333"/>
        <v>1120</v>
      </c>
      <c r="BD87" s="14">
        <f t="shared" si="333"/>
        <v>1120</v>
      </c>
      <c r="BE87" s="14">
        <f t="shared" si="333"/>
        <v>1120</v>
      </c>
      <c r="BF87" s="14">
        <f t="shared" si="333"/>
        <v>1120</v>
      </c>
      <c r="BG87" s="14">
        <f t="shared" si="333"/>
        <v>1120</v>
      </c>
      <c r="BH87" s="14">
        <f t="shared" si="333"/>
        <v>1120</v>
      </c>
      <c r="BI87" s="14">
        <f t="shared" si="333"/>
        <v>1120</v>
      </c>
      <c r="BJ87" s="14">
        <f t="shared" si="333"/>
        <v>1120</v>
      </c>
      <c r="BK87" s="14">
        <f t="shared" si="333"/>
        <v>1120</v>
      </c>
      <c r="BL87" s="14">
        <f t="shared" si="333"/>
        <v>1120</v>
      </c>
      <c r="BM87" s="14">
        <f t="shared" si="333"/>
        <v>1120</v>
      </c>
      <c r="BN87" s="14">
        <f t="shared" si="333"/>
        <v>1120</v>
      </c>
      <c r="BO87" s="14">
        <f t="shared" si="333"/>
        <v>1120</v>
      </c>
      <c r="BP87" s="14">
        <f t="shared" si="333"/>
        <v>1120</v>
      </c>
      <c r="BQ87" s="14">
        <f t="shared" si="333"/>
        <v>1120</v>
      </c>
      <c r="BR87" s="14">
        <f>$D$87*BR88</f>
        <v>1120</v>
      </c>
      <c r="BS87" s="14">
        <f t="shared" si="333"/>
        <v>1120</v>
      </c>
      <c r="BT87" s="14">
        <f t="shared" si="333"/>
        <v>1120</v>
      </c>
      <c r="BU87" s="14">
        <f t="shared" si="333"/>
        <v>1120</v>
      </c>
      <c r="BV87" s="14">
        <f t="shared" si="333"/>
        <v>1120</v>
      </c>
      <c r="BW87" s="14">
        <f t="shared" si="333"/>
        <v>1120</v>
      </c>
      <c r="BX87" s="14">
        <f t="shared" si="333"/>
        <v>1120</v>
      </c>
      <c r="BY87" s="14">
        <f t="shared" si="333"/>
        <v>1120</v>
      </c>
      <c r="BZ87" s="14">
        <f t="shared" si="333"/>
        <v>1120</v>
      </c>
      <c r="CA87" s="14">
        <f t="shared" si="333"/>
        <v>1120</v>
      </c>
      <c r="CB87" s="14">
        <f t="shared" si="333"/>
        <v>1120</v>
      </c>
      <c r="CC87" s="14">
        <f t="shared" si="333"/>
        <v>1120</v>
      </c>
      <c r="CD87" s="14">
        <f t="shared" si="333"/>
        <v>1120</v>
      </c>
      <c r="CE87" s="14">
        <f t="shared" si="333"/>
        <v>1120</v>
      </c>
      <c r="CF87" s="14">
        <f t="shared" si="333"/>
        <v>1120</v>
      </c>
      <c r="CG87" s="14">
        <f t="shared" si="333"/>
        <v>1120</v>
      </c>
      <c r="CH87" s="14">
        <f t="shared" si="333"/>
        <v>1120</v>
      </c>
      <c r="CI87" s="14">
        <f t="shared" si="333"/>
        <v>1120</v>
      </c>
      <c r="CJ87" s="14">
        <f t="shared" si="333"/>
        <v>1120</v>
      </c>
      <c r="CK87" s="14">
        <f t="shared" si="333"/>
        <v>1120</v>
      </c>
      <c r="CN87" s="14"/>
      <c r="CO87" s="94">
        <f>SUMIF($F$2:$CK$2,CO$3,$F87:$CK87)</f>
        <v>7808.8223799999996</v>
      </c>
      <c r="CP87" s="94">
        <f>SUMIF($L$2:$CK$2,CP$3,$L87:$CK87)</f>
        <v>11840</v>
      </c>
      <c r="CQ87" s="94">
        <f>SUMIF($L$2:$CK$2,CQ$3,$L87:$CK87)</f>
        <v>13440</v>
      </c>
      <c r="CR87" s="94">
        <f>SUMIF($L$2:$CK$2,CR$3,$L87:$CK87)</f>
        <v>13440</v>
      </c>
      <c r="CS87" s="94">
        <f>SUMIF($L$2:$CK$2,CS$3,$L87:$CK87)</f>
        <v>13440</v>
      </c>
      <c r="CT87" s="94">
        <f t="shared" ref="CT87:CU87" si="334">SUMIF($L$2:$CK$2,CT$3,$L87:$CK87)</f>
        <v>13440</v>
      </c>
      <c r="CU87" s="94">
        <f t="shared" si="334"/>
        <v>13440</v>
      </c>
      <c r="CV87" s="156"/>
      <c r="CW87" s="156"/>
      <c r="CX87" s="156"/>
    </row>
    <row r="88" spans="1:102" x14ac:dyDescent="0.2">
      <c r="B88" s="99"/>
      <c r="C88" s="107"/>
      <c r="D88" s="99"/>
      <c r="F88" s="25"/>
      <c r="G88" s="25"/>
      <c r="H88" s="25"/>
      <c r="I88" s="25"/>
      <c r="J88" s="25"/>
      <c r="K88" s="25">
        <v>0</v>
      </c>
      <c r="L88" s="25">
        <v>1</v>
      </c>
      <c r="M88" s="25">
        <v>1</v>
      </c>
      <c r="N88" s="25">
        <v>1</v>
      </c>
      <c r="O88" s="25">
        <v>1</v>
      </c>
      <c r="P88" s="25">
        <v>1.2665</v>
      </c>
      <c r="Q88" s="25">
        <v>1.4</v>
      </c>
      <c r="R88" s="25">
        <v>0.9</v>
      </c>
      <c r="S88" s="25">
        <v>0.9</v>
      </c>
      <c r="T88" s="25">
        <v>0.9</v>
      </c>
      <c r="U88" s="25">
        <v>1.2</v>
      </c>
      <c r="V88" s="25">
        <v>1.2</v>
      </c>
      <c r="W88" s="25">
        <v>1.3</v>
      </c>
      <c r="X88" s="25">
        <v>1.4</v>
      </c>
      <c r="Y88" s="25">
        <v>1.4</v>
      </c>
      <c r="Z88" s="25">
        <v>1.4</v>
      </c>
      <c r="AA88" s="25">
        <v>1.4</v>
      </c>
      <c r="AB88" s="25">
        <v>1.4</v>
      </c>
      <c r="AC88" s="25">
        <v>1.4</v>
      </c>
      <c r="AD88" s="25">
        <v>1.4</v>
      </c>
      <c r="AE88" s="25">
        <v>1.4</v>
      </c>
      <c r="AF88" s="25">
        <v>1.4</v>
      </c>
      <c r="AG88" s="25">
        <v>1.4</v>
      </c>
      <c r="AH88" s="25">
        <v>1.4</v>
      </c>
      <c r="AI88" s="25">
        <v>1.4</v>
      </c>
      <c r="AJ88" s="25">
        <v>1.4</v>
      </c>
      <c r="AK88" s="25">
        <v>1.4</v>
      </c>
      <c r="AL88" s="25">
        <v>1.4</v>
      </c>
      <c r="AM88" s="25">
        <v>1.4</v>
      </c>
      <c r="AN88" s="25">
        <v>1.4</v>
      </c>
      <c r="AO88" s="25">
        <v>1.4</v>
      </c>
      <c r="AP88" s="25">
        <v>1.4</v>
      </c>
      <c r="AQ88" s="25">
        <v>1.4</v>
      </c>
      <c r="AR88" s="25">
        <v>1.4</v>
      </c>
      <c r="AS88" s="25">
        <v>1.4</v>
      </c>
      <c r="AT88" s="25">
        <v>1.4</v>
      </c>
      <c r="AU88" s="25">
        <v>1.4</v>
      </c>
      <c r="AV88" s="25">
        <v>1.4</v>
      </c>
      <c r="AW88" s="25">
        <v>1.4</v>
      </c>
      <c r="AX88" s="25">
        <f>AW88</f>
        <v>1.4</v>
      </c>
      <c r="AY88" s="25">
        <f t="shared" ref="AY88:BU88" si="335">AX88</f>
        <v>1.4</v>
      </c>
      <c r="AZ88" s="25">
        <f t="shared" si="335"/>
        <v>1.4</v>
      </c>
      <c r="BA88" s="25">
        <f t="shared" si="335"/>
        <v>1.4</v>
      </c>
      <c r="BB88" s="25">
        <f t="shared" si="335"/>
        <v>1.4</v>
      </c>
      <c r="BC88" s="25">
        <f t="shared" si="335"/>
        <v>1.4</v>
      </c>
      <c r="BD88" s="25">
        <f t="shared" si="335"/>
        <v>1.4</v>
      </c>
      <c r="BE88" s="25">
        <f t="shared" si="335"/>
        <v>1.4</v>
      </c>
      <c r="BF88" s="25">
        <f t="shared" si="335"/>
        <v>1.4</v>
      </c>
      <c r="BG88" s="25">
        <f t="shared" si="335"/>
        <v>1.4</v>
      </c>
      <c r="BH88" s="25">
        <f t="shared" si="335"/>
        <v>1.4</v>
      </c>
      <c r="BI88" s="25">
        <f t="shared" si="335"/>
        <v>1.4</v>
      </c>
      <c r="BJ88" s="25">
        <f t="shared" si="335"/>
        <v>1.4</v>
      </c>
      <c r="BK88" s="25">
        <f t="shared" si="335"/>
        <v>1.4</v>
      </c>
      <c r="BL88" s="25">
        <f t="shared" si="335"/>
        <v>1.4</v>
      </c>
      <c r="BM88" s="25">
        <f t="shared" si="335"/>
        <v>1.4</v>
      </c>
      <c r="BN88" s="25">
        <f t="shared" si="335"/>
        <v>1.4</v>
      </c>
      <c r="BO88" s="25">
        <f t="shared" si="335"/>
        <v>1.4</v>
      </c>
      <c r="BP88" s="25">
        <f t="shared" si="335"/>
        <v>1.4</v>
      </c>
      <c r="BQ88" s="25">
        <f t="shared" si="335"/>
        <v>1.4</v>
      </c>
      <c r="BR88" s="25">
        <f t="shared" si="335"/>
        <v>1.4</v>
      </c>
      <c r="BS88" s="25">
        <f t="shared" si="335"/>
        <v>1.4</v>
      </c>
      <c r="BT88" s="25">
        <f t="shared" si="335"/>
        <v>1.4</v>
      </c>
      <c r="BU88" s="25">
        <f t="shared" si="335"/>
        <v>1.4</v>
      </c>
      <c r="BV88" s="25">
        <f t="shared" ref="BV88" si="336">BU88</f>
        <v>1.4</v>
      </c>
      <c r="BW88" s="25">
        <f t="shared" ref="BW88" si="337">BV88</f>
        <v>1.4</v>
      </c>
      <c r="BX88" s="25">
        <f t="shared" ref="BX88" si="338">BW88</f>
        <v>1.4</v>
      </c>
      <c r="BY88" s="25">
        <f t="shared" ref="BY88" si="339">BX88</f>
        <v>1.4</v>
      </c>
      <c r="BZ88" s="25">
        <f t="shared" ref="BZ88" si="340">BY88</f>
        <v>1.4</v>
      </c>
      <c r="CA88" s="25">
        <f t="shared" ref="CA88" si="341">BZ88</f>
        <v>1.4</v>
      </c>
      <c r="CB88" s="25">
        <f t="shared" ref="CB88" si="342">CA88</f>
        <v>1.4</v>
      </c>
      <c r="CC88" s="25">
        <f t="shared" ref="CC88" si="343">CB88</f>
        <v>1.4</v>
      </c>
      <c r="CD88" s="25">
        <f t="shared" ref="CD88" si="344">CC88</f>
        <v>1.4</v>
      </c>
      <c r="CE88" s="25">
        <f t="shared" ref="CE88" si="345">CD88</f>
        <v>1.4</v>
      </c>
      <c r="CF88" s="25">
        <f t="shared" ref="CF88" si="346">CE88</f>
        <v>1.4</v>
      </c>
      <c r="CG88" s="25">
        <f t="shared" ref="CG88" si="347">CF88</f>
        <v>1.4</v>
      </c>
      <c r="CH88" s="25">
        <f t="shared" ref="CH88" si="348">CG88</f>
        <v>1.4</v>
      </c>
      <c r="CI88" s="25">
        <f t="shared" ref="CI88" si="349">CH88</f>
        <v>1.4</v>
      </c>
      <c r="CJ88" s="25">
        <f t="shared" ref="CJ88" si="350">CI88</f>
        <v>1.4</v>
      </c>
      <c r="CK88" s="25">
        <f t="shared" ref="CK88" si="351">CJ88</f>
        <v>1.4</v>
      </c>
      <c r="CN88" s="10"/>
      <c r="CO88" s="10"/>
      <c r="CP88" s="10"/>
      <c r="CQ88" s="10"/>
      <c r="CR88" s="10"/>
      <c r="CS88" s="10"/>
      <c r="CT88" s="10"/>
      <c r="CU88" s="10"/>
    </row>
    <row r="89" spans="1:102" s="12" customFormat="1" x14ac:dyDescent="0.2">
      <c r="A89" s="253"/>
      <c r="B89" s="88" t="s">
        <v>93</v>
      </c>
      <c r="C89" s="88" t="s">
        <v>4</v>
      </c>
      <c r="D89" s="109"/>
      <c r="E89" s="147"/>
      <c r="F89" s="26">
        <f>Мясо!F104</f>
        <v>1259.3822399999999</v>
      </c>
      <c r="G89" s="26">
        <f>Мясо!G104</f>
        <v>1313.2336699999998</v>
      </c>
      <c r="H89" s="26">
        <f>Мясо!H104</f>
        <v>1346.1668199999999</v>
      </c>
      <c r="I89" s="26">
        <f>Мясо!I104</f>
        <v>1363.7264399999999</v>
      </c>
      <c r="J89" s="26">
        <f>Мясо!J104</f>
        <v>1063.50569</v>
      </c>
      <c r="K89" s="26">
        <f>Мясо!K104</f>
        <v>1608.5838999999999</v>
      </c>
      <c r="L89" s="26">
        <f>Мясо!L104</f>
        <v>1860.5275300000001</v>
      </c>
      <c r="M89" s="26">
        <f>Мясо!M104</f>
        <v>1828.2829300000001</v>
      </c>
      <c r="N89" s="26">
        <f>Мясо!N104</f>
        <v>1829.5288800000001</v>
      </c>
      <c r="O89" s="26">
        <f>Мясо!O104</f>
        <v>1944.14075</v>
      </c>
      <c r="P89" s="26">
        <f>Мясо!P104</f>
        <v>1537.3496500000001</v>
      </c>
      <c r="Q89" s="26">
        <f>Мясо!Q104</f>
        <v>1952.9118000000001</v>
      </c>
      <c r="R89" s="26">
        <f>Мясо!R104</f>
        <v>1186</v>
      </c>
      <c r="S89" s="26">
        <f>Мясо!S104</f>
        <v>1079</v>
      </c>
      <c r="T89" s="26">
        <f>Мясо!T104</f>
        <v>1192</v>
      </c>
      <c r="U89" s="26">
        <f>Мясо!U104</f>
        <v>1352</v>
      </c>
      <c r="V89" s="26">
        <f>Мясо!V104</f>
        <v>1180</v>
      </c>
      <c r="W89" s="26">
        <f>Мясо!W104</f>
        <v>1490</v>
      </c>
      <c r="X89" s="100">
        <f>Мясо!X104</f>
        <v>2821.7647495000001</v>
      </c>
      <c r="Y89" s="100">
        <f>Мясо!Y104</f>
        <v>2760.2400625000005</v>
      </c>
      <c r="Z89" s="100">
        <f>Мясо!Z104</f>
        <v>2801.5157070000005</v>
      </c>
      <c r="AA89" s="100">
        <f>Мясо!AA104</f>
        <v>1186</v>
      </c>
      <c r="AB89" s="100">
        <f>Мясо!AB104</f>
        <v>1079</v>
      </c>
      <c r="AC89" s="100">
        <f>Мясо!AC104</f>
        <v>1192</v>
      </c>
      <c r="AD89" s="100">
        <f>Мясо!AD104</f>
        <v>1527.0810800000002</v>
      </c>
      <c r="AE89" s="100">
        <f>Мясо!AE104</f>
        <v>1614.17428</v>
      </c>
      <c r="AF89" s="100">
        <f>Мясо!AF104</f>
        <v>2017.4519199999997</v>
      </c>
      <c r="AG89" s="100">
        <f>Мясо!AG104</f>
        <v>2004</v>
      </c>
      <c r="AH89" s="100">
        <f>Мясо!AH104</f>
        <v>2084</v>
      </c>
      <c r="AI89" s="100">
        <f>Мясо!AI104</f>
        <v>2128</v>
      </c>
      <c r="AJ89" s="100">
        <f>Мясо!AJ104</f>
        <v>2260</v>
      </c>
      <c r="AK89" s="100">
        <f>Мясо!AK104</f>
        <v>3040</v>
      </c>
      <c r="AL89" s="100">
        <f>Мясо!AL104</f>
        <v>3400</v>
      </c>
      <c r="AM89" s="100">
        <f>Мясо!AM104</f>
        <v>3409.6</v>
      </c>
      <c r="AN89" s="100">
        <f>Мясо!AN104</f>
        <v>3612.8</v>
      </c>
      <c r="AO89" s="100">
        <f>Мясо!AO104</f>
        <v>4315</v>
      </c>
      <c r="AP89" s="100">
        <f>Мясо!AP104</f>
        <v>3717.05</v>
      </c>
      <c r="AQ89" s="100">
        <f>Мясо!AQ104</f>
        <v>4334.1145833333339</v>
      </c>
      <c r="AR89" s="100">
        <f>Мясо!AR104</f>
        <v>5243.6342592592582</v>
      </c>
      <c r="AS89" s="100">
        <f>Мясо!AS104</f>
        <v>5650.9124029527811</v>
      </c>
      <c r="AT89" s="100">
        <f>Мясо!AT104</f>
        <v>5886.3670864091473</v>
      </c>
      <c r="AU89" s="100">
        <f>Мясо!AU104</f>
        <v>7000</v>
      </c>
      <c r="AV89" s="100">
        <f>Мясо!AV104</f>
        <v>7000</v>
      </c>
      <c r="AW89" s="100">
        <f>Мясо!AW104</f>
        <v>5822.4116445827576</v>
      </c>
      <c r="AX89" s="100">
        <f>Мясо!AX104</f>
        <v>5647.7392952452756</v>
      </c>
      <c r="AY89" s="100">
        <f>Мясо!AY104</f>
        <v>5478.3071163879176</v>
      </c>
      <c r="AZ89" s="100">
        <f>Мясо!AZ104</f>
        <v>5204.3917605685201</v>
      </c>
      <c r="BA89" s="100">
        <f>Мясо!BA104</f>
        <v>7000</v>
      </c>
      <c r="BB89" s="100">
        <f>Мясо!BB104</f>
        <v>4307.4912655293128</v>
      </c>
      <c r="BC89" s="100">
        <f>Мясо!BC104</f>
        <v>5042.7106640625007</v>
      </c>
      <c r="BD89" s="100">
        <f>Мясо!BD104</f>
        <v>7000</v>
      </c>
      <c r="BE89" s="100">
        <f>Мясо!BE104</f>
        <v>7000</v>
      </c>
      <c r="BF89" s="100">
        <f>Мясо!BF104</f>
        <v>7000</v>
      </c>
      <c r="BG89" s="100">
        <f>Мясо!BG104</f>
        <v>7000</v>
      </c>
      <c r="BH89" s="100">
        <f>Мясо!BH104</f>
        <v>7000</v>
      </c>
      <c r="BI89" s="100">
        <f>Мясо!BI104</f>
        <v>7000</v>
      </c>
      <c r="BJ89" s="100">
        <f>Мясо!BJ104</f>
        <v>7000</v>
      </c>
      <c r="BK89" s="100">
        <f>Мясо!BK104</f>
        <v>7000</v>
      </c>
      <c r="BL89" s="100">
        <f>Мясо!BL104</f>
        <v>7000</v>
      </c>
      <c r="BM89" s="100">
        <f>Мясо!BM104</f>
        <v>7000</v>
      </c>
      <c r="BN89" s="100">
        <f>Мясо!BN104</f>
        <v>5015.8206839968316</v>
      </c>
      <c r="BO89" s="100">
        <f>Мясо!BO104</f>
        <v>5867.3094042128923</v>
      </c>
      <c r="BP89" s="100">
        <f>Мясо!BP104</f>
        <v>7000</v>
      </c>
      <c r="BQ89" s="100">
        <f>Мясо!BQ104</f>
        <v>7000</v>
      </c>
      <c r="BR89" s="100">
        <f>Мясо!BR104</f>
        <v>7000</v>
      </c>
      <c r="BS89" s="100">
        <f>Мясо!BS104</f>
        <v>7000</v>
      </c>
      <c r="BT89" s="100">
        <f>Мясо!BT104</f>
        <v>7000</v>
      </c>
      <c r="BU89" s="100">
        <f>Мясо!BU104</f>
        <v>7000</v>
      </c>
      <c r="BV89" s="100">
        <f>Мясо!BV104</f>
        <v>7000</v>
      </c>
      <c r="BW89" s="100">
        <f>Мясо!BW104</f>
        <v>7000</v>
      </c>
      <c r="BX89" s="100">
        <f>Мясо!BX104</f>
        <v>7000</v>
      </c>
      <c r="BY89" s="100">
        <f>Мясо!BY104</f>
        <v>7000</v>
      </c>
      <c r="BZ89" s="100">
        <f>Мясо!BZ104</f>
        <v>5710.0721274845664</v>
      </c>
      <c r="CA89" s="100">
        <f>Мясо!CA104</f>
        <v>7000</v>
      </c>
      <c r="CB89" s="100">
        <f>Мясо!CB104</f>
        <v>7000</v>
      </c>
      <c r="CC89" s="100">
        <f>Мясо!CC104</f>
        <v>7000</v>
      </c>
      <c r="CD89" s="100">
        <f>Мясо!CD104</f>
        <v>7000</v>
      </c>
      <c r="CE89" s="100">
        <f>Мясо!CE104</f>
        <v>7000</v>
      </c>
      <c r="CF89" s="100">
        <f>Мясо!CF104</f>
        <v>7000</v>
      </c>
      <c r="CG89" s="100">
        <f>Мясо!CG104</f>
        <v>7000</v>
      </c>
      <c r="CH89" s="100">
        <f>Мясо!CH104</f>
        <v>7000</v>
      </c>
      <c r="CI89" s="100">
        <f>Мясо!CI104</f>
        <v>7000</v>
      </c>
      <c r="CJ89" s="100">
        <f>Мясо!CJ104</f>
        <v>7000</v>
      </c>
      <c r="CK89" s="100">
        <f>Мясо!CK104</f>
        <v>7000</v>
      </c>
      <c r="CN89" s="14"/>
      <c r="CO89" s="94">
        <f>SUMIF($F$2:$CK$2,CO$3,$F89:$CK89)</f>
        <v>18907.3403</v>
      </c>
      <c r="CP89" s="94">
        <f t="shared" ref="CP89:CS98" si="352">SUMIF($L$2:$CK$2,CP$3,$L89:$CK89)</f>
        <v>19319.520519000002</v>
      </c>
      <c r="CQ89" s="94">
        <f t="shared" si="352"/>
        <v>31412.107279999997</v>
      </c>
      <c r="CR89" s="94">
        <f t="shared" si="352"/>
        <v>67984.928148739011</v>
      </c>
      <c r="CS89" s="94">
        <f t="shared" si="352"/>
        <v>79350.201929591814</v>
      </c>
      <c r="CT89" s="94">
        <f t="shared" ref="CT89:CU98" si="353">SUMIF($L$2:$CK$2,CT$3,$L89:$CK89)</f>
        <v>80883.130088209728</v>
      </c>
      <c r="CU89" s="94">
        <f t="shared" si="353"/>
        <v>82710.072127484571</v>
      </c>
      <c r="CV89" s="156"/>
      <c r="CW89" s="156"/>
      <c r="CX89" s="156"/>
    </row>
    <row r="90" spans="1:102" s="12" customFormat="1" x14ac:dyDescent="0.2">
      <c r="B90" s="88" t="s">
        <v>44</v>
      </c>
      <c r="C90" s="88" t="s">
        <v>4</v>
      </c>
      <c r="D90" s="89"/>
      <c r="E90" s="13"/>
      <c r="F90" s="94">
        <f t="shared" ref="F90:AK90" si="354">SUM(F91:F92)</f>
        <v>636.09933000000001</v>
      </c>
      <c r="G90" s="94">
        <f t="shared" si="354"/>
        <v>616.75013999999999</v>
      </c>
      <c r="H90" s="94">
        <f t="shared" si="354"/>
        <v>611.61205000000007</v>
      </c>
      <c r="I90" s="94">
        <f t="shared" si="354"/>
        <v>602.47272999999996</v>
      </c>
      <c r="J90" s="94">
        <f t="shared" si="354"/>
        <v>612.51700000000005</v>
      </c>
      <c r="K90" s="94">
        <f t="shared" si="354"/>
        <v>677.48779000000002</v>
      </c>
      <c r="L90" s="94">
        <f t="shared" si="354"/>
        <v>718.43252000000007</v>
      </c>
      <c r="M90" s="94">
        <f t="shared" si="354"/>
        <v>440.51991999999996</v>
      </c>
      <c r="N90" s="94">
        <f t="shared" si="354"/>
        <v>446.91906</v>
      </c>
      <c r="O90" s="94">
        <f t="shared" si="354"/>
        <v>513.40751999999998</v>
      </c>
      <c r="P90" s="94">
        <f t="shared" si="354"/>
        <v>666.34886999999992</v>
      </c>
      <c r="Q90" s="94">
        <f t="shared" si="354"/>
        <v>711.04537999999991</v>
      </c>
      <c r="R90" s="94">
        <f t="shared" si="354"/>
        <v>600</v>
      </c>
      <c r="S90" s="94">
        <f t="shared" si="354"/>
        <v>700</v>
      </c>
      <c r="T90" s="94">
        <f t="shared" si="354"/>
        <v>700</v>
      </c>
      <c r="U90" s="94">
        <f t="shared" si="354"/>
        <v>700</v>
      </c>
      <c r="V90" s="94">
        <f t="shared" si="354"/>
        <v>700</v>
      </c>
      <c r="W90" s="94">
        <f t="shared" si="354"/>
        <v>700</v>
      </c>
      <c r="X90" s="94">
        <f t="shared" si="354"/>
        <v>770</v>
      </c>
      <c r="Y90" s="94">
        <f t="shared" si="354"/>
        <v>770</v>
      </c>
      <c r="Z90" s="94">
        <f t="shared" si="354"/>
        <v>775</v>
      </c>
      <c r="AA90" s="94">
        <f t="shared" si="354"/>
        <v>775</v>
      </c>
      <c r="AB90" s="94">
        <f t="shared" si="354"/>
        <v>775</v>
      </c>
      <c r="AC90" s="94">
        <f t="shared" si="354"/>
        <v>775</v>
      </c>
      <c r="AD90" s="94">
        <f t="shared" si="354"/>
        <v>874</v>
      </c>
      <c r="AE90" s="94">
        <f t="shared" si="354"/>
        <v>949</v>
      </c>
      <c r="AF90" s="94">
        <f t="shared" si="354"/>
        <v>949</v>
      </c>
      <c r="AG90" s="94">
        <f t="shared" si="354"/>
        <v>949</v>
      </c>
      <c r="AH90" s="94">
        <f t="shared" si="354"/>
        <v>949</v>
      </c>
      <c r="AI90" s="94">
        <f t="shared" si="354"/>
        <v>949</v>
      </c>
      <c r="AJ90" s="94">
        <f t="shared" si="354"/>
        <v>1009</v>
      </c>
      <c r="AK90" s="94">
        <f t="shared" si="354"/>
        <v>1009</v>
      </c>
      <c r="AL90" s="94">
        <f t="shared" ref="AL90:BQ90" si="355">SUM(AL91:AL92)</f>
        <v>1009</v>
      </c>
      <c r="AM90" s="94">
        <f t="shared" si="355"/>
        <v>1009</v>
      </c>
      <c r="AN90" s="94">
        <f t="shared" si="355"/>
        <v>1009</v>
      </c>
      <c r="AO90" s="94">
        <f t="shared" si="355"/>
        <v>1009</v>
      </c>
      <c r="AP90" s="94">
        <f t="shared" si="355"/>
        <v>1081.43</v>
      </c>
      <c r="AQ90" s="94">
        <f t="shared" si="355"/>
        <v>1081.43</v>
      </c>
      <c r="AR90" s="94">
        <f t="shared" si="355"/>
        <v>1081.43</v>
      </c>
      <c r="AS90" s="94">
        <f t="shared" si="355"/>
        <v>1081.43</v>
      </c>
      <c r="AT90" s="94">
        <f t="shared" si="355"/>
        <v>1081.43</v>
      </c>
      <c r="AU90" s="94">
        <f t="shared" si="355"/>
        <v>1081.43</v>
      </c>
      <c r="AV90" s="94">
        <f t="shared" si="355"/>
        <v>1081.43</v>
      </c>
      <c r="AW90" s="94">
        <f t="shared" si="355"/>
        <v>1081.43</v>
      </c>
      <c r="AX90" s="94">
        <f t="shared" si="355"/>
        <v>1126.43</v>
      </c>
      <c r="AY90" s="94">
        <f t="shared" si="355"/>
        <v>1126.43</v>
      </c>
      <c r="AZ90" s="94">
        <f t="shared" si="355"/>
        <v>1126.43</v>
      </c>
      <c r="BA90" s="94">
        <f t="shared" si="355"/>
        <v>1126.43</v>
      </c>
      <c r="BB90" s="94">
        <f t="shared" si="355"/>
        <v>1182.5300999999999</v>
      </c>
      <c r="BC90" s="94">
        <f t="shared" si="355"/>
        <v>1182.5300999999999</v>
      </c>
      <c r="BD90" s="94">
        <f t="shared" si="355"/>
        <v>1182.5300999999999</v>
      </c>
      <c r="BE90" s="94">
        <f t="shared" si="355"/>
        <v>1182.5300999999999</v>
      </c>
      <c r="BF90" s="94">
        <f t="shared" si="355"/>
        <v>1182.5300999999999</v>
      </c>
      <c r="BG90" s="94">
        <f t="shared" si="355"/>
        <v>1182.5300999999999</v>
      </c>
      <c r="BH90" s="94">
        <f t="shared" si="355"/>
        <v>1182.5300999999999</v>
      </c>
      <c r="BI90" s="94">
        <f t="shared" si="355"/>
        <v>1182.5300999999999</v>
      </c>
      <c r="BJ90" s="94">
        <f t="shared" si="355"/>
        <v>1182.5300999999999</v>
      </c>
      <c r="BK90" s="94">
        <f t="shared" si="355"/>
        <v>1182.5300999999999</v>
      </c>
      <c r="BL90" s="94">
        <f t="shared" si="355"/>
        <v>1182.5300999999999</v>
      </c>
      <c r="BM90" s="94">
        <f t="shared" si="355"/>
        <v>1182.5300999999999</v>
      </c>
      <c r="BN90" s="94">
        <f t="shared" si="355"/>
        <v>1242.5572070000001</v>
      </c>
      <c r="BO90" s="94">
        <f t="shared" si="355"/>
        <v>1242.5572070000001</v>
      </c>
      <c r="BP90" s="94">
        <f t="shared" si="355"/>
        <v>1242.5572070000001</v>
      </c>
      <c r="BQ90" s="94">
        <f t="shared" si="355"/>
        <v>1242.5572070000001</v>
      </c>
      <c r="BR90" s="94">
        <f t="shared" ref="BR90:BX90" si="356">SUM(BR91:BR92)</f>
        <v>1242.5572070000001</v>
      </c>
      <c r="BS90" s="94">
        <f t="shared" si="356"/>
        <v>1242.5572070000001</v>
      </c>
      <c r="BT90" s="94">
        <f t="shared" si="356"/>
        <v>1242.5572070000001</v>
      </c>
      <c r="BU90" s="94">
        <f t="shared" si="356"/>
        <v>1242.5572070000001</v>
      </c>
      <c r="BV90" s="94">
        <f t="shared" si="356"/>
        <v>1242.5572070000001</v>
      </c>
      <c r="BW90" s="94">
        <f t="shared" si="356"/>
        <v>1242.5572070000001</v>
      </c>
      <c r="BX90" s="94">
        <f t="shared" si="356"/>
        <v>1242.5572070000001</v>
      </c>
      <c r="BY90" s="94">
        <f t="shared" ref="BY90:CK90" si="357">SUM(BY91:BY92)</f>
        <v>1242.5572070000001</v>
      </c>
      <c r="BZ90" s="94">
        <f t="shared" si="357"/>
        <v>1242.5572070000001</v>
      </c>
      <c r="CA90" s="94">
        <f t="shared" si="357"/>
        <v>1242.5572070000001</v>
      </c>
      <c r="CB90" s="94">
        <f t="shared" si="357"/>
        <v>1242.5572070000001</v>
      </c>
      <c r="CC90" s="94">
        <f t="shared" si="357"/>
        <v>1242.5572070000001</v>
      </c>
      <c r="CD90" s="94">
        <f t="shared" si="357"/>
        <v>1242.5572070000001</v>
      </c>
      <c r="CE90" s="94">
        <f t="shared" si="357"/>
        <v>1242.5572070000001</v>
      </c>
      <c r="CF90" s="94">
        <f t="shared" si="357"/>
        <v>1242.5572070000001</v>
      </c>
      <c r="CG90" s="94">
        <f t="shared" si="357"/>
        <v>1242.5572070000001</v>
      </c>
      <c r="CH90" s="94">
        <f t="shared" si="357"/>
        <v>1242.5572070000001</v>
      </c>
      <c r="CI90" s="94">
        <f t="shared" si="357"/>
        <v>1242.5572070000001</v>
      </c>
      <c r="CJ90" s="94">
        <f t="shared" si="357"/>
        <v>1242.5572070000001</v>
      </c>
      <c r="CK90" s="94">
        <f t="shared" si="357"/>
        <v>1242.5572070000001</v>
      </c>
      <c r="CN90" s="14"/>
      <c r="CO90" s="94">
        <f>SUMIF($F$2:$CK$2,CO$3,$F90:$CK90)</f>
        <v>7253.6123099999995</v>
      </c>
      <c r="CP90" s="94">
        <f t="shared" si="352"/>
        <v>8740</v>
      </c>
      <c r="CQ90" s="94">
        <f t="shared" si="352"/>
        <v>11673</v>
      </c>
      <c r="CR90" s="94">
        <f t="shared" si="352"/>
        <v>13157.160000000002</v>
      </c>
      <c r="CS90" s="94">
        <f t="shared" si="352"/>
        <v>14190.361199999999</v>
      </c>
      <c r="CT90" s="94">
        <f t="shared" si="353"/>
        <v>14910.686484</v>
      </c>
      <c r="CU90" s="94">
        <f t="shared" si="353"/>
        <v>14910.686484</v>
      </c>
      <c r="CV90" s="156"/>
      <c r="CW90" s="156"/>
      <c r="CX90" s="156"/>
    </row>
    <row r="91" spans="1:102" s="12" customFormat="1" outlineLevel="1" x14ac:dyDescent="0.2">
      <c r="B91" s="95" t="s">
        <v>90</v>
      </c>
      <c r="C91" s="97" t="s">
        <v>4</v>
      </c>
      <c r="D91" s="89"/>
      <c r="E91" s="13"/>
      <c r="F91" s="10">
        <f>Мясо!F105</f>
        <v>636.09933000000001</v>
      </c>
      <c r="G91" s="10">
        <f>Мясо!G105</f>
        <v>616.75013999999999</v>
      </c>
      <c r="H91" s="10">
        <f>Мясо!H105</f>
        <v>611.61205000000007</v>
      </c>
      <c r="I91" s="10">
        <f>Мясо!I105</f>
        <v>602.47272999999996</v>
      </c>
      <c r="J91" s="10">
        <f>Мясо!J105</f>
        <v>612.51700000000005</v>
      </c>
      <c r="K91" s="10">
        <f>Мясо!K105</f>
        <v>677.48779000000002</v>
      </c>
      <c r="L91" s="10">
        <f>Мясо!L105</f>
        <v>678.43252000000007</v>
      </c>
      <c r="M91" s="10">
        <f>Мясо!M105</f>
        <v>400.51991999999996</v>
      </c>
      <c r="N91" s="10">
        <f>Мясо!N105</f>
        <v>406.91906</v>
      </c>
      <c r="O91" s="10">
        <f>Мясо!O105</f>
        <v>473.40751999999998</v>
      </c>
      <c r="P91" s="10">
        <f>Мясо!P105</f>
        <v>626.34886999999992</v>
      </c>
      <c r="Q91" s="10">
        <f>Мясо!Q105</f>
        <v>671.04537999999991</v>
      </c>
      <c r="R91" s="10">
        <f>Мясо!R105</f>
        <v>600</v>
      </c>
      <c r="S91" s="8">
        <f>Мясо!S105</f>
        <v>700</v>
      </c>
      <c r="T91" s="8">
        <f>Мясо!T105</f>
        <v>700</v>
      </c>
      <c r="U91" s="8">
        <f>Мясо!U105</f>
        <v>700</v>
      </c>
      <c r="V91" s="8">
        <f>Мясо!V105</f>
        <v>700</v>
      </c>
      <c r="W91" s="8">
        <f>Мясо!W105</f>
        <v>700</v>
      </c>
      <c r="X91" s="8">
        <f>Мясо!X105</f>
        <v>700</v>
      </c>
      <c r="Y91" s="8">
        <f>Мясо!Y105</f>
        <v>700</v>
      </c>
      <c r="Z91" s="8">
        <f>Мясо!Z105</f>
        <v>700</v>
      </c>
      <c r="AA91" s="8">
        <f>Мясо!AA105</f>
        <v>700</v>
      </c>
      <c r="AB91" s="8">
        <f>Мясо!AB105</f>
        <v>700</v>
      </c>
      <c r="AC91" s="8">
        <f>Мясо!AC105</f>
        <v>700</v>
      </c>
      <c r="AD91" s="8">
        <f>Мясо!AD105</f>
        <v>749</v>
      </c>
      <c r="AE91" s="8">
        <f>Мясо!AE105</f>
        <v>749</v>
      </c>
      <c r="AF91" s="8">
        <f>Мясо!AF105</f>
        <v>749</v>
      </c>
      <c r="AG91" s="8">
        <f>Мясо!AG105</f>
        <v>749</v>
      </c>
      <c r="AH91" s="8">
        <f>Мясо!AH105</f>
        <v>749</v>
      </c>
      <c r="AI91" s="397">
        <f>Мясо!AI105</f>
        <v>749</v>
      </c>
      <c r="AJ91" s="397">
        <f>Мясо!AJ105</f>
        <v>749</v>
      </c>
      <c r="AK91" s="397">
        <f>Мясо!AK105</f>
        <v>749</v>
      </c>
      <c r="AL91" s="397">
        <f>Мясо!AL105</f>
        <v>749</v>
      </c>
      <c r="AM91" s="397">
        <f>Мясо!AM105</f>
        <v>749</v>
      </c>
      <c r="AN91" s="397">
        <f>Мясо!AN105</f>
        <v>749</v>
      </c>
      <c r="AO91" s="397">
        <f>Мясо!AO105</f>
        <v>749</v>
      </c>
      <c r="AP91" s="397">
        <f>Мясо!AP105</f>
        <v>801.43000000000006</v>
      </c>
      <c r="AQ91" s="397">
        <f>Мясо!AQ105</f>
        <v>801.43000000000006</v>
      </c>
      <c r="AR91" s="397">
        <f>Мясо!AR105</f>
        <v>801.43000000000006</v>
      </c>
      <c r="AS91" s="397">
        <f>Мясо!AS105</f>
        <v>801.43000000000006</v>
      </c>
      <c r="AT91" s="397">
        <f>Мясо!AT105</f>
        <v>801.43000000000006</v>
      </c>
      <c r="AU91" s="397">
        <f>Мясо!AU105</f>
        <v>801.43000000000006</v>
      </c>
      <c r="AV91" s="397">
        <f>Мясо!AV105</f>
        <v>801.43000000000006</v>
      </c>
      <c r="AW91" s="397">
        <f>Мясо!AW105</f>
        <v>801.43000000000006</v>
      </c>
      <c r="AX91" s="397">
        <f>Мясо!AX105</f>
        <v>801.43000000000006</v>
      </c>
      <c r="AY91" s="397">
        <f>Мясо!AY105</f>
        <v>801.43000000000006</v>
      </c>
      <c r="AZ91" s="397">
        <f>Мясо!AZ105</f>
        <v>801.43000000000006</v>
      </c>
      <c r="BA91" s="397">
        <f>Мясо!BA105</f>
        <v>801.43000000000006</v>
      </c>
      <c r="BB91" s="397">
        <f>Мясо!BB105</f>
        <v>857.53010000000006</v>
      </c>
      <c r="BC91" s="397">
        <f>Мясо!BC105</f>
        <v>857.53010000000006</v>
      </c>
      <c r="BD91" s="397">
        <f>Мясо!BD105</f>
        <v>857.53010000000006</v>
      </c>
      <c r="BE91" s="397">
        <f>Мясо!BE105</f>
        <v>857.53010000000006</v>
      </c>
      <c r="BF91" s="397">
        <f>Мясо!BF105</f>
        <v>857.53010000000006</v>
      </c>
      <c r="BG91" s="397">
        <f>Мясо!BG105</f>
        <v>857.53010000000006</v>
      </c>
      <c r="BH91" s="397">
        <f>Мясо!BH105</f>
        <v>857.53010000000006</v>
      </c>
      <c r="BI91" s="397">
        <f>Мясо!BI105</f>
        <v>857.53010000000006</v>
      </c>
      <c r="BJ91" s="397">
        <f>Мясо!BJ105</f>
        <v>857.53010000000006</v>
      </c>
      <c r="BK91" s="397">
        <f>Мясо!BK105</f>
        <v>857.53010000000006</v>
      </c>
      <c r="BL91" s="397">
        <f>Мясо!BL105</f>
        <v>857.53010000000006</v>
      </c>
      <c r="BM91" s="397">
        <f>Мясо!BM105</f>
        <v>857.53010000000006</v>
      </c>
      <c r="BN91" s="397">
        <f>Мясо!BN105</f>
        <v>917.55720700000006</v>
      </c>
      <c r="BO91" s="397">
        <f>Мясо!BO105</f>
        <v>917.55720700000006</v>
      </c>
      <c r="BP91" s="397">
        <f>Мясо!BP105</f>
        <v>917.55720700000006</v>
      </c>
      <c r="BQ91" s="397">
        <f>Мясо!BQ105</f>
        <v>917.55720700000006</v>
      </c>
      <c r="BR91" s="397">
        <f>Мясо!BR105</f>
        <v>917.55720700000006</v>
      </c>
      <c r="BS91" s="397">
        <f>Мясо!BS105</f>
        <v>917.55720700000006</v>
      </c>
      <c r="BT91" s="397">
        <f>Мясо!BT105</f>
        <v>917.55720700000006</v>
      </c>
      <c r="BU91" s="397">
        <f>Мясо!BU105</f>
        <v>917.55720700000006</v>
      </c>
      <c r="BV91" s="397">
        <f>Мясо!BV105</f>
        <v>917.55720700000006</v>
      </c>
      <c r="BW91" s="397">
        <f>Мясо!BW105</f>
        <v>917.55720700000006</v>
      </c>
      <c r="BX91" s="397">
        <f>Мясо!BX105</f>
        <v>917.55720700000006</v>
      </c>
      <c r="BY91" s="397">
        <f>Мясо!BY105</f>
        <v>917.55720700000006</v>
      </c>
      <c r="BZ91" s="397">
        <f>Мясо!BZ105</f>
        <v>917.55720700000006</v>
      </c>
      <c r="CA91" s="397">
        <f>Мясо!CA105</f>
        <v>917.55720700000006</v>
      </c>
      <c r="CB91" s="397">
        <f>Мясо!CB105</f>
        <v>917.55720700000006</v>
      </c>
      <c r="CC91" s="397">
        <f>Мясо!CC105</f>
        <v>917.55720700000006</v>
      </c>
      <c r="CD91" s="397">
        <f>Мясо!CD105</f>
        <v>917.55720700000006</v>
      </c>
      <c r="CE91" s="397">
        <f>Мясо!CE105</f>
        <v>917.55720700000006</v>
      </c>
      <c r="CF91" s="397">
        <f>Мясо!CF105</f>
        <v>917.55720700000006</v>
      </c>
      <c r="CG91" s="397">
        <f>Мясо!CG105</f>
        <v>917.55720700000006</v>
      </c>
      <c r="CH91" s="397">
        <f>Мясо!CH105</f>
        <v>917.55720700000006</v>
      </c>
      <c r="CI91" s="397">
        <f>Мясо!CI105</f>
        <v>917.55720700000006</v>
      </c>
      <c r="CJ91" s="397">
        <f>Мясо!CJ105</f>
        <v>917.55720700000006</v>
      </c>
      <c r="CK91" s="397">
        <f>Мясо!CK105</f>
        <v>917.55720700000006</v>
      </c>
      <c r="CN91" s="10"/>
      <c r="CO91" s="10">
        <f>SUMIF($F$2:$CK$2,CO$3,$F91:$CK91)</f>
        <v>7013.6123099999995</v>
      </c>
      <c r="CP91" s="10">
        <f t="shared" si="352"/>
        <v>8300</v>
      </c>
      <c r="CQ91" s="10">
        <f t="shared" si="352"/>
        <v>8988</v>
      </c>
      <c r="CR91" s="10">
        <f t="shared" si="352"/>
        <v>9617.1600000000017</v>
      </c>
      <c r="CS91" s="10">
        <f t="shared" si="352"/>
        <v>10290.361200000001</v>
      </c>
      <c r="CT91" s="10">
        <f t="shared" si="353"/>
        <v>11010.686484</v>
      </c>
      <c r="CU91" s="10">
        <f t="shared" si="353"/>
        <v>11010.686484</v>
      </c>
      <c r="CV91" s="156"/>
      <c r="CW91" s="156"/>
      <c r="CX91" s="156"/>
    </row>
    <row r="92" spans="1:102" s="12" customFormat="1" outlineLevel="1" x14ac:dyDescent="0.2">
      <c r="B92" s="95" t="s">
        <v>282</v>
      </c>
      <c r="C92" s="97" t="s">
        <v>4</v>
      </c>
      <c r="D92" s="89"/>
      <c r="E92" s="13"/>
      <c r="F92" s="22">
        <f>Пицца!F81+Снеки!F80+'Мясная гастрономия'!F80+Сыр!F81+'Кондитерские изделия'!F80</f>
        <v>0</v>
      </c>
      <c r="G92" s="22">
        <f>Пицца!G81+Снеки!G80+'Мясная гастрономия'!G80+Сыр!G81+'Кондитерские изделия'!G80</f>
        <v>0</v>
      </c>
      <c r="H92" s="22">
        <f>Пицца!H81+Снеки!H80+'Мясная гастрономия'!H80+Сыр!H81+'Кондитерские изделия'!H80</f>
        <v>0</v>
      </c>
      <c r="I92" s="22">
        <f>Пицца!I81+Снеки!I80+'Мясная гастрономия'!I80+Сыр!I81+'Кондитерские изделия'!I80</f>
        <v>0</v>
      </c>
      <c r="J92" s="22">
        <f>Пицца!J81+Снеки!J80+'Мясная гастрономия'!J80+Сыр!J81+'Кондитерские изделия'!J80</f>
        <v>0</v>
      </c>
      <c r="K92" s="22">
        <f>Пицца!K81+Снеки!K80+'Мясная гастрономия'!K80+Сыр!K81+'Кондитерские изделия'!K80</f>
        <v>0</v>
      </c>
      <c r="L92" s="22">
        <f>Пицца!L81+Снеки!L80+'Мясная гастрономия'!L80+Сыр!L81+'Кондитерские изделия'!L80</f>
        <v>40</v>
      </c>
      <c r="M92" s="22">
        <f>Пицца!M81+Снеки!M80+'Мясная гастрономия'!M80+Сыр!M81+'Кондитерские изделия'!M80</f>
        <v>40</v>
      </c>
      <c r="N92" s="22">
        <f>Пицца!N81+Снеки!N80+'Мясная гастрономия'!N80+Сыр!N81+'Кондитерские изделия'!N80</f>
        <v>40</v>
      </c>
      <c r="O92" s="22">
        <f>Пицца!O81+Снеки!O80+'Мясная гастрономия'!O80+Сыр!O81+'Кондитерские изделия'!O80</f>
        <v>40</v>
      </c>
      <c r="P92" s="22">
        <f>Пицца!P81+Снеки!P80+'Мясная гастрономия'!P80+Сыр!P81+'Кондитерские изделия'!P80</f>
        <v>40</v>
      </c>
      <c r="Q92" s="22">
        <f>Пицца!Q81+Снеки!Q80+'Мясная гастрономия'!Q80+Сыр!Q81+'Кондитерские изделия'!Q80</f>
        <v>40</v>
      </c>
      <c r="R92" s="22">
        <f>Пицца!R81+Снеки!R80+'Мясная гастрономия'!R80+Сыр!R81+'Кондитерские изделия'!R80</f>
        <v>0</v>
      </c>
      <c r="S92" s="22">
        <f>Пицца!S81+Снеки!S80+'Мясная гастрономия'!S80+Сыр!S81+'Кондитерские изделия'!S80</f>
        <v>0</v>
      </c>
      <c r="T92" s="22">
        <f>Пицца!T81+Снеки!T80+'Мясная гастрономия'!T80+Сыр!T81+'Кондитерские изделия'!T80</f>
        <v>0</v>
      </c>
      <c r="U92" s="22">
        <f>Пицца!U81+Снеки!U80+'Мясная гастрономия'!U80+Сыр!U81+'Кондитерские изделия'!U80</f>
        <v>0</v>
      </c>
      <c r="V92" s="22">
        <f>Пицца!V81+Снеки!V80+'Мясная гастрономия'!V80+Сыр!V81+'Кондитерские изделия'!V80</f>
        <v>0</v>
      </c>
      <c r="W92" s="22">
        <f>Пицца!W81+Снеки!W80+'Мясная гастрономия'!W80+Сыр!W81+'Кондитерские изделия'!W80</f>
        <v>0</v>
      </c>
      <c r="X92" s="22">
        <f>Пицца!X81+Снеки!X80+'Мясная гастрономия'!X80+Сыр!X81+'Кондитерские изделия'!X80</f>
        <v>70</v>
      </c>
      <c r="Y92" s="22">
        <f>Пицца!Y81+Снеки!Y80+'Мясная гастрономия'!Y80+Сыр!Y81+'Кондитерские изделия'!Y80</f>
        <v>70</v>
      </c>
      <c r="Z92" s="22">
        <f>Пицца!Z81+Снеки!Z80+'Мясная гастрономия'!Z80+Сыр!Z81+'Кондитерские изделия'!Z80</f>
        <v>75</v>
      </c>
      <c r="AA92" s="22">
        <f>Пицца!AA81+Снеки!AA80+'Мясная гастрономия'!AA80+Сыр!AA81+'Кондитерские изделия'!AA80</f>
        <v>75</v>
      </c>
      <c r="AB92" s="22">
        <f>Пицца!AB81+Снеки!AB80+'Мясная гастрономия'!AB80+Сыр!AB81+'Кондитерские изделия'!AB80</f>
        <v>75</v>
      </c>
      <c r="AC92" s="22">
        <f>Пицца!AC81+Снеки!AC80+'Мясная гастрономия'!AC80+Сыр!AC81+'Кондитерские изделия'!AC80</f>
        <v>75</v>
      </c>
      <c r="AD92" s="22">
        <f>Пицца!AD81+Снеки!AD80+'Мясная гастрономия'!AD80+Сыр!AD81+'Кондитерские изделия'!AD80</f>
        <v>125</v>
      </c>
      <c r="AE92" s="22">
        <f>Пицца!AE81+Снеки!AE80+'Мясная гастрономия'!AE80+Сыр!AE81+'Кондитерские изделия'!AE80</f>
        <v>200</v>
      </c>
      <c r="AF92" s="22">
        <f>Пицца!AF81+Снеки!AF80+'Мясная гастрономия'!AF80+Сыр!AF81+'Кондитерские изделия'!AF80</f>
        <v>200</v>
      </c>
      <c r="AG92" s="22">
        <f>Пицца!AG81+Снеки!AG80+'Мясная гастрономия'!AG80+Сыр!AG81+'Кондитерские изделия'!AG80</f>
        <v>200</v>
      </c>
      <c r="AH92" s="22">
        <f>Пицца!AH81+Снеки!AH80+'Мясная гастрономия'!AH80+Сыр!AH81+'Кондитерские изделия'!AH80</f>
        <v>200</v>
      </c>
      <c r="AI92" s="22">
        <f>Пицца!AI81+Снеки!AI80+'Мясная гастрономия'!AI80+Сыр!AI81+'Кондитерские изделия'!AI80</f>
        <v>200</v>
      </c>
      <c r="AJ92" s="22">
        <f>Пицца!AJ81+Снеки!AJ80+'Мясная гастрономия'!AJ80+Сыр!AJ81+'Кондитерские изделия'!AJ80</f>
        <v>260</v>
      </c>
      <c r="AK92" s="22">
        <f>Пицца!AK81+Снеки!AK80+'Мясная гастрономия'!AK80+Сыр!AK81+'Кондитерские изделия'!AK80</f>
        <v>260</v>
      </c>
      <c r="AL92" s="22">
        <f>Пицца!AL81+Снеки!AL80+'Мясная гастрономия'!AL80+Сыр!AL81+'Кондитерские изделия'!AL80</f>
        <v>260</v>
      </c>
      <c r="AM92" s="22">
        <f>Пицца!AM81+Снеки!AM80+'Мясная гастрономия'!AM80+Сыр!AM81+'Кондитерские изделия'!AM80</f>
        <v>260</v>
      </c>
      <c r="AN92" s="22">
        <f>Пицца!AN81+Снеки!AN80+'Мясная гастрономия'!AN80+Сыр!AN81+'Кондитерские изделия'!AN80</f>
        <v>260</v>
      </c>
      <c r="AO92" s="22">
        <f>Пицца!AO81+Снеки!AO80+'Мясная гастрономия'!AO80+Сыр!AO81+'Кондитерские изделия'!AO80</f>
        <v>260</v>
      </c>
      <c r="AP92" s="22">
        <f>Пицца!AP81+Снеки!AP80+'Мясная гастрономия'!AP80+Сыр!AP81+'Кондитерские изделия'!AP80</f>
        <v>280</v>
      </c>
      <c r="AQ92" s="22">
        <f>Пицца!AQ81+Снеки!AQ80+'Мясная гастрономия'!AQ80+Сыр!AQ81+'Кондитерские изделия'!AQ80</f>
        <v>280</v>
      </c>
      <c r="AR92" s="22">
        <f>Пицца!AR81+Снеки!AR80+'Мясная гастрономия'!AR80+Сыр!AR81+'Кондитерские изделия'!AR80</f>
        <v>280</v>
      </c>
      <c r="AS92" s="22">
        <f>Пицца!AS81+Снеки!AS80+'Мясная гастрономия'!AS80+Сыр!AS81+'Кондитерские изделия'!AS80</f>
        <v>280</v>
      </c>
      <c r="AT92" s="22">
        <f>Пицца!AT81+Снеки!AT80+'Мясная гастрономия'!AT80+Сыр!AT81+'Кондитерские изделия'!AT80</f>
        <v>280</v>
      </c>
      <c r="AU92" s="22">
        <f>Пицца!AU81+Снеки!AU80+'Мясная гастрономия'!AU80+Сыр!AU81+'Кондитерские изделия'!AU80</f>
        <v>280</v>
      </c>
      <c r="AV92" s="22">
        <f>Пицца!AV81+Снеки!AV80+'Мясная гастрономия'!AV80+Сыр!AV81+'Кондитерские изделия'!AV80</f>
        <v>280</v>
      </c>
      <c r="AW92" s="22">
        <f>Пицца!AW81+Снеки!AW80+'Мясная гастрономия'!AW80+Сыр!AW81+'Кондитерские изделия'!AW80</f>
        <v>280</v>
      </c>
      <c r="AX92" s="22">
        <f>Пицца!AX81+Снеки!AX80+'Мясная гастрономия'!AX80+Сыр!AX81+'Кондитерские изделия'!AX80</f>
        <v>325</v>
      </c>
      <c r="AY92" s="22">
        <f>Пицца!AY81+Снеки!AY80+'Мясная гастрономия'!AY80+Сыр!AY81+'Кондитерские изделия'!AY80</f>
        <v>325</v>
      </c>
      <c r="AZ92" s="22">
        <f>Пицца!AZ81+Снеки!AZ80+'Мясная гастрономия'!AZ80+Сыр!AZ81+'Кондитерские изделия'!AZ80</f>
        <v>325</v>
      </c>
      <c r="BA92" s="22">
        <f>Пицца!BA81+Снеки!BA80+'Мясная гастрономия'!BA80+Сыр!BA81+'Кондитерские изделия'!BA80</f>
        <v>325</v>
      </c>
      <c r="BB92" s="22">
        <f>Пицца!BB81+Снеки!BB80+'Мясная гастрономия'!BB80+Сыр!BB81+'Кондитерские изделия'!BB80</f>
        <v>325</v>
      </c>
      <c r="BC92" s="22">
        <f>Пицца!BC81+Снеки!BC80+'Мясная гастрономия'!BC80+Сыр!BC81+'Кондитерские изделия'!BC80</f>
        <v>325</v>
      </c>
      <c r="BD92" s="22">
        <f>Пицца!BD81+Снеки!BD80+'Мясная гастрономия'!BD80+Сыр!BD81+'Кондитерские изделия'!BD80</f>
        <v>325</v>
      </c>
      <c r="BE92" s="22">
        <f>Пицца!BE81+Снеки!BE80+'Мясная гастрономия'!BE80+Сыр!BE81+'Кондитерские изделия'!BE80</f>
        <v>325</v>
      </c>
      <c r="BF92" s="22">
        <f>Пицца!BF81+Снеки!BF80+'Мясная гастрономия'!BF80+Сыр!BF81+'Кондитерские изделия'!BF80</f>
        <v>325</v>
      </c>
      <c r="BG92" s="22">
        <f>Пицца!BG81+Снеки!BG80+'Мясная гастрономия'!BG80+Сыр!BG81+'Кондитерские изделия'!BG80</f>
        <v>325</v>
      </c>
      <c r="BH92" s="22">
        <f>Пицца!BH81+Снеки!BH80+'Мясная гастрономия'!BH80+Сыр!BH81+'Кондитерские изделия'!BH80</f>
        <v>325</v>
      </c>
      <c r="BI92" s="22">
        <f>Пицца!BI81+Снеки!BI80+'Мясная гастрономия'!BI80+Сыр!BI81+'Кондитерские изделия'!BI80</f>
        <v>325</v>
      </c>
      <c r="BJ92" s="22">
        <f>Пицца!BJ81+Снеки!BJ80+'Мясная гастрономия'!BJ80+Сыр!BJ81+'Кондитерские изделия'!BJ80</f>
        <v>325</v>
      </c>
      <c r="BK92" s="22">
        <f>Пицца!BK81+Снеки!BK80+'Мясная гастрономия'!BK80+Сыр!BK81+'Кондитерские изделия'!BK80</f>
        <v>325</v>
      </c>
      <c r="BL92" s="22">
        <f>Пицца!BL81+Снеки!BL80+'Мясная гастрономия'!BL80+Сыр!BL81+'Кондитерские изделия'!BL80</f>
        <v>325</v>
      </c>
      <c r="BM92" s="22">
        <f>Пицца!BM81+Снеки!BM80+'Мясная гастрономия'!BM80+Сыр!BM81+'Кондитерские изделия'!BM80</f>
        <v>325</v>
      </c>
      <c r="BN92" s="22">
        <f>Пицца!BN81+Снеки!BN80+'Мясная гастрономия'!BN80+Сыр!BN81+'Кондитерские изделия'!BN80</f>
        <v>325</v>
      </c>
      <c r="BO92" s="22">
        <f>Пицца!BO81+Снеки!BO80+'Мясная гастрономия'!BO80+Сыр!BO81+'Кондитерские изделия'!BO80</f>
        <v>325</v>
      </c>
      <c r="BP92" s="22">
        <f>Пицца!BP81+Снеки!BP80+'Мясная гастрономия'!BP80+Сыр!BP81+'Кондитерские изделия'!BP80</f>
        <v>325</v>
      </c>
      <c r="BQ92" s="22">
        <f>Пицца!BQ81+Снеки!BQ80+'Мясная гастрономия'!BQ80+Сыр!BQ81+'Кондитерские изделия'!BQ80</f>
        <v>325</v>
      </c>
      <c r="BR92" s="22">
        <f>Пицца!BR81+Снеки!BR80+'Мясная гастрономия'!BR80+Сыр!BR81+'Кондитерские изделия'!BR80</f>
        <v>325</v>
      </c>
      <c r="BS92" s="22">
        <f>Пицца!BS81+Снеки!BS80+'Мясная гастрономия'!BS80+Сыр!BS81+'Кондитерские изделия'!BS80</f>
        <v>325</v>
      </c>
      <c r="BT92" s="22">
        <f>Пицца!BT81+Снеки!BT80+'Мясная гастрономия'!BT80+Сыр!BT81+'Кондитерские изделия'!BT80</f>
        <v>325</v>
      </c>
      <c r="BU92" s="22">
        <f>Пицца!BU81+Снеки!BU80+'Мясная гастрономия'!BU80+Сыр!BU81+'Кондитерские изделия'!BU80</f>
        <v>325</v>
      </c>
      <c r="BV92" s="22">
        <f>Пицца!BV81+Снеки!BV80+'Мясная гастрономия'!BV80+Сыр!BV81+'Кондитерские изделия'!BV80</f>
        <v>325</v>
      </c>
      <c r="BW92" s="22">
        <f>Пицца!BW81+Снеки!BW80+'Мясная гастрономия'!BW80+Сыр!BW81+'Кондитерские изделия'!BW80</f>
        <v>325</v>
      </c>
      <c r="BX92" s="22">
        <f>Пицца!BX81+Снеки!BX80+'Мясная гастрономия'!BX80+Сыр!BX81+'Кондитерские изделия'!BX80</f>
        <v>325</v>
      </c>
      <c r="BY92" s="22">
        <f>Пицца!BY81+Снеки!BY80+'Мясная гастрономия'!BY80+Сыр!BY81+'Кондитерские изделия'!BY80</f>
        <v>325</v>
      </c>
      <c r="BZ92" s="22">
        <f>Пицца!BZ81+Снеки!BZ80+'Мясная гастрономия'!BZ80+Сыр!BZ81+'Кондитерские изделия'!BZ80</f>
        <v>325</v>
      </c>
      <c r="CA92" s="22">
        <f>Пицца!CA81+Снеки!CA80+'Мясная гастрономия'!CA80+Сыр!CA81+'Кондитерские изделия'!CA80</f>
        <v>325</v>
      </c>
      <c r="CB92" s="22">
        <f>Пицца!CB81+Снеки!CB80+'Мясная гастрономия'!CB80+Сыр!CB81+'Кондитерские изделия'!CB80</f>
        <v>325</v>
      </c>
      <c r="CC92" s="22">
        <f>Пицца!CC81+Снеки!CC80+'Мясная гастрономия'!CC80+Сыр!CC81+'Кондитерские изделия'!CC80</f>
        <v>325</v>
      </c>
      <c r="CD92" s="22">
        <f>Пицца!CD81+Снеки!CD80+'Мясная гастрономия'!CD80+Сыр!CD81+'Кондитерские изделия'!CD80</f>
        <v>325</v>
      </c>
      <c r="CE92" s="22">
        <f>Пицца!CE81+Снеки!CE80+'Мясная гастрономия'!CE80+Сыр!CE81+'Кондитерские изделия'!CE80</f>
        <v>325</v>
      </c>
      <c r="CF92" s="22">
        <f>Пицца!CF81+Снеки!CF80+'Мясная гастрономия'!CF80+Сыр!CF81+'Кондитерские изделия'!CF80</f>
        <v>325</v>
      </c>
      <c r="CG92" s="22">
        <f>Пицца!CG81+Снеки!CG80+'Мясная гастрономия'!CG80+Сыр!CG81+'Кондитерские изделия'!CG80</f>
        <v>325</v>
      </c>
      <c r="CH92" s="22">
        <f>Пицца!CH81+Снеки!CH80+'Мясная гастрономия'!CH80+Сыр!CH81+'Кондитерские изделия'!CH80</f>
        <v>325</v>
      </c>
      <c r="CI92" s="22">
        <f>Пицца!CI81+Снеки!CI80+'Мясная гастрономия'!CI80+Сыр!CI81+'Кондитерские изделия'!CI80</f>
        <v>325</v>
      </c>
      <c r="CJ92" s="22">
        <f>Пицца!CJ81+Снеки!CJ80+'Мясная гастрономия'!CJ80+Сыр!CJ81+'Кондитерские изделия'!CJ80</f>
        <v>325</v>
      </c>
      <c r="CK92" s="22">
        <f>Пицца!CK81+Снеки!CK80+'Мясная гастрономия'!CK80+Сыр!CK81+'Кондитерские изделия'!CK80</f>
        <v>325</v>
      </c>
      <c r="CN92" s="10"/>
      <c r="CO92" s="10">
        <f t="shared" ref="CO92" si="358">SUMIF($F$2:$CK$2,CO$3,$F92:$CK92)</f>
        <v>240</v>
      </c>
      <c r="CP92" s="10">
        <f t="shared" si="352"/>
        <v>440</v>
      </c>
      <c r="CQ92" s="10">
        <f t="shared" si="352"/>
        <v>2685</v>
      </c>
      <c r="CR92" s="10">
        <f t="shared" si="352"/>
        <v>3540</v>
      </c>
      <c r="CS92" s="10">
        <f t="shared" si="352"/>
        <v>3900</v>
      </c>
      <c r="CT92" s="10">
        <f t="shared" si="353"/>
        <v>3900</v>
      </c>
      <c r="CU92" s="10">
        <f t="shared" si="353"/>
        <v>3900</v>
      </c>
      <c r="CV92" s="156"/>
      <c r="CW92" s="156"/>
      <c r="CX92" s="156"/>
    </row>
    <row r="93" spans="1:102" s="12" customFormat="1" x14ac:dyDescent="0.2">
      <c r="B93" s="88" t="s">
        <v>17</v>
      </c>
      <c r="C93" s="88" t="s">
        <v>4</v>
      </c>
      <c r="D93" s="89"/>
      <c r="E93" s="13"/>
      <c r="F93" s="94">
        <f t="shared" ref="F93:AK93" si="359">SUM(F94:F95)</f>
        <v>137.15692999999999</v>
      </c>
      <c r="G93" s="94">
        <f t="shared" si="359"/>
        <v>203.71554999999998</v>
      </c>
      <c r="H93" s="94">
        <f t="shared" si="359"/>
        <v>194.35084000000001</v>
      </c>
      <c r="I93" s="94">
        <f t="shared" si="359"/>
        <v>236.90863000000002</v>
      </c>
      <c r="J93" s="94">
        <f t="shared" si="359"/>
        <v>265.74756000000002</v>
      </c>
      <c r="K93" s="94">
        <f t="shared" si="359"/>
        <v>231.68624</v>
      </c>
      <c r="L93" s="94">
        <f t="shared" si="359"/>
        <v>287.48552090000004</v>
      </c>
      <c r="M93" s="94">
        <f t="shared" si="359"/>
        <v>228.98441609999998</v>
      </c>
      <c r="N93" s="94">
        <f t="shared" si="359"/>
        <v>239.64843030000003</v>
      </c>
      <c r="O93" s="94">
        <f t="shared" si="359"/>
        <v>251.9673895</v>
      </c>
      <c r="P93" s="94">
        <f t="shared" si="359"/>
        <v>256.35416909999998</v>
      </c>
      <c r="Q93" s="94">
        <f t="shared" si="359"/>
        <v>213.08304909999998</v>
      </c>
      <c r="R93" s="94">
        <f t="shared" si="359"/>
        <v>349.37258312091075</v>
      </c>
      <c r="S93" s="94">
        <f t="shared" si="359"/>
        <v>273.51617445596185</v>
      </c>
      <c r="T93" s="94">
        <f t="shared" si="359"/>
        <v>371.07268632997415</v>
      </c>
      <c r="U93" s="94">
        <f t="shared" si="359"/>
        <v>274.58569658169171</v>
      </c>
      <c r="V93" s="94">
        <f t="shared" si="359"/>
        <v>259.54715165611566</v>
      </c>
      <c r="W93" s="94">
        <f t="shared" si="359"/>
        <v>281.75600569040375</v>
      </c>
      <c r="X93" s="94">
        <f t="shared" si="359"/>
        <v>378.39762967837515</v>
      </c>
      <c r="Y93" s="94">
        <f t="shared" si="359"/>
        <v>329.1998884105875</v>
      </c>
      <c r="Z93" s="94">
        <f t="shared" si="359"/>
        <v>316.98756014057898</v>
      </c>
      <c r="AA93" s="94">
        <f t="shared" si="359"/>
        <v>290.54791180439452</v>
      </c>
      <c r="AB93" s="94">
        <f t="shared" si="359"/>
        <v>307.13105490530535</v>
      </c>
      <c r="AC93" s="94">
        <f t="shared" si="359"/>
        <v>307.76136678112238</v>
      </c>
      <c r="AD93" s="94">
        <f t="shared" si="359"/>
        <v>242.16684261495135</v>
      </c>
      <c r="AE93" s="94">
        <f t="shared" si="359"/>
        <v>227.44952321216729</v>
      </c>
      <c r="AF93" s="94">
        <f t="shared" si="359"/>
        <v>274.4846136803128</v>
      </c>
      <c r="AG93" s="94">
        <f t="shared" si="359"/>
        <v>239.23205140063703</v>
      </c>
      <c r="AH93" s="94">
        <f t="shared" si="359"/>
        <v>254.78025416917001</v>
      </c>
      <c r="AI93" s="94">
        <f t="shared" si="359"/>
        <v>279.37751064353819</v>
      </c>
      <c r="AJ93" s="94">
        <f t="shared" si="359"/>
        <v>309.08767191753554</v>
      </c>
      <c r="AK93" s="94">
        <f t="shared" si="359"/>
        <v>373.36956241783321</v>
      </c>
      <c r="AL93" s="94">
        <f t="shared" ref="AL93:BQ93" si="360">SUM(AL94:AL95)</f>
        <v>397.64632478103385</v>
      </c>
      <c r="AM93" s="94">
        <f t="shared" si="360"/>
        <v>389.28527488254758</v>
      </c>
      <c r="AN93" s="94">
        <f t="shared" si="360"/>
        <v>443.2751390871386</v>
      </c>
      <c r="AO93" s="94">
        <f t="shared" si="360"/>
        <v>523.69902395964505</v>
      </c>
      <c r="AP93" s="94">
        <f t="shared" si="360"/>
        <v>458.92640849442398</v>
      </c>
      <c r="AQ93" s="94">
        <f t="shared" si="360"/>
        <v>529.41911421280906</v>
      </c>
      <c r="AR93" s="94">
        <f t="shared" si="360"/>
        <v>633.11650628551763</v>
      </c>
      <c r="AS93" s="94">
        <f t="shared" si="360"/>
        <v>680.15967777566766</v>
      </c>
      <c r="AT93" s="94">
        <f t="shared" si="360"/>
        <v>707.13859464737357</v>
      </c>
      <c r="AU93" s="94">
        <f t="shared" si="360"/>
        <v>720.99350645161167</v>
      </c>
      <c r="AV93" s="94">
        <f t="shared" si="360"/>
        <v>735.13611684230727</v>
      </c>
      <c r="AW93" s="94">
        <f t="shared" si="360"/>
        <v>700.80545453138018</v>
      </c>
      <c r="AX93" s="94">
        <f t="shared" si="360"/>
        <v>681.3966868234545</v>
      </c>
      <c r="AY93" s="94">
        <f t="shared" si="360"/>
        <v>662.70882721173552</v>
      </c>
      <c r="AZ93" s="94">
        <f t="shared" si="360"/>
        <v>632.2375226526234</v>
      </c>
      <c r="BA93" s="94">
        <f t="shared" si="360"/>
        <v>829.44146758023749</v>
      </c>
      <c r="BB93" s="94">
        <f t="shared" si="360"/>
        <v>533.32405147833424</v>
      </c>
      <c r="BC93" s="94">
        <f t="shared" si="360"/>
        <v>616.50240944340999</v>
      </c>
      <c r="BD93" s="94">
        <f t="shared" si="360"/>
        <v>736.83715454714559</v>
      </c>
      <c r="BE93" s="94">
        <f t="shared" si="360"/>
        <v>791.4125602507479</v>
      </c>
      <c r="BF93" s="94">
        <f t="shared" si="360"/>
        <v>822.7910823821295</v>
      </c>
      <c r="BG93" s="94">
        <f t="shared" si="360"/>
        <v>838.86774596185307</v>
      </c>
      <c r="BH93" s="94">
        <f t="shared" si="360"/>
        <v>855.27904350585618</v>
      </c>
      <c r="BI93" s="94">
        <f t="shared" si="360"/>
        <v>815.43492870731916</v>
      </c>
      <c r="BJ93" s="94">
        <f t="shared" si="360"/>
        <v>792.8392879649623</v>
      </c>
      <c r="BK93" s="94">
        <f t="shared" si="360"/>
        <v>771.12785945011785</v>
      </c>
      <c r="BL93" s="94">
        <f t="shared" si="360"/>
        <v>745.2162923169999</v>
      </c>
      <c r="BM93" s="94">
        <f t="shared" si="360"/>
        <v>965.08836259608438</v>
      </c>
      <c r="BN93" s="94">
        <f t="shared" si="360"/>
        <v>621.2058978236056</v>
      </c>
      <c r="BO93" s="94">
        <f t="shared" si="360"/>
        <v>717.5411335088379</v>
      </c>
      <c r="BP93" s="94">
        <f t="shared" si="360"/>
        <v>857.16262422776356</v>
      </c>
      <c r="BQ93" s="94">
        <f t="shared" si="360"/>
        <v>920.45209269297334</v>
      </c>
      <c r="BR93" s="94">
        <f t="shared" ref="BR93:BX93" si="361">SUM(BR94:BR95)</f>
        <v>956.94245227462477</v>
      </c>
      <c r="BS93" s="94">
        <f t="shared" si="361"/>
        <v>975.64432554389509</v>
      </c>
      <c r="BT93" s="94">
        <f t="shared" si="361"/>
        <v>994.73593184061838</v>
      </c>
      <c r="BU93" s="94">
        <f t="shared" si="361"/>
        <v>948.53930719013374</v>
      </c>
      <c r="BV93" s="94">
        <f t="shared" si="361"/>
        <v>922.28100513803827</v>
      </c>
      <c r="BW93" s="94">
        <f t="shared" si="361"/>
        <v>908.71325371270041</v>
      </c>
      <c r="BX93" s="94">
        <f t="shared" si="361"/>
        <v>866.97343293983022</v>
      </c>
      <c r="BY93" s="94">
        <f t="shared" ref="BY93:CK93" si="362">SUM(BY94:BY95)</f>
        <v>1122.8130625625895</v>
      </c>
      <c r="BZ93" s="94">
        <f t="shared" si="362"/>
        <v>706.57847533691711</v>
      </c>
      <c r="CA93" s="94">
        <f t="shared" si="362"/>
        <v>817.72724645196217</v>
      </c>
      <c r="CB93" s="94">
        <f t="shared" si="362"/>
        <v>978.16235741850505</v>
      </c>
      <c r="CC93" s="94">
        <f t="shared" si="362"/>
        <v>1051.1820942586455</v>
      </c>
      <c r="CD93" s="94">
        <f t="shared" si="362"/>
        <v>1093.0455958979269</v>
      </c>
      <c r="CE93" s="94">
        <f t="shared" si="362"/>
        <v>1114.8250039568184</v>
      </c>
      <c r="CF93" s="94">
        <f t="shared" si="362"/>
        <v>1137.0629178571969</v>
      </c>
      <c r="CG93" s="94">
        <f t="shared" si="362"/>
        <v>1084.4525250162565</v>
      </c>
      <c r="CH93" s="94">
        <f t="shared" si="362"/>
        <v>1068.892860602625</v>
      </c>
      <c r="CI93" s="94">
        <f t="shared" si="362"/>
        <v>1039.8276595189768</v>
      </c>
      <c r="CJ93" s="94">
        <f t="shared" si="362"/>
        <v>992.28725245644523</v>
      </c>
      <c r="CK93" s="94">
        <f t="shared" si="362"/>
        <v>1284.6823903167694</v>
      </c>
      <c r="CN93" s="14"/>
      <c r="CO93" s="94">
        <f>SUMIF($F$2:$CK$2,CO$3,$F93:$CK93)</f>
        <v>2747.0887250000001</v>
      </c>
      <c r="CP93" s="94">
        <f t="shared" si="352"/>
        <v>3739.875709555422</v>
      </c>
      <c r="CQ93" s="94">
        <f t="shared" si="352"/>
        <v>3953.8537927665102</v>
      </c>
      <c r="CR93" s="94">
        <f t="shared" si="352"/>
        <v>7971.4798835091415</v>
      </c>
      <c r="CS93" s="94">
        <f t="shared" si="352"/>
        <v>9284.7207786049603</v>
      </c>
      <c r="CT93" s="94">
        <f t="shared" si="353"/>
        <v>10813.004519455611</v>
      </c>
      <c r="CU93" s="94">
        <f t="shared" si="353"/>
        <v>12368.726379089045</v>
      </c>
      <c r="CV93" s="156"/>
      <c r="CW93" s="156"/>
      <c r="CX93" s="156"/>
    </row>
    <row r="94" spans="1:102" s="12" customFormat="1" outlineLevel="1" x14ac:dyDescent="0.2">
      <c r="B94" s="95" t="s">
        <v>90</v>
      </c>
      <c r="C94" s="97" t="s">
        <v>4</v>
      </c>
      <c r="D94" s="89"/>
      <c r="E94" s="13"/>
      <c r="F94" s="10">
        <f>Мясо!F106</f>
        <v>137.15692999999999</v>
      </c>
      <c r="G94" s="10">
        <f>Мясо!G106</f>
        <v>203.71554999999998</v>
      </c>
      <c r="H94" s="10">
        <f>Мясо!H106</f>
        <v>194.35084000000001</v>
      </c>
      <c r="I94" s="10">
        <f>Мясо!I106</f>
        <v>236.90863000000002</v>
      </c>
      <c r="J94" s="10">
        <f>Мясо!J106</f>
        <v>265.74756000000002</v>
      </c>
      <c r="K94" s="10">
        <f>Мясо!K106</f>
        <v>231.68624</v>
      </c>
      <c r="L94" s="10">
        <f>Мясо!L106</f>
        <v>287.27243000000004</v>
      </c>
      <c r="M94" s="10">
        <f>Мясо!M106</f>
        <v>228.39128999999997</v>
      </c>
      <c r="N94" s="10">
        <f>Мясо!N106</f>
        <v>238.53177000000002</v>
      </c>
      <c r="O94" s="10">
        <f>Мясо!O106</f>
        <v>251.386</v>
      </c>
      <c r="P94" s="10">
        <f>Мясо!P106</f>
        <v>255.89301</v>
      </c>
      <c r="Q94" s="10">
        <f>Мясо!Q106</f>
        <v>212.52423999999999</v>
      </c>
      <c r="R94" s="10">
        <f>Мясо!R106</f>
        <v>349.37258312091075</v>
      </c>
      <c r="S94" s="10">
        <f>Мясо!S106</f>
        <v>273.51617445596185</v>
      </c>
      <c r="T94" s="10">
        <f>Мясо!T106</f>
        <v>371.07268632997415</v>
      </c>
      <c r="U94" s="10">
        <f>Мясо!U106</f>
        <v>274.58569658169171</v>
      </c>
      <c r="V94" s="10">
        <f>Мясо!V106</f>
        <v>259.54715165611566</v>
      </c>
      <c r="W94" s="10">
        <f>Мясо!W106</f>
        <v>281.75600569040375</v>
      </c>
      <c r="X94" s="10">
        <f>Мясо!X106</f>
        <v>363.18629029537516</v>
      </c>
      <c r="Y94" s="10">
        <f>Мясо!Y106</f>
        <v>318.18068927058749</v>
      </c>
      <c r="Z94" s="10">
        <f>Мясо!Z106</f>
        <v>307.95760032257897</v>
      </c>
      <c r="AA94" s="10">
        <f>Мясо!AA106</f>
        <v>280.27868399039454</v>
      </c>
      <c r="AB94" s="10">
        <f>Мясо!AB106</f>
        <v>300.02287419830537</v>
      </c>
      <c r="AC94" s="10">
        <f>Мясо!AC106</f>
        <v>294.73023863812239</v>
      </c>
      <c r="AD94" s="10">
        <f>Мясо!AD106</f>
        <v>237.57155451495134</v>
      </c>
      <c r="AE94" s="10">
        <f>Мясо!AE106</f>
        <v>221.9626069121673</v>
      </c>
      <c r="AF94" s="10">
        <f>Мясо!AF106</f>
        <v>267.99995618031278</v>
      </c>
      <c r="AG94" s="10">
        <f>Мясо!AG106</f>
        <v>232.65012403813702</v>
      </c>
      <c r="AH94" s="10">
        <f>Мясо!AH106</f>
        <v>236.3668359807325</v>
      </c>
      <c r="AI94" s="10">
        <f>Мясо!AI106</f>
        <v>252.56692607796103</v>
      </c>
      <c r="AJ94" s="10">
        <f>Мясо!AJ106</f>
        <v>280.33932080362308</v>
      </c>
      <c r="AK94" s="10">
        <f>Мясо!AK106</f>
        <v>341.32114199156842</v>
      </c>
      <c r="AL94" s="10">
        <f>Мясо!AL106</f>
        <v>363.91242271601391</v>
      </c>
      <c r="AM94" s="10">
        <f>Мясо!AM106</f>
        <v>354.84565323434845</v>
      </c>
      <c r="AN94" s="10">
        <f>Мясо!AN106</f>
        <v>408.07705626595555</v>
      </c>
      <c r="AO94" s="10">
        <f>Мясо!AO106</f>
        <v>487.39274185883477</v>
      </c>
      <c r="AP94" s="10">
        <f>Мясо!AP106</f>
        <v>419.85241972801435</v>
      </c>
      <c r="AQ94" s="10">
        <f>Мясо!AQ106</f>
        <v>489.55179381255965</v>
      </c>
      <c r="AR94" s="10">
        <f>Мясо!AR106</f>
        <v>592.2848850348297</v>
      </c>
      <c r="AS94" s="10">
        <f>Мясо!AS106</f>
        <v>638.28822481558575</v>
      </c>
      <c r="AT94" s="10">
        <f>Мясо!AT106</f>
        <v>664.88356751623519</v>
      </c>
      <c r="AU94" s="10">
        <f>Мясо!AU106</f>
        <v>678.45261991452571</v>
      </c>
      <c r="AV94" s="10">
        <f>Мясо!AV106</f>
        <v>692.29859174951605</v>
      </c>
      <c r="AW94" s="10">
        <f>Мясо!AW106</f>
        <v>657.65960039026595</v>
      </c>
      <c r="AX94" s="10">
        <f>Мясо!AX106</f>
        <v>637.92981237855804</v>
      </c>
      <c r="AY94" s="10">
        <f>Мясо!AY106</f>
        <v>618.79191800720128</v>
      </c>
      <c r="AZ94" s="10">
        <f>Мясо!AZ106</f>
        <v>587.85232210684103</v>
      </c>
      <c r="BA94" s="10">
        <f>Мясо!BA106</f>
        <v>783.80309614245493</v>
      </c>
      <c r="BB94" s="10">
        <f>Мясо!BB106</f>
        <v>486.54460682255245</v>
      </c>
      <c r="BC94" s="10">
        <f>Мясо!BC106</f>
        <v>569.58993672264376</v>
      </c>
      <c r="BD94" s="10">
        <f>Мясо!BD106</f>
        <v>688.73761736052688</v>
      </c>
      <c r="BE94" s="10">
        <f>Мясо!BE106</f>
        <v>742.03185632295026</v>
      </c>
      <c r="BF94" s="10">
        <f>Мясо!BF106</f>
        <v>772.9498503364066</v>
      </c>
      <c r="BG94" s="10">
        <f>Мясо!BG106</f>
        <v>788.72433707796597</v>
      </c>
      <c r="BH94" s="10">
        <f>Мясо!BH106</f>
        <v>804.82075212037341</v>
      </c>
      <c r="BI94" s="10">
        <f>Мясо!BI106</f>
        <v>764.64791872078513</v>
      </c>
      <c r="BJ94" s="10">
        <f>Мясо!BJ106</f>
        <v>741.70848115916135</v>
      </c>
      <c r="BK94" s="10">
        <f>Мясо!BK106</f>
        <v>719.4572267243866</v>
      </c>
      <c r="BL94" s="10">
        <f>Мясо!BL106</f>
        <v>692.98339411778659</v>
      </c>
      <c r="BM94" s="10">
        <f>Мясо!BM106</f>
        <v>911.31248718422285</v>
      </c>
      <c r="BN94" s="10">
        <f>Мясо!BN106</f>
        <v>566.55262939640124</v>
      </c>
      <c r="BO94" s="10">
        <f>Мясо!BO106</f>
        <v>662.73094272385811</v>
      </c>
      <c r="BP94" s="10">
        <f>Мясо!BP106</f>
        <v>800.91942600757034</v>
      </c>
      <c r="BQ94" s="10">
        <f>Мясо!BQ106</f>
        <v>862.66132799746674</v>
      </c>
      <c r="BR94" s="10">
        <f>Мясо!BR106</f>
        <v>898.60554999736132</v>
      </c>
      <c r="BS94" s="10">
        <f>Мясо!BS106</f>
        <v>916.94443877281765</v>
      </c>
      <c r="BT94" s="10">
        <f>Мясо!BT106</f>
        <v>935.65759058450783</v>
      </c>
      <c r="BU94" s="10">
        <f>Мясо!BU106</f>
        <v>889.06566242491738</v>
      </c>
      <c r="BV94" s="10">
        <f>Мясо!BV106</f>
        <v>862.39369255216991</v>
      </c>
      <c r="BW94" s="10">
        <f>Мясо!BW106</f>
        <v>848.18368936229444</v>
      </c>
      <c r="BX94" s="10">
        <f>Мясо!BX106</f>
        <v>805.77450489417959</v>
      </c>
      <c r="BY94" s="10">
        <f>Мясо!BY106</f>
        <v>1059.7485711751419</v>
      </c>
      <c r="BZ94" s="10">
        <f>Мясо!BZ106</f>
        <v>644.97050067819532</v>
      </c>
      <c r="CA94" s="10">
        <f>Мясо!CA106</f>
        <v>755.70864195520926</v>
      </c>
      <c r="CB94" s="10">
        <f>Мясо!CB106</f>
        <v>914.40498552391546</v>
      </c>
      <c r="CC94" s="10">
        <f>Мясо!CC106</f>
        <v>985.54633298175588</v>
      </c>
      <c r="CD94" s="10">
        <f>Мясо!CD106</f>
        <v>1026.753330584389</v>
      </c>
      <c r="CE94" s="10">
        <f>Мясо!CE106</f>
        <v>1047.8529567817502</v>
      </c>
      <c r="CF94" s="10">
        <f>Мясо!CF106</f>
        <v>1069.3861565054578</v>
      </c>
      <c r="CG94" s="10">
        <f>Мясо!CG106</f>
        <v>1016.0443091180166</v>
      </c>
      <c r="CH94" s="10">
        <f>Мясо!CH106</f>
        <v>999.72447303161903</v>
      </c>
      <c r="CI94" s="10">
        <f>Мясо!CI106</f>
        <v>969.86822104384305</v>
      </c>
      <c r="CJ94" s="10">
        <f>Мясо!CJ106</f>
        <v>921.50351808466473</v>
      </c>
      <c r="CK94" s="10">
        <f>Мясо!CK106</f>
        <v>1211.6148243983207</v>
      </c>
      <c r="CN94" s="10"/>
      <c r="CO94" s="10">
        <f>SUMIF($L$2:$CK$2,CO$3,$L94:$CK94)</f>
        <v>1473.99874</v>
      </c>
      <c r="CP94" s="10">
        <f t="shared" si="352"/>
        <v>3674.2066745504226</v>
      </c>
      <c r="CQ94" s="10">
        <f t="shared" si="352"/>
        <v>3685.0063405746055</v>
      </c>
      <c r="CR94" s="10">
        <f t="shared" si="352"/>
        <v>7461.6488515965875</v>
      </c>
      <c r="CS94" s="10">
        <f t="shared" si="352"/>
        <v>8683.5084646697615</v>
      </c>
      <c r="CT94" s="10">
        <f t="shared" si="353"/>
        <v>10109.238025888686</v>
      </c>
      <c r="CU94" s="10">
        <f t="shared" si="353"/>
        <v>11563.378250687138</v>
      </c>
      <c r="CV94" s="156"/>
      <c r="CW94" s="156"/>
      <c r="CX94" s="156"/>
    </row>
    <row r="95" spans="1:102" s="12" customFormat="1" outlineLevel="1" x14ac:dyDescent="0.2">
      <c r="B95" s="95" t="s">
        <v>282</v>
      </c>
      <c r="C95" s="97" t="s">
        <v>4</v>
      </c>
      <c r="D95" s="89"/>
      <c r="E95" s="13"/>
      <c r="F95" s="22">
        <f>Пицца!F82+Снеки!F81+'Мясная гастрономия'!F81+Сыр!F82+'Кондитерские изделия'!F81</f>
        <v>0</v>
      </c>
      <c r="G95" s="22">
        <f>Пицца!G82+Снеки!G81+'Мясная гастрономия'!G81+Сыр!G82+'Кондитерские изделия'!G81</f>
        <v>0</v>
      </c>
      <c r="H95" s="22">
        <f>Пицца!H82+Снеки!H81+'Мясная гастрономия'!H81+Сыр!H82+'Кондитерские изделия'!H81</f>
        <v>0</v>
      </c>
      <c r="I95" s="22">
        <f>Пицца!I82+Снеки!I81+'Мясная гастрономия'!I81+Сыр!I82+'Кондитерские изделия'!I81</f>
        <v>0</v>
      </c>
      <c r="J95" s="22">
        <f>Пицца!J82+Снеки!J81+'Мясная гастрономия'!J81+Сыр!J82+'Кондитерские изделия'!J81</f>
        <v>0</v>
      </c>
      <c r="K95" s="22">
        <f>Пицца!K82+Снеки!K81+'Мясная гастрономия'!K81+Сыр!K82+'Кондитерские изделия'!K81</f>
        <v>0</v>
      </c>
      <c r="L95" s="22">
        <f>Пицца!L82+Снеки!L81+'Мясная гастрономия'!L81+Сыр!L82+'Кондитерские изделия'!L81</f>
        <v>0.21309089999999997</v>
      </c>
      <c r="M95" s="22">
        <f>Пицца!M82+Снеки!M81+'Мясная гастрономия'!M81+Сыр!M82+'Кондитерские изделия'!M81</f>
        <v>0.59312609999999999</v>
      </c>
      <c r="N95" s="22">
        <f>Пицца!N82+Снеки!N81+'Мясная гастрономия'!N81+Сыр!N82+'Кондитерские изделия'!N81</f>
        <v>1.1166602999999999</v>
      </c>
      <c r="O95" s="22">
        <f>Пицца!O82+Снеки!O81+'Мясная гастрономия'!O81+Сыр!O82+'Кондитерские изделия'!O81</f>
        <v>0.5813895</v>
      </c>
      <c r="P95" s="22">
        <f>Пицца!P82+Снеки!P81+'Мясная гастрономия'!P81+Сыр!P82+'Кондитерские изделия'!P81</f>
        <v>0.46115909999999999</v>
      </c>
      <c r="Q95" s="22">
        <f>Пицца!Q82+Снеки!Q81+'Мясная гастрономия'!Q81+Сыр!Q82+'Кондитерские изделия'!Q81</f>
        <v>0.55880909999999995</v>
      </c>
      <c r="R95" s="22">
        <f>Пицца!R82+Снеки!R81+'Мясная гастрономия'!R81+Сыр!R82+'Кондитерские изделия'!R81</f>
        <v>0</v>
      </c>
      <c r="S95" s="22">
        <f>Пицца!S82+Снеки!S81+'Мясная гастрономия'!S81+Сыр!S82+'Кондитерские изделия'!S81</f>
        <v>0</v>
      </c>
      <c r="T95" s="22">
        <f>Пицца!T82+Снеки!T81+'Мясная гастрономия'!T81+Сыр!T82+'Кондитерские изделия'!T81</f>
        <v>0</v>
      </c>
      <c r="U95" s="22">
        <f>Пицца!U82+Снеки!U81+'Мясная гастрономия'!U81+Сыр!U82+'Кондитерские изделия'!U81</f>
        <v>0</v>
      </c>
      <c r="V95" s="22">
        <f>Пицца!V82+Снеки!V81+'Мясная гастрономия'!V81+Сыр!V82+'Кондитерские изделия'!V81</f>
        <v>0</v>
      </c>
      <c r="W95" s="22">
        <f>Пицца!W82+Снеки!W81+'Мясная гастрономия'!W81+Сыр!W82+'Кондитерские изделия'!W81</f>
        <v>0</v>
      </c>
      <c r="X95" s="22">
        <f>Пицца!X82+Снеки!X81+'Мясная гастрономия'!X81+Сыр!X82+'Кондитерские изделия'!X81</f>
        <v>15.211339382999999</v>
      </c>
      <c r="Y95" s="22">
        <f>Пицца!Y82+Снеки!Y81+'Мясная гастрономия'!Y81+Сыр!Y82+'Кондитерские изделия'!Y81</f>
        <v>11.01919914</v>
      </c>
      <c r="Z95" s="22">
        <f>Пицца!Z82+Снеки!Z81+'Мясная гастрономия'!Z81+Сыр!Z82+'Кондитерские изделия'!Z81</f>
        <v>9.0299598180000018</v>
      </c>
      <c r="AA95" s="22">
        <f>Пицца!AA82+Снеки!AA81+'Мясная гастрономия'!AA81+Сыр!AA82+'Кондитерские изделия'!AA81</f>
        <v>10.269227814000001</v>
      </c>
      <c r="AB95" s="22">
        <f>Пицца!AB82+Снеки!AB81+'Мясная гастрономия'!AB81+Сыр!AB82+'Кондитерские изделия'!AB81</f>
        <v>7.1081807069999998</v>
      </c>
      <c r="AC95" s="22">
        <f>Пицца!AC82+Снеки!AC81+'Мясная гастрономия'!AC81+Сыр!AC82+'Кондитерские изделия'!AC81</f>
        <v>13.031128143</v>
      </c>
      <c r="AD95" s="22">
        <f>Пицца!AD82+Снеки!AD81+'Мясная гастрономия'!AD81+Сыр!AD82+'Кондитерские изделия'!AD81</f>
        <v>4.5952880999999994</v>
      </c>
      <c r="AE95" s="22">
        <f>Пицца!AE82+Снеки!AE81+'Мясная гастрономия'!AE81+Сыр!AE82+'Кондитерские изделия'!AE81</f>
        <v>5.4869162999999999</v>
      </c>
      <c r="AF95" s="22">
        <f>Пицца!AF82+Снеки!AF81+'Мясная гастрономия'!AF81+Сыр!AF82+'Кондитерские изделия'!AF81</f>
        <v>6.4846574999999991</v>
      </c>
      <c r="AG95" s="22">
        <f>Пицца!AG82+Снеки!AG81+'Мясная гастрономия'!AG81+Сыр!AG82+'Кондитерские изделия'!AG81</f>
        <v>6.5819273624999992</v>
      </c>
      <c r="AH95" s="22">
        <f>Пицца!AH82+Снеки!AH81+'Мясная гастрономия'!AH81+Сыр!AH82+'Кондитерские изделия'!AH81</f>
        <v>18.4134181884375</v>
      </c>
      <c r="AI95" s="22">
        <f>Пицца!AI82+Снеки!AI81+'Мясная гастрономия'!AI81+Сыр!AI82+'Кондитерские изделия'!AI81</f>
        <v>26.810584565577184</v>
      </c>
      <c r="AJ95" s="22">
        <f>Пицца!AJ82+Снеки!AJ81+'Мясная гастрономия'!AJ81+Сыр!AJ82+'Кондитерские изделия'!AJ81</f>
        <v>28.748351113912445</v>
      </c>
      <c r="AK95" s="22">
        <f>Пицца!AK82+Снеки!AK81+'Мясная гастрономия'!AK81+Сыр!AK82+'Кондитерские изделия'!AK81</f>
        <v>32.048420426264755</v>
      </c>
      <c r="AL95" s="22">
        <f>Пицца!AL82+Снеки!AL81+'Мясная гастрономия'!AL81+Сыр!AL82+'Кондитерские изделия'!AL81</f>
        <v>33.733902065019954</v>
      </c>
      <c r="AM95" s="22">
        <f>Пицца!AM82+Снеки!AM81+'Мясная гастрономия'!AM81+Сыр!AM82+'Кондитерские изделия'!AM81</f>
        <v>34.439621648199122</v>
      </c>
      <c r="AN95" s="22">
        <f>Пицца!AN82+Снеки!AN81+'Мясная гастрономия'!AN81+Сыр!AN82+'Кондитерские изделия'!AN81</f>
        <v>35.198082821183071</v>
      </c>
      <c r="AO95" s="22">
        <f>Пицца!AO82+Снеки!AO81+'Мясная гастрономия'!AO81+Сыр!AO82+'Кондитерские изделия'!AO81</f>
        <v>36.30628210081025</v>
      </c>
      <c r="AP95" s="22">
        <f>Пицца!AP82+Снеки!AP81+'Мясная гастрономия'!AP81+Сыр!AP82+'Кондитерские изделия'!AP81</f>
        <v>39.073988766409649</v>
      </c>
      <c r="AQ95" s="22">
        <f>Пицца!AQ82+Снеки!AQ81+'Мясная гастрономия'!AQ81+Сыр!AQ82+'Кондитерские изделия'!AQ81</f>
        <v>39.867320400249355</v>
      </c>
      <c r="AR95" s="22">
        <f>Пицца!AR82+Снеки!AR81+'Мясная гастрономия'!AR81+Сыр!AR82+'Кондитерские изделия'!AR81</f>
        <v>40.831621250687895</v>
      </c>
      <c r="AS95" s="22">
        <f>Пицца!AS82+Снеки!AS81+'Мясная гастрономия'!AS81+Сыр!AS82+'Кондитерские изделия'!AS81</f>
        <v>41.871452960081925</v>
      </c>
      <c r="AT95" s="22">
        <f>Пицца!AT82+Снеки!AT81+'Мясная гастрономия'!AT81+Сыр!AT82+'Кондитерские изделия'!AT81</f>
        <v>42.255027131138363</v>
      </c>
      <c r="AU95" s="22">
        <f>Пицца!AU82+Снеки!AU81+'Мясная гастрономия'!AU81+Сыр!AU82+'Кондитерские изделия'!AU81</f>
        <v>42.540886537085996</v>
      </c>
      <c r="AV95" s="22">
        <f>Пицца!AV82+Снеки!AV81+'Мясная гастрономия'!AV81+Сыр!AV82+'Кондитерские изделия'!AV81</f>
        <v>42.837525092791253</v>
      </c>
      <c r="AW95" s="22">
        <f>Пицца!AW82+Снеки!AW81+'Мясная гастрономия'!AW81+Сыр!AW82+'Кондитерские изделия'!AW81</f>
        <v>43.145854141114242</v>
      </c>
      <c r="AX95" s="22">
        <f>Пицца!AX82+Снеки!AX81+'Мясная гастрономия'!AX81+Сыр!AX82+'Кондитерские изделия'!AX81</f>
        <v>43.46687444489649</v>
      </c>
      <c r="AY95" s="22">
        <f>Пицца!AY82+Снеки!AY81+'Мясная гастрономия'!AY81+Сыр!AY82+'Кондитерские изделия'!AY81</f>
        <v>43.916909204534193</v>
      </c>
      <c r="AZ95" s="22">
        <f>Пицца!AZ82+Снеки!AZ81+'Мясная гастрономия'!AZ81+Сыр!AZ82+'Кондитерские изделия'!AZ81</f>
        <v>44.385200545782396</v>
      </c>
      <c r="BA95" s="22">
        <f>Пицца!BA82+Снеки!BA81+'Мясная гастрономия'!BA81+Сыр!BA82+'Кондитерские изделия'!BA81</f>
        <v>45.638371437782595</v>
      </c>
      <c r="BB95" s="22">
        <f>Пицца!BB82+Снеки!BB81+'Мясная гастрономия'!BB81+Сыр!BB82+'Кондитерские изделия'!BB81</f>
        <v>46.779444655781745</v>
      </c>
      <c r="BC95" s="22">
        <f>Пицца!BC82+Снеки!BC81+'Мясная гастрономия'!BC81+Сыр!BC82+'Кондитерские изделия'!BC81</f>
        <v>46.912472720766246</v>
      </c>
      <c r="BD95" s="22">
        <f>Пицца!BD82+Снеки!BD81+'Мясная гастрономия'!BD81+Сыр!BD82+'Кондитерские изделия'!BD81</f>
        <v>48.099537186618747</v>
      </c>
      <c r="BE95" s="22">
        <f>Пицца!BE82+Снеки!BE81+'Мясная гастрономия'!BE81+Сыр!BE82+'Кондитерские изделия'!BE81</f>
        <v>49.38070392779764</v>
      </c>
      <c r="BF95" s="22">
        <f>Пицца!BF82+Снеки!BF81+'Мясная гастрономия'!BF81+Сыр!BF82+'Кондитерские изделия'!BF81</f>
        <v>49.841232045722862</v>
      </c>
      <c r="BG95" s="22">
        <f>Пицца!BG82+Снеки!BG81+'Мясная гастрономия'!BG81+Сыр!BG82+'Кондитерские изделия'!BG81</f>
        <v>50.14340888388714</v>
      </c>
      <c r="BH95" s="22">
        <f>Пицца!BH82+Снеки!BH81+'Мясная гастрономия'!BH81+Сыр!BH82+'Кондитерские изделия'!BH81</f>
        <v>50.458291385482795</v>
      </c>
      <c r="BI95" s="22">
        <f>Пицца!BI82+Снеки!BI81+'Мясная гастрономия'!BI81+Сыр!BI82+'Кондитерские изделия'!BI81</f>
        <v>50.787009986533988</v>
      </c>
      <c r="BJ95" s="22">
        <f>Пицца!BJ82+Снеки!BJ81+'Мясная гастрономия'!BJ81+Сыр!BJ82+'Кондитерские изделия'!BJ81</f>
        <v>51.130806805800887</v>
      </c>
      <c r="BK95" s="22">
        <f>Пицца!BK82+Снеки!BK81+'Мясная гастрономия'!BK81+Сыр!BK82+'Кондитерские изделия'!BK81</f>
        <v>51.670632725731267</v>
      </c>
      <c r="BL95" s="22">
        <f>Пицца!BL82+Снеки!BL81+'Мясная гастрономия'!BL81+Сыр!BL82+'Кондитерские изделия'!BL81</f>
        <v>52.23289819921326</v>
      </c>
      <c r="BM95" s="22">
        <f>Пицца!BM82+Снеки!BM81+'Мясная гастрономия'!BM81+Сыр!BM82+'Кондитерские изделия'!BM81</f>
        <v>53.77587541186152</v>
      </c>
      <c r="BN95" s="22">
        <f>Пицца!BN82+Снеки!BN81+'Мясная гастрономия'!BN81+Сыр!BN82+'Кондитерские изделия'!BN81</f>
        <v>54.653268427204324</v>
      </c>
      <c r="BO95" s="22">
        <f>Пицца!BO82+Снеки!BO81+'Мясная гастрономия'!BO81+Сыр!BO82+'Кондитерские изделия'!BO81</f>
        <v>54.810190784979795</v>
      </c>
      <c r="BP95" s="22">
        <f>Пицца!BP82+Снеки!BP81+'Мясная гастрономия'!BP81+Сыр!BP82+'Кондитерские изделия'!BP81</f>
        <v>56.243198220193193</v>
      </c>
      <c r="BQ95" s="22">
        <f>Пицца!BQ82+Снеки!BQ81+'Мясная гастрономия'!BQ81+Сыр!BQ82+'Кондитерские изделия'!BQ81</f>
        <v>57.790764695506653</v>
      </c>
      <c r="BR95" s="22">
        <f>Пицца!BR82+Снеки!BR81+'Мясная гастрономия'!BR81+Сыр!BR82+'Кондитерские изделия'!BR81</f>
        <v>58.336902277263498</v>
      </c>
      <c r="BS95" s="22">
        <f>Пицца!BS82+Снеки!BS81+'Мясная гастрономия'!BS81+Сыр!BS82+'Кондитерские изделия'!BS81</f>
        <v>58.699886771077445</v>
      </c>
      <c r="BT95" s="22">
        <f>Пицца!BT82+Снеки!BT81+'Мясная гастрономия'!BT81+Сыр!BT82+'Кондитерские изделия'!BT81</f>
        <v>59.078341256110534</v>
      </c>
      <c r="BU95" s="22">
        <f>Пицца!BU82+Снеки!BU81+'Мясная гастрономия'!BU81+Сыр!BU82+'Кондитерские изделия'!BU81</f>
        <v>59.473644765216413</v>
      </c>
      <c r="BV95" s="22">
        <f>Пицца!BV82+Снеки!BV81+'Мясная гастрономия'!BV81+Сыр!BV82+'Кондитерские изделия'!BV81</f>
        <v>59.887312585868344</v>
      </c>
      <c r="BW95" s="22">
        <f>Пицца!BW82+Снеки!BW81+'Мясная гастрономия'!BW81+Сыр!BW82+'Кондитерские изделия'!BW81</f>
        <v>60.529564350406019</v>
      </c>
      <c r="BX95" s="22">
        <f>Пицца!BX82+Снеки!BX81+'Мясная гастрономия'!BX81+Сыр!BX82+'Кондитерские изделия'!BX81</f>
        <v>61.198928045650639</v>
      </c>
      <c r="BY95" s="22">
        <f>Пицца!BY82+Снеки!BY81+'Мясная гастрономия'!BY81+Сыр!BY82+'Кондитерские изделия'!BY81</f>
        <v>63.064491387447461</v>
      </c>
      <c r="BZ95" s="22">
        <f>Пицца!BZ82+Снеки!BZ81+'Мясная гастрономия'!BZ81+Сыр!BZ82+'Кондитерские изделия'!BZ81</f>
        <v>61.607974658721751</v>
      </c>
      <c r="CA95" s="22">
        <f>Пицца!CA82+Снеки!CA81+'Мясная гастрономия'!CA81+Сыр!CA82+'Кондитерские изделия'!CA81</f>
        <v>62.01860449675295</v>
      </c>
      <c r="CB95" s="22">
        <f>Пицца!CB82+Снеки!CB81+'Мясная гастрономия'!CB81+Сыр!CB82+'Кондитерские изделия'!CB81</f>
        <v>63.757371894589582</v>
      </c>
      <c r="CC95" s="22">
        <f>Пицца!CC82+Снеки!CC81+'Мясная гастрономия'!CC81+Сыр!CC82+'Кондитерские изделия'!CC81</f>
        <v>65.635761276889639</v>
      </c>
      <c r="CD95" s="22">
        <f>Пицца!CD82+Снеки!CD81+'Мясная гастрономия'!CD81+Сыр!CD82+'Кондитерские изделия'!CD81</f>
        <v>66.29226531353784</v>
      </c>
      <c r="CE95" s="22">
        <f>Пицца!CE82+Снеки!CE81+'Мясная гастрономия'!CE81+Сыр!CE82+'Кондитерские изделия'!CE81</f>
        <v>66.972047175068241</v>
      </c>
      <c r="CF95" s="22">
        <f>Пицца!CF82+Снеки!CF81+'Мясная гастрономия'!CF81+Сыр!CF82+'Кондитерские изделия'!CF81</f>
        <v>67.67676135173906</v>
      </c>
      <c r="CG95" s="22">
        <f>Пицца!CG82+Снеки!CG81+'Мясная гастрономия'!CG81+Сыр!CG82+'Кондитерские изделия'!CG81</f>
        <v>68.408215898239845</v>
      </c>
      <c r="CH95" s="22">
        <f>Пицца!CH82+Снеки!CH81+'Мясная гастрономия'!CH81+Сыр!CH82+'Кондитерские изделия'!CH81</f>
        <v>69.16838757100588</v>
      </c>
      <c r="CI95" s="22">
        <f>Пицца!CI82+Снеки!CI81+'Мясная гастрономия'!CI81+Сыр!CI82+'Кондитерские изделия'!CI81</f>
        <v>69.959438475133851</v>
      </c>
      <c r="CJ95" s="22">
        <f>Пицца!CJ82+Снеки!CJ81+'Мясная гастрономия'!CJ81+Сыр!CJ82+'Кондитерские изделия'!CJ81</f>
        <v>70.783734371780554</v>
      </c>
      <c r="CK95" s="22">
        <f>Пицца!CK82+Снеки!CK81+'Мясная гастрономия'!CK81+Сыр!CK82+'Кондитерские изделия'!CK81</f>
        <v>73.067565918448736</v>
      </c>
      <c r="CN95" s="10"/>
      <c r="CO95" s="10">
        <f>SUMIF($L$2:$CK$2,CO$3,$L95:$CK95)</f>
        <v>3.524235</v>
      </c>
      <c r="CP95" s="10">
        <f t="shared" si="352"/>
        <v>65.669035005000012</v>
      </c>
      <c r="CQ95" s="10">
        <f t="shared" si="352"/>
        <v>268.84745219190427</v>
      </c>
      <c r="CR95" s="10">
        <f t="shared" si="352"/>
        <v>509.83103191255435</v>
      </c>
      <c r="CS95" s="10">
        <f t="shared" si="352"/>
        <v>601.21231393519815</v>
      </c>
      <c r="CT95" s="10">
        <f t="shared" si="353"/>
        <v>703.76649356692428</v>
      </c>
      <c r="CU95" s="10">
        <f t="shared" si="353"/>
        <v>805.34812840190784</v>
      </c>
      <c r="CV95" s="156"/>
      <c r="CW95" s="156"/>
      <c r="CX95" s="156"/>
    </row>
    <row r="96" spans="1:102" s="12" customFormat="1" x14ac:dyDescent="0.2">
      <c r="B96" s="88" t="s">
        <v>45</v>
      </c>
      <c r="C96" s="88" t="s">
        <v>4</v>
      </c>
      <c r="D96" s="109"/>
      <c r="E96" s="147"/>
      <c r="F96" s="94">
        <f t="shared" ref="F96:AK96" si="363">SUM(F97:F99)</f>
        <v>240.65625</v>
      </c>
      <c r="G96" s="94">
        <f t="shared" si="363"/>
        <v>241.30502999999999</v>
      </c>
      <c r="H96" s="94">
        <f t="shared" si="363"/>
        <v>242.529</v>
      </c>
      <c r="I96" s="94">
        <f t="shared" si="363"/>
        <v>235.82321999999999</v>
      </c>
      <c r="J96" s="94">
        <f t="shared" si="363"/>
        <v>242.529</v>
      </c>
      <c r="K96" s="94">
        <f t="shared" si="363"/>
        <v>352.87400000000002</v>
      </c>
      <c r="L96" s="94">
        <f t="shared" si="363"/>
        <v>428.15571500000004</v>
      </c>
      <c r="M96" s="94">
        <f t="shared" si="363"/>
        <v>281.553785</v>
      </c>
      <c r="N96" s="94">
        <f t="shared" si="363"/>
        <v>363.16981499999997</v>
      </c>
      <c r="O96" s="94">
        <f t="shared" si="363"/>
        <v>407.41117500000001</v>
      </c>
      <c r="P96" s="94">
        <f t="shared" si="363"/>
        <v>406.81995500000005</v>
      </c>
      <c r="Q96" s="94">
        <f t="shared" si="363"/>
        <v>407.30191500000001</v>
      </c>
      <c r="R96" s="94">
        <f t="shared" si="363"/>
        <v>652.6274168790892</v>
      </c>
      <c r="S96" s="94">
        <f t="shared" si="363"/>
        <v>706.48382554403815</v>
      </c>
      <c r="T96" s="94">
        <f t="shared" si="363"/>
        <v>483.92731367002585</v>
      </c>
      <c r="U96" s="94">
        <f t="shared" si="363"/>
        <v>1073.4143034183082</v>
      </c>
      <c r="V96" s="94">
        <f t="shared" si="363"/>
        <v>979.4528483438844</v>
      </c>
      <c r="W96" s="94">
        <f t="shared" si="363"/>
        <v>1189.2439943095962</v>
      </c>
      <c r="X96" s="94">
        <f t="shared" si="363"/>
        <v>752.17204427999991</v>
      </c>
      <c r="Y96" s="94">
        <f t="shared" si="363"/>
        <v>716.61609780000003</v>
      </c>
      <c r="Z96" s="94">
        <f t="shared" si="363"/>
        <v>716.50317393</v>
      </c>
      <c r="AA96" s="94">
        <f t="shared" si="363"/>
        <v>682.80877568999995</v>
      </c>
      <c r="AB96" s="94">
        <f t="shared" si="363"/>
        <v>651.06358575000002</v>
      </c>
      <c r="AC96" s="94">
        <f t="shared" si="363"/>
        <v>786.64447488000008</v>
      </c>
      <c r="AD96" s="94">
        <f t="shared" si="363"/>
        <v>404.00553500000001</v>
      </c>
      <c r="AE96" s="94">
        <f t="shared" si="363"/>
        <v>430.093165</v>
      </c>
      <c r="AF96" s="94">
        <f t="shared" si="363"/>
        <v>535.74035499999991</v>
      </c>
      <c r="AG96" s="94">
        <f t="shared" si="363"/>
        <v>532.84803562499997</v>
      </c>
      <c r="AH96" s="94">
        <f t="shared" si="363"/>
        <v>610.14306573687497</v>
      </c>
      <c r="AI96" s="94">
        <f t="shared" si="363"/>
        <v>661.77680999654683</v>
      </c>
      <c r="AJ96" s="94">
        <f t="shared" si="363"/>
        <v>707.94421817406646</v>
      </c>
      <c r="AK96" s="94">
        <f t="shared" si="363"/>
        <v>925.29950209885055</v>
      </c>
      <c r="AL96" s="94">
        <f t="shared" ref="AL96:BQ96" si="364">SUM(AL97:AL99)</f>
        <v>1024.6258995462542</v>
      </c>
      <c r="AM96" s="94">
        <f t="shared" si="364"/>
        <v>1030.6702916038644</v>
      </c>
      <c r="AN96" s="94">
        <f t="shared" si="364"/>
        <v>1085.3745609529642</v>
      </c>
      <c r="AO96" s="94">
        <f t="shared" si="364"/>
        <v>1266.5258852173931</v>
      </c>
      <c r="AP96" s="94">
        <f t="shared" si="364"/>
        <v>1132.5454172514437</v>
      </c>
      <c r="AQ96" s="94">
        <f t="shared" si="364"/>
        <v>1292.0665194826745</v>
      </c>
      <c r="AR96" s="94">
        <f t="shared" si="364"/>
        <v>1525.6701853988666</v>
      </c>
      <c r="AS96" s="94">
        <f t="shared" si="364"/>
        <v>1634.2346101952285</v>
      </c>
      <c r="AT96" s="94">
        <f t="shared" si="364"/>
        <v>1695.2187439456486</v>
      </c>
      <c r="AU96" s="94">
        <f t="shared" si="364"/>
        <v>1726.9171115551721</v>
      </c>
      <c r="AV96" s="94">
        <f t="shared" si="364"/>
        <v>1759.3005577239328</v>
      </c>
      <c r="AW96" s="94">
        <f t="shared" si="364"/>
        <v>1684.4504110982912</v>
      </c>
      <c r="AX96" s="94">
        <f t="shared" si="364"/>
        <v>1642.6844508618155</v>
      </c>
      <c r="AY96" s="94">
        <f t="shared" si="364"/>
        <v>1602.8792916728823</v>
      </c>
      <c r="AZ96" s="94">
        <f t="shared" si="364"/>
        <v>1537.0707772238773</v>
      </c>
      <c r="BA96" s="94">
        <f t="shared" si="364"/>
        <v>1978.9479728027441</v>
      </c>
      <c r="BB96" s="94">
        <f t="shared" si="364"/>
        <v>1322.7638786826055</v>
      </c>
      <c r="BC96" s="94">
        <f t="shared" si="364"/>
        <v>1507.2140827831645</v>
      </c>
      <c r="BD96" s="94">
        <f t="shared" si="364"/>
        <v>1778.6156389279929</v>
      </c>
      <c r="BE96" s="94">
        <f t="shared" si="364"/>
        <v>1904.91320182871</v>
      </c>
      <c r="BF96" s="94">
        <f t="shared" si="364"/>
        <v>1975.9031900627588</v>
      </c>
      <c r="BG96" s="94">
        <f t="shared" si="364"/>
        <v>2012.632516267548</v>
      </c>
      <c r="BH96" s="94">
        <f t="shared" si="364"/>
        <v>2050.1608652283744</v>
      </c>
      <c r="BI96" s="94">
        <f t="shared" si="364"/>
        <v>1963.2424801201946</v>
      </c>
      <c r="BJ96" s="94">
        <f t="shared" si="364"/>
        <v>1914.5700158393527</v>
      </c>
      <c r="BK96" s="94">
        <f t="shared" si="364"/>
        <v>1868.4023595416697</v>
      </c>
      <c r="BL96" s="94">
        <f t="shared" si="364"/>
        <v>1813.0337943030665</v>
      </c>
      <c r="BM96" s="94">
        <f t="shared" si="364"/>
        <v>2306.3719466780917</v>
      </c>
      <c r="BN96" s="94">
        <f t="shared" si="364"/>
        <v>1542.2479698130728</v>
      </c>
      <c r="BO96" s="94">
        <f t="shared" si="364"/>
        <v>1755.8815699195143</v>
      </c>
      <c r="BP96" s="94">
        <f t="shared" si="364"/>
        <v>2071.0447992889476</v>
      </c>
      <c r="BQ96" s="94">
        <f t="shared" si="364"/>
        <v>2217.7999556458371</v>
      </c>
      <c r="BR96" s="94">
        <f t="shared" ref="BR96:BX96" si="365">SUM(BR97:BR99)</f>
        <v>2300.401588503958</v>
      </c>
      <c r="BS96" s="94">
        <f t="shared" si="365"/>
        <v>2343.1787886832371</v>
      </c>
      <c r="BT96" s="94">
        <f t="shared" si="365"/>
        <v>2386.8897258369952</v>
      </c>
      <c r="BU96" s="94">
        <f t="shared" si="365"/>
        <v>2286.1754782654693</v>
      </c>
      <c r="BV96" s="94">
        <f t="shared" si="365"/>
        <v>2229.6758772686298</v>
      </c>
      <c r="BW96" s="94">
        <f t="shared" si="365"/>
        <v>2201.9048989507855</v>
      </c>
      <c r="BX96" s="94">
        <f t="shared" si="365"/>
        <v>2111.8960297295216</v>
      </c>
      <c r="BY96" s="94">
        <f t="shared" ref="BY96:CK96" si="366">SUM(BY97:BY99)</f>
        <v>2686.2698649649196</v>
      </c>
      <c r="BZ96" s="94">
        <f t="shared" si="366"/>
        <v>1754.7128746059598</v>
      </c>
      <c r="CA96" s="94">
        <f t="shared" si="366"/>
        <v>2001.8000358454544</v>
      </c>
      <c r="CB96" s="94">
        <f t="shared" si="366"/>
        <v>2364.3557118525705</v>
      </c>
      <c r="CC96" s="94">
        <f t="shared" si="366"/>
        <v>2534.0904794579724</v>
      </c>
      <c r="CD96" s="94">
        <f t="shared" si="366"/>
        <v>2628.9631441829133</v>
      </c>
      <c r="CE96" s="94">
        <f t="shared" si="366"/>
        <v>2679.4785755129669</v>
      </c>
      <c r="CF96" s="94">
        <f t="shared" si="366"/>
        <v>2731.1115188797539</v>
      </c>
      <c r="CG96" s="94">
        <f t="shared" si="366"/>
        <v>2617.1932334005751</v>
      </c>
      <c r="CH96" s="94">
        <f t="shared" si="366"/>
        <v>2585.3998876410337</v>
      </c>
      <c r="CI96" s="94">
        <f t="shared" si="366"/>
        <v>2523.8450062325992</v>
      </c>
      <c r="CJ96" s="94">
        <f t="shared" si="366"/>
        <v>2421.540242116238</v>
      </c>
      <c r="CK96" s="94">
        <f t="shared" si="366"/>
        <v>3078.6302314020754</v>
      </c>
      <c r="CN96" s="14"/>
      <c r="CO96" s="94">
        <f>SUMIF($F$2:$CK$2,CO$3,$F96:$CK96)</f>
        <v>3850.1288599999998</v>
      </c>
      <c r="CP96" s="94">
        <f t="shared" si="352"/>
        <v>9390.9578544949418</v>
      </c>
      <c r="CQ96" s="94">
        <f t="shared" si="352"/>
        <v>9215.0473239518142</v>
      </c>
      <c r="CR96" s="94">
        <f t="shared" si="352"/>
        <v>19211.986049212577</v>
      </c>
      <c r="CS96" s="94">
        <f t="shared" si="352"/>
        <v>22417.823970263533</v>
      </c>
      <c r="CT96" s="94">
        <f t="shared" si="353"/>
        <v>26133.36654687089</v>
      </c>
      <c r="CU96" s="94">
        <f t="shared" si="353"/>
        <v>29921.120941130113</v>
      </c>
      <c r="CV96" s="156"/>
      <c r="CW96" s="156"/>
      <c r="CX96" s="156"/>
    </row>
    <row r="97" spans="2:102" s="12" customFormat="1" outlineLevel="1" x14ac:dyDescent="0.2">
      <c r="B97" s="95" t="s">
        <v>90</v>
      </c>
      <c r="C97" s="97" t="s">
        <v>4</v>
      </c>
      <c r="D97" s="109"/>
      <c r="E97" s="147"/>
      <c r="F97" s="10">
        <f>Мясо!F108</f>
        <v>240.65625</v>
      </c>
      <c r="G97" s="10">
        <f>Мясо!G108</f>
        <v>241.30502999999999</v>
      </c>
      <c r="H97" s="10">
        <f>Мясо!H108</f>
        <v>242.529</v>
      </c>
      <c r="I97" s="10">
        <f>Мясо!I108</f>
        <v>235.82321999999999</v>
      </c>
      <c r="J97" s="10">
        <f>Мясо!J108</f>
        <v>242.529</v>
      </c>
      <c r="K97" s="10">
        <f>Мясо!K108</f>
        <v>352.87400000000002</v>
      </c>
      <c r="L97" s="10">
        <f>Мясо!L108</f>
        <v>427.12463000000002</v>
      </c>
      <c r="M97" s="10">
        <f>Мясо!M108</f>
        <v>278.68382000000003</v>
      </c>
      <c r="N97" s="10">
        <f>Мясо!N108</f>
        <v>357.76661999999999</v>
      </c>
      <c r="O97" s="10">
        <f>Мясо!O108</f>
        <v>404.59800000000001</v>
      </c>
      <c r="P97" s="10">
        <f>Мясо!P108</f>
        <v>404.58854000000002</v>
      </c>
      <c r="Q97" s="10">
        <f>Мясо!Q108</f>
        <v>404.59800000000001</v>
      </c>
      <c r="R97" s="10">
        <f>Мясо!R108</f>
        <v>652.6274168790892</v>
      </c>
      <c r="S97" s="10">
        <f>Мясо!S108</f>
        <v>706.48382554403815</v>
      </c>
      <c r="T97" s="10">
        <f>Мясо!T108</f>
        <v>483.92731367002585</v>
      </c>
      <c r="U97" s="10">
        <f>Мясо!U108</f>
        <v>1073.4143034183082</v>
      </c>
      <c r="V97" s="10">
        <f>Мясо!V108</f>
        <v>979.4528483438844</v>
      </c>
      <c r="W97" s="10">
        <f>Мясо!W108</f>
        <v>1189.2439943095962</v>
      </c>
      <c r="X97" s="10">
        <f>Мясо!X108</f>
        <v>677.22353987999998</v>
      </c>
      <c r="Y97" s="10">
        <f>Мясо!Y108</f>
        <v>662.45761500000003</v>
      </c>
      <c r="Z97" s="10">
        <f>Мясо!Z108</f>
        <v>672.36376968000002</v>
      </c>
      <c r="AA97" s="10">
        <f>Мясо!AA108</f>
        <v>632.73714203999998</v>
      </c>
      <c r="AB97" s="10">
        <f>Мясо!AB108</f>
        <v>616.63184520000004</v>
      </c>
      <c r="AC97" s="10">
        <f>Мясо!AC108</f>
        <v>723.5469328800001</v>
      </c>
      <c r="AD97" s="10">
        <f>Мясо!AD108</f>
        <v>381.77027000000004</v>
      </c>
      <c r="AE97" s="10">
        <f>Мясо!AE108</f>
        <v>403.54356999999999</v>
      </c>
      <c r="AF97" s="10">
        <f>Мясо!AF108</f>
        <v>504.36297999999994</v>
      </c>
      <c r="AG97" s="10">
        <f>Мясо!AG108</f>
        <v>501</v>
      </c>
      <c r="AH97" s="10">
        <f>Мясо!AH108</f>
        <v>521</v>
      </c>
      <c r="AI97" s="10">
        <f>Мясо!AI108</f>
        <v>532</v>
      </c>
      <c r="AJ97" s="10">
        <f>Мясо!AJ108</f>
        <v>565</v>
      </c>
      <c r="AK97" s="10">
        <f>Мясо!AK108</f>
        <v>760</v>
      </c>
      <c r="AL97" s="10">
        <f>Мясо!AL108</f>
        <v>850</v>
      </c>
      <c r="AM97" s="10">
        <f>Мясо!AM108</f>
        <v>852.4</v>
      </c>
      <c r="AN97" s="10">
        <f>Мясо!AN108</f>
        <v>903.2</v>
      </c>
      <c r="AO97" s="10">
        <f>Мясо!AO108</f>
        <v>1078.75</v>
      </c>
      <c r="AP97" s="10">
        <f>Мясо!AP108</f>
        <v>929.26250000000005</v>
      </c>
      <c r="AQ97" s="10">
        <f>Мясо!AQ108</f>
        <v>1083.5286458333335</v>
      </c>
      <c r="AR97" s="10">
        <f>Мясо!AR108</f>
        <v>1310.9085648148146</v>
      </c>
      <c r="AS97" s="10">
        <f>Мясо!AS108</f>
        <v>1412.7281007381953</v>
      </c>
      <c r="AT97" s="10">
        <f>Мясо!AT108</f>
        <v>1471.5917716022868</v>
      </c>
      <c r="AU97" s="10">
        <f>Мясо!AU108</f>
        <v>1501.6242567370273</v>
      </c>
      <c r="AV97" s="10">
        <f>Мясо!AV108</f>
        <v>1532.2696497316606</v>
      </c>
      <c r="AW97" s="10">
        <f>Мясо!AW108</f>
        <v>1455.6029111456894</v>
      </c>
      <c r="AX97" s="10">
        <f>Мясо!AX108</f>
        <v>1411.9348238113189</v>
      </c>
      <c r="AY97" s="10">
        <f>Мясо!AY108</f>
        <v>1369.5767790969794</v>
      </c>
      <c r="AZ97" s="10">
        <f>Мясо!AZ108</f>
        <v>1301.09794014213</v>
      </c>
      <c r="BA97" s="10">
        <f>Мясо!BA108</f>
        <v>1734.7972535228403</v>
      </c>
      <c r="BB97" s="10">
        <f>Мясо!BB108</f>
        <v>1076.8728163823282</v>
      </c>
      <c r="BC97" s="10">
        <f>Мясо!BC108</f>
        <v>1260.6776660156252</v>
      </c>
      <c r="BD97" s="10">
        <f>Мясо!BD108</f>
        <v>1524.3881184895833</v>
      </c>
      <c r="BE97" s="10">
        <f>Мясо!BE108</f>
        <v>1642.3446560889176</v>
      </c>
      <c r="BF97" s="10">
        <f>Мясо!BF108</f>
        <v>1710.775683425956</v>
      </c>
      <c r="BG97" s="10">
        <f>Мясо!BG108</f>
        <v>1745.6894728836287</v>
      </c>
      <c r="BH97" s="10">
        <f>Мясо!BH108</f>
        <v>1781.315788656764</v>
      </c>
      <c r="BI97" s="10">
        <f>Мясо!BI108</f>
        <v>1692.4009561040102</v>
      </c>
      <c r="BJ97" s="10">
        <f>Мясо!BJ108</f>
        <v>1641.6289274208893</v>
      </c>
      <c r="BK97" s="10">
        <f>Мясо!BK108</f>
        <v>1592.380059598263</v>
      </c>
      <c r="BL97" s="10">
        <f>Мясо!BL108</f>
        <v>1533.7853279339138</v>
      </c>
      <c r="BM97" s="10">
        <f>Мясо!BM108</f>
        <v>2017.0147421577992</v>
      </c>
      <c r="BN97" s="10">
        <f>Мясо!BN108</f>
        <v>1253.9551709992079</v>
      </c>
      <c r="BO97" s="10">
        <f>Мясо!BO108</f>
        <v>1466.8273510532231</v>
      </c>
      <c r="BP97" s="10">
        <f>Мясо!BP108</f>
        <v>1772.6809543994143</v>
      </c>
      <c r="BQ97" s="10">
        <f>Мясо!BQ108</f>
        <v>1909.3347677442414</v>
      </c>
      <c r="BR97" s="10">
        <f>Мясо!BR108</f>
        <v>1988.8903830669183</v>
      </c>
      <c r="BS97" s="10">
        <f>Мясо!BS108</f>
        <v>2029.4799827213451</v>
      </c>
      <c r="BT97" s="10">
        <f>Мясо!BT108</f>
        <v>2070.8979415523931</v>
      </c>
      <c r="BU97" s="10">
        <f>Мясо!BU108</f>
        <v>1967.7756785690115</v>
      </c>
      <c r="BV97" s="10">
        <f>Мясо!BV108</f>
        <v>1908.7424082119412</v>
      </c>
      <c r="BW97" s="10">
        <f>Мясо!BW108</f>
        <v>1877.2913018975228</v>
      </c>
      <c r="BX97" s="10">
        <f>Мясо!BX108</f>
        <v>1783.4267368026462</v>
      </c>
      <c r="BY97" s="10">
        <f>Мясо!BY108</f>
        <v>2345.5494367749411</v>
      </c>
      <c r="BZ97" s="10">
        <f>Мясо!BZ108</f>
        <v>1427.5180318711416</v>
      </c>
      <c r="CA97" s="10">
        <f>Мясо!CA108</f>
        <v>1672.6155879959679</v>
      </c>
      <c r="CB97" s="10">
        <f>Мясо!CB108</f>
        <v>2023.8593918569727</v>
      </c>
      <c r="CC97" s="10">
        <f>Мясо!CC108</f>
        <v>2181.3170681396714</v>
      </c>
      <c r="CD97" s="10">
        <f>Мясо!CD108</f>
        <v>2272.5208240559123</v>
      </c>
      <c r="CE97" s="10">
        <f>Мясо!CE108</f>
        <v>2319.2207844894547</v>
      </c>
      <c r="CF97" s="10">
        <f>Мясо!CF108</f>
        <v>2366.8803764508739</v>
      </c>
      <c r="CG97" s="10">
        <f>Мясо!CG108</f>
        <v>2248.8184667684595</v>
      </c>
      <c r="CH97" s="10">
        <f>Мясо!CH108</f>
        <v>2212.6976515280467</v>
      </c>
      <c r="CI97" s="10">
        <f>Мясо!CI108</f>
        <v>2146.6165857555452</v>
      </c>
      <c r="CJ97" s="10">
        <f>Мясо!CJ108</f>
        <v>2039.5706270524408</v>
      </c>
      <c r="CK97" s="10">
        <f>Мясо!CK108</f>
        <v>2681.6761506026855</v>
      </c>
      <c r="CN97" s="10"/>
      <c r="CO97" s="10">
        <f>SUMIF($L$2:$CK$2,CO$3,$L97:$CK97)</f>
        <v>2277.35961</v>
      </c>
      <c r="CP97" s="10">
        <f t="shared" si="352"/>
        <v>9070.1105468449423</v>
      </c>
      <c r="CQ97" s="10">
        <f t="shared" si="352"/>
        <v>7853.0268199999991</v>
      </c>
      <c r="CR97" s="10">
        <f t="shared" si="352"/>
        <v>16514.923197176278</v>
      </c>
      <c r="CS97" s="10">
        <f t="shared" si="352"/>
        <v>19219.274215157682</v>
      </c>
      <c r="CT97" s="10">
        <f t="shared" si="353"/>
        <v>22374.852113792804</v>
      </c>
      <c r="CU97" s="10">
        <f t="shared" si="353"/>
        <v>25593.311546567173</v>
      </c>
      <c r="CV97" s="156"/>
      <c r="CW97" s="156"/>
      <c r="CX97" s="156"/>
    </row>
    <row r="98" spans="2:102" s="12" customFormat="1" outlineLevel="1" x14ac:dyDescent="0.2">
      <c r="B98" s="95" t="s">
        <v>282</v>
      </c>
      <c r="C98" s="97" t="s">
        <v>4</v>
      </c>
      <c r="D98" s="109"/>
      <c r="E98" s="147"/>
      <c r="F98" s="22">
        <f>Пицца!F83+Снеки!F82+'Мясная гастрономия'!F82+Сыр!F83+'Кондитерские изделия'!F82</f>
        <v>0</v>
      </c>
      <c r="G98" s="22">
        <f>Пицца!G83+Снеки!G82+'Мясная гастрономия'!G82+Сыр!G83+'Кондитерские изделия'!G82</f>
        <v>0</v>
      </c>
      <c r="H98" s="22">
        <f>Пицца!H83+Снеки!H82+'Мясная гастрономия'!H82+Сыр!H83+'Кондитерские изделия'!H82</f>
        <v>0</v>
      </c>
      <c r="I98" s="22">
        <f>Пицца!I83+Снеки!I82+'Мясная гастрономия'!I82+Сыр!I83+'Кондитерские изделия'!I82</f>
        <v>0</v>
      </c>
      <c r="J98" s="22">
        <f>Пицца!J83+Снеки!J82+'Мясная гастрономия'!J82+Сыр!J83+'Кондитерские изделия'!J82</f>
        <v>0</v>
      </c>
      <c r="K98" s="22">
        <f>Пицца!K83+Снеки!K82+'Мясная гастрономия'!K82+Сыр!K83+'Кондитерские изделия'!K82</f>
        <v>0</v>
      </c>
      <c r="L98" s="22">
        <f>Пицца!L83+Снеки!L82+'Мясная гастрономия'!L82+Сыр!L83+'Кондитерские изделия'!L82</f>
        <v>1.031085</v>
      </c>
      <c r="M98" s="22">
        <f>Пицца!M83+Снеки!M82+'Мясная гастрономия'!M82+Сыр!M83+'Кондитерские изделия'!M82</f>
        <v>2.8699650000000001</v>
      </c>
      <c r="N98" s="22">
        <f>Пицца!N83+Снеки!N82+'Мясная гастрономия'!N82+Сыр!N83+'Кондитерские изделия'!N82</f>
        <v>5.4031949999999993</v>
      </c>
      <c r="O98" s="22">
        <f>Пицца!O83+Снеки!O82+'Мясная гастрономия'!O82+Сыр!O83+'Кондитерские изделия'!O82</f>
        <v>2.8131749999999998</v>
      </c>
      <c r="P98" s="22">
        <f>Пицца!P83+Снеки!P82+'Мясная гастрономия'!P82+Сыр!P83+'Кондитерские изделия'!P82</f>
        <v>2.2314150000000001</v>
      </c>
      <c r="Q98" s="22">
        <f>Пицца!Q83+Снеки!Q82+'Мясная гастрономия'!Q82+Сыр!Q83+'Кондитерские изделия'!Q82</f>
        <v>2.7039149999999998</v>
      </c>
      <c r="R98" s="22">
        <f>Пицца!R83+Снеки!R82+'Мясная гастрономия'!R82+Сыр!R83+'Кондитерские изделия'!R82</f>
        <v>0</v>
      </c>
      <c r="S98" s="22">
        <f>Пицца!S83+Снеки!S82+'Мясная гастрономия'!S82+Сыр!S83+'Кондитерские изделия'!S82</f>
        <v>0</v>
      </c>
      <c r="T98" s="22">
        <f>Пицца!T83+Снеки!T82+'Мясная гастрономия'!T82+Сыр!T83+'Кондитерские изделия'!T82</f>
        <v>0</v>
      </c>
      <c r="U98" s="22">
        <f>Пицца!U83+Снеки!U82+'Мясная гастрономия'!U82+Сыр!U83+'Кондитерские изделия'!U82</f>
        <v>0</v>
      </c>
      <c r="V98" s="22">
        <f>Пицца!V83+Снеки!V82+'Мясная гастрономия'!V82+Сыр!V83+'Кондитерские изделия'!V82</f>
        <v>0</v>
      </c>
      <c r="W98" s="22">
        <f>Пицца!W83+Снеки!W82+'Мясная гастрономия'!W82+Сыр!W83+'Кондитерские изделия'!W82</f>
        <v>0</v>
      </c>
      <c r="X98" s="22">
        <f>Пицца!X83+Снеки!X82+'Мясная гастрономия'!X82+Сыр!X83+'Кондитерские изделия'!X82</f>
        <v>74.94850439999999</v>
      </c>
      <c r="Y98" s="22">
        <f>Пицца!Y83+Снеки!Y82+'Мясная гастрономия'!Y82+Сыр!Y83+'Кондитерские изделия'!Y82</f>
        <v>54.158482800000002</v>
      </c>
      <c r="Z98" s="22">
        <f>Пицца!Z83+Снеки!Z82+'Мясная гастрономия'!Z82+Сыр!Z83+'Кондитерские изделия'!Z82</f>
        <v>44.139404249999998</v>
      </c>
      <c r="AA98" s="22">
        <f>Пицца!AA83+Снеки!AA82+'Мясная гастрономия'!AA82+Сыр!AA83+'Кондитерские изделия'!AA82</f>
        <v>50.071633650000003</v>
      </c>
      <c r="AB98" s="22">
        <f>Пицца!AB83+Снеки!AB82+'Мясная гастрономия'!AB82+Сыр!AB83+'Кондитерские изделия'!AB82</f>
        <v>34.431740550000001</v>
      </c>
      <c r="AC98" s="22">
        <f>Пицца!AC83+Снеки!AC82+'Мясная гастрономия'!AC82+Сыр!AC83+'Кондитерские изделия'!AC82</f>
        <v>63.097542000000004</v>
      </c>
      <c r="AD98" s="22">
        <f>Пицца!AD83+Снеки!AD82+'Мясная гастрономия'!AD82+Сыр!AD83+'Кондитерские изделия'!AD82</f>
        <v>22.235264999999998</v>
      </c>
      <c r="AE98" s="22">
        <f>Пицца!AE83+Снеки!AE82+'Мясная гастрономия'!AE82+Сыр!AE83+'Кондитерские изделия'!AE82</f>
        <v>26.549595</v>
      </c>
      <c r="AF98" s="22">
        <f>Пицца!AF83+Снеки!AF82+'Мясная гастрономия'!AF82+Сыр!AF83+'Кондитерские изделия'!AF82</f>
        <v>31.377374999999997</v>
      </c>
      <c r="AG98" s="22">
        <f>Пицца!AG83+Снеки!AG82+'Мясная гастрономия'!AG82+Сыр!AG83+'Кондитерские изделия'!AG82</f>
        <v>31.848035624999998</v>
      </c>
      <c r="AH98" s="22">
        <f>Пицца!AH83+Снеки!AH82+'Мясная гастрономия'!AH82+Сыр!AH83+'Кондитерские изделия'!AH82</f>
        <v>89.143065736874988</v>
      </c>
      <c r="AI98" s="22">
        <f>Пицца!AI83+Снеки!AI82+'Мясная гастрономия'!AI82+Сыр!AI83+'Кондитерские изделия'!AI82</f>
        <v>129.77680999654686</v>
      </c>
      <c r="AJ98" s="22">
        <f>Пицца!AJ83+Снеки!AJ82+'Мясная гастрономия'!AJ82+Сыр!AJ83+'Кондитерские изделия'!AJ82</f>
        <v>142.94421817406649</v>
      </c>
      <c r="AK98" s="22">
        <f>Пицца!AK83+Снеки!AK82+'Мясная гастрономия'!AK82+Сыр!AK83+'Кондитерские изделия'!AK82</f>
        <v>165.29950209885052</v>
      </c>
      <c r="AL98" s="22">
        <f>Пицца!AL83+Снеки!AL82+'Мясная гастрономия'!AL82+Сыр!AL83+'Кондитерские изделия'!AL82</f>
        <v>174.62589954625417</v>
      </c>
      <c r="AM98" s="22">
        <f>Пицца!AM83+Снеки!AM82+'Мясная гастрономия'!AM82+Сыр!AM83+'Кондитерские изделия'!AM82</f>
        <v>178.27029160386451</v>
      </c>
      <c r="AN98" s="22">
        <f>Пицца!AN83+Снеки!AN82+'Мясная гастрономия'!AN82+Сыр!AN83+'Кондитерские изделия'!AN82</f>
        <v>182.17456095296407</v>
      </c>
      <c r="AO98" s="22">
        <f>Пицца!AO83+Снеки!AO82+'Мясная гастрономия'!AO82+Сыр!AO83+'Кондитерские изделия'!AO82</f>
        <v>187.77588521739312</v>
      </c>
      <c r="AP98" s="22">
        <f>Пицца!AP83+Снеки!AP82+'Мясная гастрономия'!AP82+Сыр!AP83+'Кондитерские изделия'!AP82</f>
        <v>203.28291725144356</v>
      </c>
      <c r="AQ98" s="22">
        <f>Пицца!AQ83+Снеки!AQ82+'Мясная гастрономия'!AQ82+Сыр!AQ83+'Кондитерские изделия'!AQ82</f>
        <v>208.53787364934095</v>
      </c>
      <c r="AR98" s="22">
        <f>Пицца!AR83+Снеки!AR82+'Мясная гастрономия'!AR82+Сыр!AR83+'Кондитерские изделия'!AR82</f>
        <v>214.76162058405208</v>
      </c>
      <c r="AS98" s="22">
        <f>Пицца!AS83+Снеки!AS82+'Мясная гастрономия'!AS82+Сыр!AS83+'Кондитерские изделия'!AS82</f>
        <v>221.50650945703319</v>
      </c>
      <c r="AT98" s="22">
        <f>Пицца!AT83+Снеки!AT82+'Мясная гастрономия'!AT82+Сыр!AT83+'Кондитерские изделия'!AT82</f>
        <v>223.62697234336184</v>
      </c>
      <c r="AU98" s="22">
        <f>Пицца!AU83+Снеки!AU82+'Мясная гастрономия'!AU82+Сыр!AU83+'Кондитерские изделия'!AU82</f>
        <v>225.29285481814489</v>
      </c>
      <c r="AV98" s="22">
        <f>Пицца!AV83+Снеки!AV82+'Мясная гастрономия'!AV82+Сыр!AV83+'Кондитерские изделия'!AV82</f>
        <v>227.03090799227215</v>
      </c>
      <c r="AW98" s="22">
        <f>Пицца!AW83+Снеки!AW82+'Мясная гастрономия'!AW82+Сыр!AW83+'Кондитерские изделия'!AW82</f>
        <v>228.84749995260168</v>
      </c>
      <c r="AX98" s="22">
        <f>Пицца!AX83+Снеки!AX82+'Мясная гастрономия'!AX82+Сыр!AX83+'Кондитерские изделия'!AX82</f>
        <v>230.74962705049674</v>
      </c>
      <c r="AY98" s="22">
        <f>Пицца!AY83+Снеки!AY82+'Мясная гастрономия'!AY82+Сыр!AY83+'Кондитерские изделия'!AY82</f>
        <v>233.30251257590299</v>
      </c>
      <c r="AZ98" s="22">
        <f>Пицца!AZ83+Снеки!AZ82+'Мясная гастрономия'!AZ82+Сыр!AZ83+'Кондитерские изделия'!AZ82</f>
        <v>235.97283708174717</v>
      </c>
      <c r="BA98" s="22">
        <f>Пицца!BA83+Снеки!BA82+'Мясная гастрономия'!BA82+Сыр!BA83+'Кондитерские изделия'!BA82</f>
        <v>244.15071927990368</v>
      </c>
      <c r="BB98" s="22">
        <f>Пицца!BB83+Снеки!BB82+'Мясная гастрономия'!BB82+Сыр!BB83+'Кондитерские изделия'!BB82</f>
        <v>245.89106230027744</v>
      </c>
      <c r="BC98" s="22">
        <f>Пицца!BC83+Снеки!BC82+'Мясная гастрономия'!BC82+Сыр!BC83+'Кондитерские изделия'!BC82</f>
        <v>246.53641676753932</v>
      </c>
      <c r="BD98" s="22">
        <f>Пицца!BD83+Снеки!BD82+'Мясная гастрономия'!BD82+Сыр!BD83+'Кондитерские изделия'!BD82</f>
        <v>254.22752043840961</v>
      </c>
      <c r="BE98" s="22">
        <f>Пицца!BE83+Снеки!BE82+'Мясная гастрономия'!BE82+Сыр!BE83+'Кондитерские изделия'!BE82</f>
        <v>262.56854573979246</v>
      </c>
      <c r="BF98" s="22">
        <f>Пицца!BF83+Снеки!BF82+'Мясная гастрономия'!BF82+Сыр!BF83+'Кондитерские изделия'!BF82</f>
        <v>265.12750663680265</v>
      </c>
      <c r="BG98" s="22">
        <f>Пицца!BG83+Снеки!BG82+'Мясная гастрономия'!BG82+Сыр!BG83+'Кондитерские изделия'!BG82</f>
        <v>266.94304338391942</v>
      </c>
      <c r="BH98" s="22">
        <f>Пицца!BH83+Снеки!BH82+'Мясная гастрономия'!BH82+Сыр!BH83+'Кондитерские изделия'!BH82</f>
        <v>268.84507657161043</v>
      </c>
      <c r="BI98" s="22">
        <f>Пицца!BI83+Снеки!BI82+'Мясная гастрономия'!BI82+Сыр!BI83+'Кондитерские изделия'!BI82</f>
        <v>270.84152401618451</v>
      </c>
      <c r="BJ98" s="22">
        <f>Пицца!BJ83+Снеки!BJ82+'Мясная гастрономия'!BJ82+Сыр!BJ83+'Кондитерские изделия'!BJ82</f>
        <v>272.94108841846327</v>
      </c>
      <c r="BK98" s="22">
        <f>Пицца!BK83+Снеки!BK82+'Мясная гастрономия'!BK82+Сыр!BK83+'Кондитерские изделия'!BK82</f>
        <v>276.02229994340678</v>
      </c>
      <c r="BL98" s="22">
        <f>Пицца!BL83+Снеки!BL82+'Мясная гастрономия'!BL82+Сыр!BL83+'Кондитерские изделия'!BL82</f>
        <v>279.24846636915271</v>
      </c>
      <c r="BM98" s="22">
        <f>Пицца!BM83+Снеки!BM82+'Мясная гастрономия'!BM82+Сыр!BM83+'Кондитерские изделия'!BM82</f>
        <v>289.35720452029238</v>
      </c>
      <c r="BN98" s="22">
        <f>Пицца!BN83+Снеки!BN82+'Мясная гастрономия'!BN82+Сыр!BN83+'Кондитерские изделия'!BN82</f>
        <v>288.29279881386481</v>
      </c>
      <c r="BO98" s="22">
        <f>Пицца!BO83+Снеки!BO82+'Мясная гастрономия'!BO82+Сыр!BO83+'Кондитерские изделия'!BO82</f>
        <v>289.05421886629119</v>
      </c>
      <c r="BP98" s="22">
        <f>Пицца!BP83+Снеки!BP82+'Мясная гастрономия'!BP82+Сыр!BP83+'Кондитерские изделия'!BP82</f>
        <v>298.36384488953354</v>
      </c>
      <c r="BQ98" s="22">
        <f>Пицца!BQ83+Снеки!BQ82+'Мясная гастрономия'!BQ82+Сыр!BQ83+'Кондитерские изделия'!BQ82</f>
        <v>308.46518790159564</v>
      </c>
      <c r="BR98" s="22">
        <f>Пицца!BR83+Снеки!BR82+'Мясная гастрономия'!BR82+Сыр!BR83+'Кондитерские изделия'!BR82</f>
        <v>311.51120543703985</v>
      </c>
      <c r="BS98" s="22">
        <f>Пицца!BS83+Снеки!BS82+'Мясная гастрономия'!BS82+Сыр!BS83+'Кондитерские изделия'!BS82</f>
        <v>313.69880596189222</v>
      </c>
      <c r="BT98" s="22">
        <f>Пицца!BT83+Снеки!BT82+'Мясная гастрономия'!BT82+Сыр!BT83+'Кондитерские изделия'!BT82</f>
        <v>315.99178428460209</v>
      </c>
      <c r="BU98" s="22">
        <f>Пицца!BU83+Снеки!BU82+'Мясная гастрономия'!BU82+Сыр!BU83+'Кондитерские изделия'!BU82</f>
        <v>318.39979969645776</v>
      </c>
      <c r="BV98" s="22">
        <f>Пицца!BV83+Снеки!BV82+'Мясная гастрономия'!BV82+Сыр!BV83+'Кондитерские изделия'!BV82</f>
        <v>320.93346905668852</v>
      </c>
      <c r="BW98" s="22">
        <f>Пицца!BW83+Снеки!BW82+'Мясная гастрономия'!BW82+Сыр!BW83+'Кондитерские изделия'!BW82</f>
        <v>324.61359705326299</v>
      </c>
      <c r="BX98" s="22">
        <f>Пицца!BX83+Снеки!BX82+'Мясная гастрономия'!BX82+Сыр!BX83+'Кондитерские изделия'!BX82</f>
        <v>328.46929292687531</v>
      </c>
      <c r="BY98" s="22">
        <f>Пицца!BY83+Снеки!BY82+'Мясная гастрономия'!BY82+Сыр!BY83+'Кондитерские изделия'!BY82</f>
        <v>340.72042818997863</v>
      </c>
      <c r="BZ98" s="22">
        <f>Пицца!BZ83+Снеки!BZ82+'Мясная гастрономия'!BZ82+Сыр!BZ83+'Кондитерские изделия'!BZ82</f>
        <v>327.19484273481817</v>
      </c>
      <c r="CA98" s="22">
        <f>Пицца!CA83+Снеки!CA82+'Мясная гастрономия'!CA82+Сыр!CA83+'Кондитерские изделия'!CA82</f>
        <v>329.1844478494865</v>
      </c>
      <c r="CB98" s="22">
        <f>Пицца!CB83+Снеки!CB82+'Мясная гастрономия'!CB82+Сыр!CB83+'Кондитерские изделия'!CB82</f>
        <v>340.4963199955979</v>
      </c>
      <c r="CC98" s="22">
        <f>Пицца!CC83+Снеки!CC82+'Мясная гастрономия'!CC82+Сыр!CC83+'Кондитерские изделия'!CC82</f>
        <v>352.7734113183011</v>
      </c>
      <c r="CD98" s="22">
        <f>Пицца!CD83+Снеки!CD82+'Мясная гастрономия'!CD82+Сыр!CD83+'Кондитерские изделия'!CD82</f>
        <v>356.44232012700081</v>
      </c>
      <c r="CE98" s="22">
        <f>Пицца!CE83+Снеки!CE82+'Мясная гастрономия'!CE82+Сыр!CE83+'Кондитерские изделия'!CE82</f>
        <v>360.25779102351242</v>
      </c>
      <c r="CF98" s="22">
        <f>Пицца!CF83+Снеки!CF82+'Мясная гастрономия'!CF82+Сыр!CF83+'Кондитерские изделия'!CF82</f>
        <v>364.23114242887999</v>
      </c>
      <c r="CG98" s="22">
        <f>Пицца!CG83+Снеки!CG82+'Мясная гастрономия'!CG82+Сыр!CG83+'Кондитерские изделия'!CG82</f>
        <v>368.37476663211567</v>
      </c>
      <c r="CH98" s="22">
        <f>Пицца!CH83+Снеки!CH82+'Мясная гастрономия'!CH82+Сыр!CH83+'Кондитерские изделия'!CH82</f>
        <v>372.70223611298712</v>
      </c>
      <c r="CI98" s="22">
        <f>Пицца!CI83+Снеки!CI82+'Мясная гастрономия'!CI82+Сыр!CI83+'Кондитерские изделия'!CI82</f>
        <v>377.22842047705416</v>
      </c>
      <c r="CJ98" s="22">
        <f>Пицца!CJ83+Снеки!CJ82+'Мясная гастрономия'!CJ82+Сыр!CJ83+'Кондитерские изделия'!CJ82</f>
        <v>381.96961506379705</v>
      </c>
      <c r="CK98" s="22">
        <f>Пицца!CK83+Снеки!CK82+'Мясная гастрономия'!CK82+Сыр!CK83+'Кондитерские изделия'!CK82</f>
        <v>396.95408079938989</v>
      </c>
      <c r="CN98" s="10"/>
      <c r="CO98" s="10">
        <f>SUMIF($L$2:$CK$2,CO$3,$L98:$CK98)</f>
        <v>17.05275</v>
      </c>
      <c r="CP98" s="10">
        <f t="shared" si="352"/>
        <v>320.84730764999995</v>
      </c>
      <c r="CQ98" s="10">
        <f t="shared" si="352"/>
        <v>1362.0205039518148</v>
      </c>
      <c r="CR98" s="10">
        <f t="shared" si="352"/>
        <v>2697.0628520363007</v>
      </c>
      <c r="CS98" s="10">
        <f t="shared" si="352"/>
        <v>3198.5497551058506</v>
      </c>
      <c r="CT98" s="10">
        <f t="shared" si="353"/>
        <v>3758.5144330780818</v>
      </c>
      <c r="CU98" s="10">
        <f t="shared" si="353"/>
        <v>4327.8093945629407</v>
      </c>
      <c r="CV98" s="156"/>
      <c r="CW98" s="156"/>
      <c r="CX98" s="156"/>
    </row>
    <row r="99" spans="2:102" s="12" customFormat="1" outlineLevel="1" x14ac:dyDescent="0.2">
      <c r="B99" s="95"/>
      <c r="C99" s="97"/>
      <c r="D99" s="147"/>
      <c r="E99" s="147"/>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N99" s="10"/>
      <c r="CO99" s="10"/>
      <c r="CP99" s="10"/>
      <c r="CQ99" s="10"/>
      <c r="CR99" s="10"/>
      <c r="CS99" s="10"/>
      <c r="CT99" s="10"/>
      <c r="CU99" s="10"/>
      <c r="CV99" s="156"/>
      <c r="CW99" s="156"/>
      <c r="CX99" s="156"/>
    </row>
    <row r="100" spans="2:102" x14ac:dyDescent="0.2">
      <c r="B100" s="20" t="s">
        <v>6</v>
      </c>
      <c r="C100" s="23" t="s">
        <v>4</v>
      </c>
      <c r="D100" s="23"/>
      <c r="E100" s="102"/>
      <c r="F100" s="24">
        <f t="shared" ref="F100:AK100" si="367">F87+F89+F90+F93+F96</f>
        <v>2805.1372200000001</v>
      </c>
      <c r="G100" s="24">
        <f t="shared" si="367"/>
        <v>2908.6707099999999</v>
      </c>
      <c r="H100" s="24">
        <f t="shared" si="367"/>
        <v>2983.15461</v>
      </c>
      <c r="I100" s="24">
        <f t="shared" si="367"/>
        <v>3016.7007299999996</v>
      </c>
      <c r="J100" s="24">
        <f t="shared" si="367"/>
        <v>2698.4906599999999</v>
      </c>
      <c r="K100" s="24">
        <f t="shared" si="367"/>
        <v>3449.9086399999997</v>
      </c>
      <c r="L100" s="24">
        <f t="shared" si="367"/>
        <v>3998.0436058999999</v>
      </c>
      <c r="M100" s="24">
        <f t="shared" si="367"/>
        <v>3576.0078811000003</v>
      </c>
      <c r="N100" s="24">
        <f t="shared" si="367"/>
        <v>3556.2032253000007</v>
      </c>
      <c r="O100" s="24">
        <f t="shared" si="367"/>
        <v>3779.6540845000004</v>
      </c>
      <c r="P100" s="24">
        <f t="shared" si="367"/>
        <v>3675.3836741</v>
      </c>
      <c r="Q100" s="24">
        <f t="shared" si="367"/>
        <v>4119.6375341000003</v>
      </c>
      <c r="R100" s="24">
        <f t="shared" si="367"/>
        <v>3508</v>
      </c>
      <c r="S100" s="24">
        <f t="shared" si="367"/>
        <v>3479</v>
      </c>
      <c r="T100" s="24">
        <f t="shared" si="367"/>
        <v>3467</v>
      </c>
      <c r="U100" s="24">
        <f t="shared" si="367"/>
        <v>4360</v>
      </c>
      <c r="V100" s="24">
        <f t="shared" si="367"/>
        <v>4079</v>
      </c>
      <c r="W100" s="24">
        <f t="shared" si="367"/>
        <v>4701</v>
      </c>
      <c r="X100" s="24">
        <f t="shared" si="367"/>
        <v>5842.3344234583747</v>
      </c>
      <c r="Y100" s="24">
        <f t="shared" si="367"/>
        <v>5696.0560487105886</v>
      </c>
      <c r="Z100" s="24">
        <f t="shared" si="367"/>
        <v>5730.00644107058</v>
      </c>
      <c r="AA100" s="24">
        <f t="shared" si="367"/>
        <v>4054.3566874943945</v>
      </c>
      <c r="AB100" s="24">
        <f t="shared" si="367"/>
        <v>3932.1946406553056</v>
      </c>
      <c r="AC100" s="24">
        <f t="shared" si="367"/>
        <v>4181.4058416611224</v>
      </c>
      <c r="AD100" s="24">
        <f t="shared" si="367"/>
        <v>4167.253457614951</v>
      </c>
      <c r="AE100" s="24">
        <f t="shared" si="367"/>
        <v>4340.7169682121676</v>
      </c>
      <c r="AF100" s="24">
        <f t="shared" si="367"/>
        <v>4896.676888680312</v>
      </c>
      <c r="AG100" s="24">
        <f t="shared" si="367"/>
        <v>4845.0800870256371</v>
      </c>
      <c r="AH100" s="24">
        <f t="shared" si="367"/>
        <v>5017.9233199060445</v>
      </c>
      <c r="AI100" s="24">
        <f t="shared" si="367"/>
        <v>5138.1543206400847</v>
      </c>
      <c r="AJ100" s="24">
        <f t="shared" si="367"/>
        <v>5406.0318900916027</v>
      </c>
      <c r="AK100" s="24">
        <f t="shared" si="367"/>
        <v>6467.6690645166836</v>
      </c>
      <c r="AL100" s="24">
        <f t="shared" ref="AL100:BQ100" si="368">AL87+AL89+AL90+AL93+AL96</f>
        <v>6951.2722243272874</v>
      </c>
      <c r="AM100" s="24">
        <f t="shared" si="368"/>
        <v>6958.5555664864132</v>
      </c>
      <c r="AN100" s="24">
        <f t="shared" si="368"/>
        <v>7270.4497000401034</v>
      </c>
      <c r="AO100" s="24">
        <f t="shared" si="368"/>
        <v>8234.2249091770391</v>
      </c>
      <c r="AP100" s="24">
        <f t="shared" si="368"/>
        <v>7509.9518257458685</v>
      </c>
      <c r="AQ100" s="24">
        <f t="shared" si="368"/>
        <v>8357.0302170288178</v>
      </c>
      <c r="AR100" s="24">
        <f t="shared" si="368"/>
        <v>9603.8509509436426</v>
      </c>
      <c r="AS100" s="24">
        <f t="shared" si="368"/>
        <v>10166.736690923677</v>
      </c>
      <c r="AT100" s="24">
        <f t="shared" si="368"/>
        <v>10490.154425002169</v>
      </c>
      <c r="AU100" s="24">
        <f t="shared" si="368"/>
        <v>11649.340618006785</v>
      </c>
      <c r="AV100" s="24">
        <f t="shared" si="368"/>
        <v>11695.866674566239</v>
      </c>
      <c r="AW100" s="24">
        <f t="shared" si="368"/>
        <v>10409.097510212428</v>
      </c>
      <c r="AX100" s="24">
        <f t="shared" si="368"/>
        <v>10218.250432930547</v>
      </c>
      <c r="AY100" s="24">
        <f t="shared" si="368"/>
        <v>9990.3252352725358</v>
      </c>
      <c r="AZ100" s="24">
        <f t="shared" si="368"/>
        <v>9620.1300604450207</v>
      </c>
      <c r="BA100" s="24">
        <f t="shared" si="368"/>
        <v>12054.819440382982</v>
      </c>
      <c r="BB100" s="24">
        <f t="shared" si="368"/>
        <v>8466.1092956902539</v>
      </c>
      <c r="BC100" s="24">
        <f t="shared" si="368"/>
        <v>9468.9572562890753</v>
      </c>
      <c r="BD100" s="24">
        <f t="shared" si="368"/>
        <v>11817.982893475139</v>
      </c>
      <c r="BE100" s="24">
        <f t="shared" si="368"/>
        <v>11998.855862079457</v>
      </c>
      <c r="BF100" s="24">
        <f t="shared" si="368"/>
        <v>12101.224372444889</v>
      </c>
      <c r="BG100" s="24">
        <f t="shared" si="368"/>
        <v>12154.030362229401</v>
      </c>
      <c r="BH100" s="24">
        <f t="shared" si="368"/>
        <v>12207.97000873423</v>
      </c>
      <c r="BI100" s="24">
        <f t="shared" si="368"/>
        <v>12081.207508827514</v>
      </c>
      <c r="BJ100" s="24">
        <f t="shared" si="368"/>
        <v>12009.939403804314</v>
      </c>
      <c r="BK100" s="24">
        <f t="shared" si="368"/>
        <v>11942.060318991787</v>
      </c>
      <c r="BL100" s="24">
        <f t="shared" si="368"/>
        <v>11860.780186620066</v>
      </c>
      <c r="BM100" s="24">
        <f t="shared" si="368"/>
        <v>12573.990409274176</v>
      </c>
      <c r="BN100" s="24">
        <f t="shared" si="368"/>
        <v>9541.8317586335106</v>
      </c>
      <c r="BO100" s="24">
        <f t="shared" si="368"/>
        <v>10703.289314641244</v>
      </c>
      <c r="BP100" s="24">
        <f t="shared" si="368"/>
        <v>12290.764630516711</v>
      </c>
      <c r="BQ100" s="24">
        <f t="shared" si="368"/>
        <v>12500.809255338809</v>
      </c>
      <c r="BR100" s="24">
        <f t="shared" ref="BR100:BX100" si="369">BR87+BR89+BR90+BR93+BR96</f>
        <v>12619.901247778584</v>
      </c>
      <c r="BS100" s="24">
        <f t="shared" si="369"/>
        <v>12681.380321227132</v>
      </c>
      <c r="BT100" s="24">
        <f t="shared" si="369"/>
        <v>12744.182864677612</v>
      </c>
      <c r="BU100" s="24">
        <f t="shared" si="369"/>
        <v>12597.271992455604</v>
      </c>
      <c r="BV100" s="24">
        <f t="shared" si="369"/>
        <v>12514.514089406668</v>
      </c>
      <c r="BW100" s="24">
        <f t="shared" si="369"/>
        <v>12473.175359663484</v>
      </c>
      <c r="BX100" s="24">
        <f t="shared" si="369"/>
        <v>12341.426669669352</v>
      </c>
      <c r="BY100" s="24">
        <f t="shared" ref="BY100:CK100" si="370">BY87+BY89+BY90+BY93+BY96</f>
        <v>13171.640134527508</v>
      </c>
      <c r="BZ100" s="24">
        <f t="shared" si="370"/>
        <v>10533.920684427445</v>
      </c>
      <c r="CA100" s="24">
        <f t="shared" si="370"/>
        <v>12182.084489297416</v>
      </c>
      <c r="CB100" s="24">
        <f t="shared" si="370"/>
        <v>12705.075276271076</v>
      </c>
      <c r="CC100" s="24">
        <f t="shared" si="370"/>
        <v>12947.829780716618</v>
      </c>
      <c r="CD100" s="24">
        <f t="shared" si="370"/>
        <v>13084.56594708084</v>
      </c>
      <c r="CE100" s="24">
        <f t="shared" si="370"/>
        <v>13156.860786469784</v>
      </c>
      <c r="CF100" s="24">
        <f t="shared" si="370"/>
        <v>13230.73164373695</v>
      </c>
      <c r="CG100" s="24">
        <f t="shared" si="370"/>
        <v>13064.202965416833</v>
      </c>
      <c r="CH100" s="24">
        <f t="shared" si="370"/>
        <v>13016.849955243659</v>
      </c>
      <c r="CI100" s="24">
        <f t="shared" si="370"/>
        <v>12926.229872751575</v>
      </c>
      <c r="CJ100" s="24">
        <f t="shared" si="370"/>
        <v>12776.384701572682</v>
      </c>
      <c r="CK100" s="24">
        <f t="shared" si="370"/>
        <v>13725.869828718845</v>
      </c>
      <c r="CN100" s="146"/>
      <c r="CO100" s="24">
        <f>SUMIF($F$2:$CK$2,CO$3,$F100:$CK100)</f>
        <v>40566.992574999997</v>
      </c>
      <c r="CP100" s="24">
        <f>SUMIF($L$2:$CK$2,CP$3,$L100:$CK100)</f>
        <v>53030.354083050363</v>
      </c>
      <c r="CQ100" s="24">
        <f>SUMIF($L$2:$CK$2,CQ$3,$L100:$CK100)</f>
        <v>69694.008396718331</v>
      </c>
      <c r="CR100" s="24">
        <f>SUMIF($L$2:$CK$2,CR$3,$L100:$CK100)</f>
        <v>121765.55408146071</v>
      </c>
      <c r="CS100" s="24">
        <f>SUMIF($L$2:$CK$2,CS$3,$L100:$CK100)</f>
        <v>138683.10787846029</v>
      </c>
      <c r="CT100" s="24">
        <f t="shared" ref="CT100:CU100" si="371">SUMIF($L$2:$CK$2,CT$3,$L100:$CK100)</f>
        <v>146180.18763853621</v>
      </c>
      <c r="CU100" s="24">
        <f t="shared" si="371"/>
        <v>153350.6059317037</v>
      </c>
    </row>
    <row r="101" spans="2:102" x14ac:dyDescent="0.2">
      <c r="CO101" s="10">
        <f>CO100-CO13</f>
        <v>45186.354154999994</v>
      </c>
    </row>
    <row r="103" spans="2:102" x14ac:dyDescent="0.2">
      <c r="B103" s="12" t="s">
        <v>67</v>
      </c>
      <c r="CN103" s="193"/>
    </row>
    <row r="104" spans="2:102" x14ac:dyDescent="0.2">
      <c r="B104" s="131" t="s">
        <v>1</v>
      </c>
      <c r="C104" s="128" t="s">
        <v>2</v>
      </c>
      <c r="D104" s="102" t="s">
        <v>38</v>
      </c>
      <c r="E104" s="102"/>
      <c r="F104" s="129">
        <f t="shared" ref="F104:AK104" si="372">F86</f>
        <v>45292</v>
      </c>
      <c r="G104" s="129">
        <f t="shared" si="372"/>
        <v>45323</v>
      </c>
      <c r="H104" s="129">
        <f t="shared" si="372"/>
        <v>45352</v>
      </c>
      <c r="I104" s="129">
        <f t="shared" si="372"/>
        <v>45383</v>
      </c>
      <c r="J104" s="129">
        <f t="shared" si="372"/>
        <v>45413</v>
      </c>
      <c r="K104" s="129">
        <f t="shared" si="372"/>
        <v>45444</v>
      </c>
      <c r="L104" s="129">
        <f t="shared" si="372"/>
        <v>45474</v>
      </c>
      <c r="M104" s="129">
        <f t="shared" si="372"/>
        <v>45505</v>
      </c>
      <c r="N104" s="129">
        <f t="shared" si="372"/>
        <v>45536</v>
      </c>
      <c r="O104" s="129">
        <f t="shared" si="372"/>
        <v>45566</v>
      </c>
      <c r="P104" s="129">
        <f t="shared" si="372"/>
        <v>45597</v>
      </c>
      <c r="Q104" s="129">
        <f t="shared" si="372"/>
        <v>45627</v>
      </c>
      <c r="R104" s="129">
        <f t="shared" si="372"/>
        <v>45658</v>
      </c>
      <c r="S104" s="129">
        <f t="shared" si="372"/>
        <v>45689</v>
      </c>
      <c r="T104" s="129">
        <f t="shared" si="372"/>
        <v>45717</v>
      </c>
      <c r="U104" s="129">
        <f t="shared" si="372"/>
        <v>45748</v>
      </c>
      <c r="V104" s="129">
        <f t="shared" si="372"/>
        <v>45778</v>
      </c>
      <c r="W104" s="129">
        <f t="shared" si="372"/>
        <v>45809</v>
      </c>
      <c r="X104" s="129">
        <f t="shared" si="372"/>
        <v>45839</v>
      </c>
      <c r="Y104" s="129">
        <f t="shared" si="372"/>
        <v>45870</v>
      </c>
      <c r="Z104" s="129">
        <f t="shared" si="372"/>
        <v>45901</v>
      </c>
      <c r="AA104" s="129">
        <f t="shared" si="372"/>
        <v>45931</v>
      </c>
      <c r="AB104" s="129">
        <f t="shared" si="372"/>
        <v>45962</v>
      </c>
      <c r="AC104" s="129">
        <f t="shared" si="372"/>
        <v>45992</v>
      </c>
      <c r="AD104" s="129">
        <f t="shared" si="372"/>
        <v>46023</v>
      </c>
      <c r="AE104" s="129">
        <f t="shared" si="372"/>
        <v>46054</v>
      </c>
      <c r="AF104" s="129">
        <f t="shared" si="372"/>
        <v>46082</v>
      </c>
      <c r="AG104" s="129">
        <f t="shared" si="372"/>
        <v>46113</v>
      </c>
      <c r="AH104" s="129">
        <f t="shared" si="372"/>
        <v>46143</v>
      </c>
      <c r="AI104" s="129">
        <f t="shared" si="372"/>
        <v>46174</v>
      </c>
      <c r="AJ104" s="129">
        <f t="shared" si="372"/>
        <v>46204</v>
      </c>
      <c r="AK104" s="129">
        <f t="shared" si="372"/>
        <v>46235</v>
      </c>
      <c r="AL104" s="129">
        <f t="shared" ref="AL104:BQ104" si="373">AL86</f>
        <v>46266</v>
      </c>
      <c r="AM104" s="129">
        <f t="shared" si="373"/>
        <v>46296</v>
      </c>
      <c r="AN104" s="129">
        <f t="shared" si="373"/>
        <v>46327</v>
      </c>
      <c r="AO104" s="129">
        <f t="shared" si="373"/>
        <v>46357</v>
      </c>
      <c r="AP104" s="129">
        <f t="shared" si="373"/>
        <v>46388</v>
      </c>
      <c r="AQ104" s="129">
        <f t="shared" si="373"/>
        <v>46419</v>
      </c>
      <c r="AR104" s="129">
        <f t="shared" si="373"/>
        <v>46447</v>
      </c>
      <c r="AS104" s="129">
        <f t="shared" si="373"/>
        <v>46478</v>
      </c>
      <c r="AT104" s="129">
        <f t="shared" si="373"/>
        <v>46508</v>
      </c>
      <c r="AU104" s="129">
        <f t="shared" si="373"/>
        <v>46539</v>
      </c>
      <c r="AV104" s="129">
        <f t="shared" si="373"/>
        <v>46569</v>
      </c>
      <c r="AW104" s="129">
        <f t="shared" si="373"/>
        <v>46600</v>
      </c>
      <c r="AX104" s="129">
        <f t="shared" si="373"/>
        <v>46631</v>
      </c>
      <c r="AY104" s="129">
        <f t="shared" si="373"/>
        <v>46661</v>
      </c>
      <c r="AZ104" s="129">
        <f t="shared" si="373"/>
        <v>46692</v>
      </c>
      <c r="BA104" s="129">
        <f t="shared" si="373"/>
        <v>46722</v>
      </c>
      <c r="BB104" s="129">
        <f t="shared" si="373"/>
        <v>46753</v>
      </c>
      <c r="BC104" s="129">
        <f t="shared" si="373"/>
        <v>46784</v>
      </c>
      <c r="BD104" s="129">
        <f t="shared" si="373"/>
        <v>46813</v>
      </c>
      <c r="BE104" s="129">
        <f t="shared" si="373"/>
        <v>46844</v>
      </c>
      <c r="BF104" s="129">
        <f t="shared" si="373"/>
        <v>46874</v>
      </c>
      <c r="BG104" s="129">
        <f t="shared" si="373"/>
        <v>46905</v>
      </c>
      <c r="BH104" s="129">
        <f t="shared" si="373"/>
        <v>46935</v>
      </c>
      <c r="BI104" s="129">
        <f t="shared" si="373"/>
        <v>46966</v>
      </c>
      <c r="BJ104" s="129">
        <f t="shared" si="373"/>
        <v>46997</v>
      </c>
      <c r="BK104" s="129">
        <f t="shared" si="373"/>
        <v>47027</v>
      </c>
      <c r="BL104" s="129">
        <f t="shared" si="373"/>
        <v>47058</v>
      </c>
      <c r="BM104" s="129">
        <f t="shared" si="373"/>
        <v>47088</v>
      </c>
      <c r="BN104" s="129">
        <f t="shared" si="373"/>
        <v>47119</v>
      </c>
      <c r="BO104" s="129">
        <f t="shared" si="373"/>
        <v>47150</v>
      </c>
      <c r="BP104" s="129">
        <f t="shared" si="373"/>
        <v>47178</v>
      </c>
      <c r="BQ104" s="129">
        <f t="shared" si="373"/>
        <v>47209</v>
      </c>
      <c r="BR104" s="129">
        <f t="shared" ref="BR104:BX104" si="374">BR86</f>
        <v>47239</v>
      </c>
      <c r="BS104" s="129">
        <f t="shared" si="374"/>
        <v>47270</v>
      </c>
      <c r="BT104" s="129">
        <f t="shared" si="374"/>
        <v>47300</v>
      </c>
      <c r="BU104" s="129">
        <f t="shared" si="374"/>
        <v>47331</v>
      </c>
      <c r="BV104" s="129">
        <f t="shared" si="374"/>
        <v>47362</v>
      </c>
      <c r="BW104" s="129">
        <f t="shared" si="374"/>
        <v>47392</v>
      </c>
      <c r="BX104" s="129">
        <f t="shared" si="374"/>
        <v>47423</v>
      </c>
      <c r="BY104" s="129">
        <f t="shared" ref="BY104:CK104" si="375">BY86</f>
        <v>47453</v>
      </c>
      <c r="BZ104" s="129">
        <f t="shared" si="375"/>
        <v>47484</v>
      </c>
      <c r="CA104" s="129">
        <f t="shared" si="375"/>
        <v>47515</v>
      </c>
      <c r="CB104" s="129">
        <f t="shared" si="375"/>
        <v>47543</v>
      </c>
      <c r="CC104" s="129">
        <f t="shared" si="375"/>
        <v>47574</v>
      </c>
      <c r="CD104" s="129">
        <f t="shared" si="375"/>
        <v>47604</v>
      </c>
      <c r="CE104" s="129">
        <f t="shared" si="375"/>
        <v>47635</v>
      </c>
      <c r="CF104" s="129">
        <f t="shared" si="375"/>
        <v>47665</v>
      </c>
      <c r="CG104" s="129">
        <f t="shared" si="375"/>
        <v>47696</v>
      </c>
      <c r="CH104" s="129">
        <f t="shared" si="375"/>
        <v>47727</v>
      </c>
      <c r="CI104" s="129">
        <f t="shared" si="375"/>
        <v>47757</v>
      </c>
      <c r="CJ104" s="129">
        <f t="shared" si="375"/>
        <v>47788</v>
      </c>
      <c r="CK104" s="129">
        <f t="shared" si="375"/>
        <v>47818</v>
      </c>
      <c r="CN104" s="145"/>
      <c r="CO104" s="130">
        <v>2024</v>
      </c>
      <c r="CP104" s="130">
        <f t="shared" ref="CP104" si="376">CO104+1</f>
        <v>2025</v>
      </c>
      <c r="CQ104" s="130">
        <f t="shared" ref="CQ104" si="377">CP104+1</f>
        <v>2026</v>
      </c>
      <c r="CR104" s="130">
        <f t="shared" ref="CR104" si="378">CQ104+1</f>
        <v>2027</v>
      </c>
      <c r="CS104" s="130">
        <f t="shared" ref="CS104" si="379">CR104+1</f>
        <v>2028</v>
      </c>
      <c r="CT104" s="130">
        <f t="shared" ref="CT104" si="380">CS104+1</f>
        <v>2029</v>
      </c>
      <c r="CU104" s="130">
        <f t="shared" ref="CU104" si="381">CT104+1</f>
        <v>2030</v>
      </c>
    </row>
    <row r="105" spans="2:102" x14ac:dyDescent="0.2">
      <c r="B105" s="88" t="s">
        <v>337</v>
      </c>
      <c r="C105" s="97" t="s">
        <v>4</v>
      </c>
      <c r="D105" s="9"/>
      <c r="E105" s="9"/>
      <c r="F105" s="14">
        <f>Мясо!F114</f>
        <v>0</v>
      </c>
      <c r="G105" s="14">
        <f>Мясо!G114</f>
        <v>0</v>
      </c>
      <c r="H105" s="14">
        <f>Мясо!H114</f>
        <v>0</v>
      </c>
      <c r="I105" s="14">
        <f>Мясо!I114</f>
        <v>0</v>
      </c>
      <c r="J105" s="14">
        <f>Мясо!J114</f>
        <v>0</v>
      </c>
      <c r="K105" s="14">
        <f>Мясо!K114</f>
        <v>0</v>
      </c>
      <c r="L105" s="14">
        <f>Мясо!L114</f>
        <v>0</v>
      </c>
      <c r="M105" s="14">
        <f>Мясо!M114</f>
        <v>0</v>
      </c>
      <c r="N105" s="14">
        <f>Мясо!N114</f>
        <v>0</v>
      </c>
      <c r="O105" s="14">
        <f>Мясо!O114</f>
        <v>0</v>
      </c>
      <c r="P105" s="14">
        <f>Мясо!P114</f>
        <v>0</v>
      </c>
      <c r="Q105" s="14">
        <f>Мясо!Q114</f>
        <v>0</v>
      </c>
      <c r="R105" s="14">
        <f>Мясо!R114</f>
        <v>0</v>
      </c>
      <c r="S105" s="14">
        <f>Мясо!S114</f>
        <v>0</v>
      </c>
      <c r="T105" s="14">
        <f>Мясо!T114</f>
        <v>0</v>
      </c>
      <c r="U105" s="14">
        <f>Мясо!U114</f>
        <v>0</v>
      </c>
      <c r="V105" s="14">
        <f>Мясо!V114</f>
        <v>0</v>
      </c>
      <c r="W105" s="14">
        <f>Мясо!W114</f>
        <v>0</v>
      </c>
      <c r="X105" s="14">
        <f>Мясо!X114</f>
        <v>0</v>
      </c>
      <c r="Y105" s="14">
        <f>Мясо!Y114</f>
        <v>0</v>
      </c>
      <c r="Z105" s="14">
        <f>Мясо!Z114</f>
        <v>0</v>
      </c>
      <c r="AA105" s="14">
        <f>Мясо!AA114</f>
        <v>0</v>
      </c>
      <c r="AB105" s="14">
        <f>Мясо!AB114</f>
        <v>0</v>
      </c>
      <c r="AC105" s="14">
        <f>Мясо!AC114</f>
        <v>0</v>
      </c>
      <c r="AD105" s="14">
        <f>Мясо!AD114</f>
        <v>0</v>
      </c>
      <c r="AE105" s="14">
        <f>Мясо!AE114</f>
        <v>54</v>
      </c>
      <c r="AF105" s="14">
        <f>Мясо!AF114</f>
        <v>4385</v>
      </c>
      <c r="AG105" s="14">
        <f>Мясо!AG114</f>
        <v>5688</v>
      </c>
      <c r="AH105" s="14">
        <f>Мясо!AH114</f>
        <v>6000</v>
      </c>
      <c r="AI105" s="14">
        <f>Мясо!AI114</f>
        <v>6000</v>
      </c>
      <c r="AJ105" s="14">
        <f>Мясо!AJ114</f>
        <v>5000</v>
      </c>
      <c r="AK105" s="14">
        <f>Мясо!AK114</f>
        <v>0</v>
      </c>
      <c r="AL105" s="14">
        <f>Мясо!AL114</f>
        <v>0</v>
      </c>
      <c r="AM105" s="14">
        <f>Мясо!AM114</f>
        <v>0</v>
      </c>
      <c r="AN105" s="14">
        <f>Мясо!AN114</f>
        <v>0</v>
      </c>
      <c r="AO105" s="14">
        <f>Мясо!AO114</f>
        <v>0</v>
      </c>
      <c r="AP105" s="14">
        <f>Мясо!AP114</f>
        <v>0</v>
      </c>
      <c r="AQ105" s="14">
        <f>Мясо!AQ114</f>
        <v>0</v>
      </c>
      <c r="AR105" s="14">
        <f>Мясо!AR114</f>
        <v>0</v>
      </c>
      <c r="AS105" s="14">
        <f>Мясо!AS114</f>
        <v>0</v>
      </c>
      <c r="AT105" s="14">
        <f>Мясо!AT114</f>
        <v>0</v>
      </c>
      <c r="AU105" s="14">
        <f>Мясо!AU114</f>
        <v>0</v>
      </c>
      <c r="AV105" s="14">
        <f>Мясо!AV114</f>
        <v>0</v>
      </c>
      <c r="AW105" s="14">
        <f>Мясо!AW114</f>
        <v>0</v>
      </c>
      <c r="AX105" s="14">
        <f>Мясо!AX114</f>
        <v>0</v>
      </c>
      <c r="AY105" s="14">
        <f>Мясо!AY114</f>
        <v>0</v>
      </c>
      <c r="AZ105" s="14">
        <f>Мясо!AZ114</f>
        <v>0</v>
      </c>
      <c r="BA105" s="14">
        <f>Мясо!BA114</f>
        <v>0</v>
      </c>
      <c r="BB105" s="14">
        <f>Мясо!BB114</f>
        <v>0</v>
      </c>
      <c r="BC105" s="14">
        <f>Мясо!BC114</f>
        <v>0</v>
      </c>
      <c r="BD105" s="14">
        <f>Мясо!BD114</f>
        <v>0</v>
      </c>
      <c r="BE105" s="14">
        <f>Мясо!BE114</f>
        <v>0</v>
      </c>
      <c r="BF105" s="14">
        <f>Мясо!BF114</f>
        <v>0</v>
      </c>
      <c r="BG105" s="14">
        <f>Мясо!BG114</f>
        <v>0</v>
      </c>
      <c r="BH105" s="14">
        <f>Мясо!BH114</f>
        <v>0</v>
      </c>
      <c r="BI105" s="14">
        <f>Мясо!BI114</f>
        <v>0</v>
      </c>
      <c r="BJ105" s="14">
        <f>Мясо!BJ114</f>
        <v>0</v>
      </c>
      <c r="BK105" s="14">
        <f>Мясо!BK114</f>
        <v>0</v>
      </c>
      <c r="BL105" s="14">
        <f>Мясо!BL114</f>
        <v>0</v>
      </c>
      <c r="BM105" s="14">
        <f>Мясо!BM114</f>
        <v>0</v>
      </c>
      <c r="BN105" s="14">
        <f>Мясо!BN114</f>
        <v>0</v>
      </c>
      <c r="BO105" s="14">
        <f>Мясо!BO114</f>
        <v>0</v>
      </c>
      <c r="BP105" s="14">
        <f>Мясо!BP114</f>
        <v>0</v>
      </c>
      <c r="BQ105" s="14">
        <f>Мясо!BQ114</f>
        <v>0</v>
      </c>
      <c r="BR105" s="14">
        <f>Мясо!BR114</f>
        <v>0</v>
      </c>
      <c r="BS105" s="14">
        <f>Мясо!BS114</f>
        <v>0</v>
      </c>
      <c r="BT105" s="14">
        <f>Мясо!BT114</f>
        <v>0</v>
      </c>
      <c r="BU105" s="14">
        <f>Мясо!BU114</f>
        <v>0</v>
      </c>
      <c r="BV105" s="14">
        <f>Мясо!BV114</f>
        <v>0</v>
      </c>
      <c r="BW105" s="14">
        <f>Мясо!BW114</f>
        <v>0</v>
      </c>
      <c r="BX105" s="14">
        <f>Мясо!BX114</f>
        <v>0</v>
      </c>
      <c r="BY105" s="14">
        <f>Мясо!BY114</f>
        <v>0</v>
      </c>
      <c r="BZ105" s="14">
        <f>Мясо!BZ114</f>
        <v>0</v>
      </c>
      <c r="CA105" s="14">
        <f>Мясо!CA114</f>
        <v>0</v>
      </c>
      <c r="CB105" s="14">
        <f>Мясо!CB114</f>
        <v>0</v>
      </c>
      <c r="CC105" s="14">
        <f>Мясо!CC114</f>
        <v>0</v>
      </c>
      <c r="CD105" s="14">
        <f>Мясо!CD114</f>
        <v>0</v>
      </c>
      <c r="CE105" s="14">
        <f>Мясо!CE114</f>
        <v>0</v>
      </c>
      <c r="CF105" s="14">
        <f>Мясо!CF114</f>
        <v>0</v>
      </c>
      <c r="CG105" s="14">
        <f>Мясо!CG114</f>
        <v>0</v>
      </c>
      <c r="CH105" s="14">
        <f>Мясо!CH114</f>
        <v>0</v>
      </c>
      <c r="CI105" s="14">
        <f>Мясо!CI114</f>
        <v>0</v>
      </c>
      <c r="CJ105" s="14">
        <f>Мясо!CJ114</f>
        <v>0</v>
      </c>
      <c r="CK105" s="14">
        <f>Мясо!CK114</f>
        <v>0</v>
      </c>
      <c r="CL105" s="10"/>
      <c r="CM105" s="10"/>
      <c r="CN105" s="10"/>
      <c r="CO105" s="10">
        <f t="shared" ref="CO105:CS110" si="382">SUMIF($L$2:$CK$2,CO$3,$L105:$CK105)</f>
        <v>0</v>
      </c>
      <c r="CP105" s="10">
        <f t="shared" si="382"/>
        <v>0</v>
      </c>
      <c r="CQ105" s="10">
        <f t="shared" si="382"/>
        <v>27127</v>
      </c>
      <c r="CR105" s="10">
        <f t="shared" si="382"/>
        <v>0</v>
      </c>
      <c r="CS105" s="10">
        <f t="shared" si="382"/>
        <v>0</v>
      </c>
      <c r="CT105" s="10">
        <f t="shared" ref="CT105:CU110" si="383">SUMIF($L$2:$CK$2,CT$3,$L105:$CK105)</f>
        <v>0</v>
      </c>
      <c r="CU105" s="10">
        <f t="shared" si="383"/>
        <v>0</v>
      </c>
    </row>
    <row r="106" spans="2:102" x14ac:dyDescent="0.2">
      <c r="B106" s="88" t="s">
        <v>94</v>
      </c>
      <c r="C106" s="97" t="s">
        <v>4</v>
      </c>
      <c r="D106" s="9"/>
      <c r="E106" s="9"/>
      <c r="F106" s="12">
        <f>Мясо!F115</f>
        <v>0</v>
      </c>
      <c r="G106" s="12">
        <f>Мясо!G115</f>
        <v>0</v>
      </c>
      <c r="H106" s="12">
        <f>Мясо!H115</f>
        <v>0</v>
      </c>
      <c r="I106" s="12">
        <f>Мясо!I115</f>
        <v>0</v>
      </c>
      <c r="J106" s="12">
        <f>Мясо!J115</f>
        <v>0</v>
      </c>
      <c r="K106" s="12">
        <f>Мясо!K115</f>
        <v>0</v>
      </c>
      <c r="L106" s="12"/>
      <c r="M106" s="14">
        <f>Мясо!M115</f>
        <v>0</v>
      </c>
      <c r="N106" s="14">
        <f>Мясо!N115</f>
        <v>0</v>
      </c>
      <c r="O106" s="14">
        <f>Мясо!O115</f>
        <v>0</v>
      </c>
      <c r="P106" s="14">
        <f>Мясо!P115</f>
        <v>0</v>
      </c>
      <c r="Q106" s="14">
        <f>Мясо!Q115</f>
        <v>0</v>
      </c>
      <c r="R106" s="14">
        <f>Мясо!R115</f>
        <v>0</v>
      </c>
      <c r="S106" s="14">
        <f>Мясо!S115</f>
        <v>0</v>
      </c>
      <c r="T106" s="14">
        <f>Мясо!T115</f>
        <v>0</v>
      </c>
      <c r="U106" s="14">
        <f>Мясо!U115</f>
        <v>0</v>
      </c>
      <c r="V106" s="14">
        <f>Мясо!V115</f>
        <v>0</v>
      </c>
      <c r="W106" s="14">
        <f>Мясо!W115</f>
        <v>0</v>
      </c>
      <c r="X106" s="14">
        <f>Мясо!X115</f>
        <v>0</v>
      </c>
      <c r="Y106" s="14">
        <f>Мясо!Y115</f>
        <v>0</v>
      </c>
      <c r="Z106" s="14">
        <f>Мясо!Z115</f>
        <v>0</v>
      </c>
      <c r="AA106" s="14">
        <f>Мясо!AA115</f>
        <v>0</v>
      </c>
      <c r="AB106" s="12">
        <f>Мясо!AB115</f>
        <v>0</v>
      </c>
      <c r="AC106" s="12">
        <f>Мясо!AC115</f>
        <v>0</v>
      </c>
      <c r="AD106" s="12">
        <f>Мясо!AD115</f>
        <v>0</v>
      </c>
      <c r="AE106" s="12">
        <f>Мясо!AE115</f>
        <v>0</v>
      </c>
      <c r="AF106" s="12">
        <f>Мясо!AF115</f>
        <v>0</v>
      </c>
      <c r="AG106" s="12">
        <f>Мясо!AG115</f>
        <v>750</v>
      </c>
      <c r="AH106" s="12">
        <f>Мясо!AH115</f>
        <v>750</v>
      </c>
      <c r="AI106" s="12">
        <f>Мясо!AI115</f>
        <v>750</v>
      </c>
      <c r="AJ106" s="12">
        <f>Мясо!AJ115</f>
        <v>750</v>
      </c>
      <c r="AK106" s="12">
        <f>Мясо!AK115</f>
        <v>750</v>
      </c>
      <c r="AL106" s="12">
        <f>Мясо!AL115</f>
        <v>0</v>
      </c>
      <c r="AM106" s="12">
        <f>Мясо!AM115</f>
        <v>0</v>
      </c>
      <c r="AN106" s="12">
        <f>Мясо!AN115</f>
        <v>0</v>
      </c>
      <c r="AO106" s="12">
        <f>Мясо!AO115</f>
        <v>0</v>
      </c>
      <c r="AP106" s="12">
        <f>Мясо!AP115</f>
        <v>0</v>
      </c>
      <c r="AQ106" s="12">
        <f>Мясо!AQ115</f>
        <v>0</v>
      </c>
      <c r="AR106" s="12">
        <f>Мясо!AR115</f>
        <v>0</v>
      </c>
      <c r="AS106" s="12">
        <f>Мясо!AS115</f>
        <v>0</v>
      </c>
      <c r="AT106" s="12">
        <f>Мясо!AT115</f>
        <v>0</v>
      </c>
      <c r="AU106" s="12">
        <f>Мясо!AU115</f>
        <v>0</v>
      </c>
      <c r="AV106" s="12">
        <f>Мясо!AV115</f>
        <v>0</v>
      </c>
      <c r="AW106" s="12">
        <f>Мясо!AW115</f>
        <v>0</v>
      </c>
      <c r="AX106" s="12">
        <f>Мясо!AX115</f>
        <v>0</v>
      </c>
      <c r="AY106" s="12">
        <f>Мясо!AY115</f>
        <v>0</v>
      </c>
      <c r="AZ106" s="12">
        <f>Мясо!AZ115</f>
        <v>0</v>
      </c>
      <c r="BA106" s="12">
        <f>Мясо!BA115</f>
        <v>0</v>
      </c>
      <c r="BB106" s="12">
        <f>Мясо!BB115</f>
        <v>0</v>
      </c>
      <c r="BC106" s="12">
        <f>Мясо!BC115</f>
        <v>0</v>
      </c>
      <c r="BD106" s="12">
        <f>Мясо!BD115</f>
        <v>0</v>
      </c>
      <c r="BE106" s="12">
        <f>Мясо!BE115</f>
        <v>0</v>
      </c>
      <c r="BF106" s="12">
        <f>Мясо!BF115</f>
        <v>0</v>
      </c>
      <c r="BG106" s="12">
        <f>Мясо!BG115</f>
        <v>0</v>
      </c>
      <c r="BH106" s="12">
        <f>Мясо!BH115</f>
        <v>0</v>
      </c>
      <c r="BI106" s="12">
        <f>Мясо!BI115</f>
        <v>0</v>
      </c>
      <c r="BJ106" s="12">
        <f>Мясо!BJ115</f>
        <v>0</v>
      </c>
      <c r="BK106" s="12">
        <f>Мясо!BK115</f>
        <v>0</v>
      </c>
      <c r="BL106" s="12">
        <f>Мясо!BL115</f>
        <v>0</v>
      </c>
      <c r="BM106" s="12">
        <f>Мясо!BM115</f>
        <v>0</v>
      </c>
      <c r="BN106" s="12">
        <f>Мясо!BN115</f>
        <v>0</v>
      </c>
      <c r="BO106" s="12">
        <f>Мясо!BO115</f>
        <v>0</v>
      </c>
      <c r="BP106" s="12">
        <f>Мясо!BP115</f>
        <v>0</v>
      </c>
      <c r="BQ106" s="12">
        <f>Мясо!BQ115</f>
        <v>0</v>
      </c>
      <c r="BR106" s="12">
        <f>Мясо!BR115</f>
        <v>0</v>
      </c>
      <c r="BS106" s="12">
        <f>Мясо!BS115</f>
        <v>0</v>
      </c>
      <c r="BT106" s="12">
        <f>Мясо!BT115</f>
        <v>0</v>
      </c>
      <c r="BU106" s="12">
        <f>Мясо!BU115</f>
        <v>0</v>
      </c>
      <c r="BV106" s="12">
        <f>Мясо!BV115</f>
        <v>0</v>
      </c>
      <c r="BW106" s="12">
        <f>Мясо!BW115</f>
        <v>0</v>
      </c>
      <c r="BX106" s="12">
        <f>Мясо!BX115</f>
        <v>0</v>
      </c>
      <c r="BY106" s="12">
        <f>Мясо!BY115</f>
        <v>0</v>
      </c>
      <c r="BZ106" s="12">
        <f>Мясо!BZ115</f>
        <v>0</v>
      </c>
      <c r="CA106" s="12">
        <f>Мясо!CA115</f>
        <v>0</v>
      </c>
      <c r="CB106" s="12">
        <f>Мясо!CB115</f>
        <v>0</v>
      </c>
      <c r="CC106" s="12">
        <f>Мясо!CC115</f>
        <v>0</v>
      </c>
      <c r="CD106" s="12">
        <f>Мясо!CD115</f>
        <v>0</v>
      </c>
      <c r="CE106" s="12">
        <f>Мясо!CE115</f>
        <v>0</v>
      </c>
      <c r="CF106" s="12">
        <f>Мясо!CF115</f>
        <v>0</v>
      </c>
      <c r="CG106" s="12">
        <f>Мясо!CG115</f>
        <v>0</v>
      </c>
      <c r="CH106" s="12">
        <f>Мясо!CH115</f>
        <v>0</v>
      </c>
      <c r="CI106" s="12">
        <f>Мясо!CI115</f>
        <v>0</v>
      </c>
      <c r="CJ106" s="12">
        <f>Мясо!CJ115</f>
        <v>0</v>
      </c>
      <c r="CK106" s="12">
        <f>Мясо!CK115</f>
        <v>0</v>
      </c>
      <c r="CL106" s="10"/>
      <c r="CM106" s="10"/>
      <c r="CN106" s="10"/>
      <c r="CO106" s="10">
        <f t="shared" si="382"/>
        <v>0</v>
      </c>
      <c r="CP106" s="10">
        <f t="shared" si="382"/>
        <v>0</v>
      </c>
      <c r="CQ106" s="10">
        <f t="shared" si="382"/>
        <v>3750</v>
      </c>
      <c r="CR106" s="10">
        <f t="shared" si="382"/>
        <v>0</v>
      </c>
      <c r="CS106" s="10">
        <f t="shared" si="382"/>
        <v>0</v>
      </c>
      <c r="CT106" s="10">
        <f t="shared" si="383"/>
        <v>0</v>
      </c>
      <c r="CU106" s="10">
        <f t="shared" si="383"/>
        <v>0</v>
      </c>
    </row>
    <row r="107" spans="2:102" x14ac:dyDescent="0.2">
      <c r="B107" s="88" t="s">
        <v>296</v>
      </c>
      <c r="C107" s="97" t="s">
        <v>4</v>
      </c>
      <c r="D107" s="9"/>
      <c r="E107" s="9"/>
      <c r="F107" s="14">
        <f>Мясо!F116</f>
        <v>0</v>
      </c>
      <c r="G107" s="14">
        <f>Мясо!G116</f>
        <v>0</v>
      </c>
      <c r="H107" s="14">
        <f>Мясо!H116</f>
        <v>0</v>
      </c>
      <c r="I107" s="14">
        <f>Мясо!I116</f>
        <v>0</v>
      </c>
      <c r="J107" s="14">
        <f>Мясо!J116</f>
        <v>0</v>
      </c>
      <c r="K107" s="14">
        <f>Мясо!K116</f>
        <v>0</v>
      </c>
      <c r="L107" s="14">
        <f>Мясо!L115</f>
        <v>0</v>
      </c>
      <c r="M107" s="14">
        <f>Мясо!M116</f>
        <v>0</v>
      </c>
      <c r="N107" s="14">
        <f>Мясо!N116</f>
        <v>0</v>
      </c>
      <c r="O107" s="14">
        <f>Мясо!O116</f>
        <v>0</v>
      </c>
      <c r="P107" s="14">
        <f>Мясо!P116</f>
        <v>0</v>
      </c>
      <c r="Q107" s="14">
        <f>Мясо!Q116</f>
        <v>0</v>
      </c>
      <c r="R107" s="14">
        <f>Мясо!R116</f>
        <v>0</v>
      </c>
      <c r="S107" s="14">
        <f>Мясо!S116</f>
        <v>0</v>
      </c>
      <c r="T107" s="14">
        <f>Мясо!T116</f>
        <v>0</v>
      </c>
      <c r="U107" s="14">
        <f>Мясо!U116</f>
        <v>0</v>
      </c>
      <c r="V107" s="14">
        <f>Мясо!V116</f>
        <v>0</v>
      </c>
      <c r="W107" s="14">
        <f>Мясо!W116</f>
        <v>0</v>
      </c>
      <c r="X107" s="14">
        <f>Мясо!X116</f>
        <v>0</v>
      </c>
      <c r="Y107" s="14">
        <f>Мясо!Y116</f>
        <v>0</v>
      </c>
      <c r="Z107" s="14">
        <f>Мясо!Z116</f>
        <v>0</v>
      </c>
      <c r="AA107" s="14">
        <f>Мясо!AA116</f>
        <v>0</v>
      </c>
      <c r="AB107" s="14">
        <f>Мясо!AB116</f>
        <v>0</v>
      </c>
      <c r="AC107" s="14">
        <f>Мясо!AC116</f>
        <v>10000</v>
      </c>
      <c r="AD107" s="14">
        <f>Мясо!AD116</f>
        <v>0</v>
      </c>
      <c r="AE107" s="14">
        <f>Мясо!AE116</f>
        <v>838</v>
      </c>
      <c r="AF107" s="14">
        <f>Мясо!AF116</f>
        <v>327</v>
      </c>
      <c r="AG107" s="14">
        <f>Мясо!AG116</f>
        <v>176</v>
      </c>
      <c r="AH107" s="14">
        <f>Мясо!AH116</f>
        <v>0</v>
      </c>
      <c r="AI107" s="14">
        <f>Мясо!AI116</f>
        <v>320000</v>
      </c>
      <c r="AJ107" s="14">
        <f>Мясо!AJ116</f>
        <v>0</v>
      </c>
      <c r="AK107" s="14">
        <f>Мясо!AK116</f>
        <v>0</v>
      </c>
      <c r="AL107" s="14">
        <f>Мясо!AL116</f>
        <v>0</v>
      </c>
      <c r="AM107" s="14">
        <f>Мясо!AM116</f>
        <v>0</v>
      </c>
      <c r="AN107" s="14">
        <f>Мясо!AN116</f>
        <v>0</v>
      </c>
      <c r="AO107" s="14">
        <f>Мясо!AO116</f>
        <v>0</v>
      </c>
      <c r="AP107" s="14">
        <f>Мясо!AP116</f>
        <v>0</v>
      </c>
      <c r="AQ107" s="14">
        <f>Мясо!AQ116</f>
        <v>0</v>
      </c>
      <c r="AR107" s="14">
        <f>Мясо!AR116</f>
        <v>0</v>
      </c>
      <c r="AS107" s="14">
        <f>Мясо!AS116</f>
        <v>0</v>
      </c>
      <c r="AT107" s="14">
        <f>Мясо!AT116</f>
        <v>0</v>
      </c>
      <c r="AU107" s="14">
        <f>Мясо!AU116</f>
        <v>0</v>
      </c>
      <c r="AV107" s="14">
        <f>Мясо!AV116</f>
        <v>0</v>
      </c>
      <c r="AW107" s="14">
        <f>Мясо!AW116</f>
        <v>0</v>
      </c>
      <c r="AX107" s="14">
        <f>Мясо!AX116</f>
        <v>0</v>
      </c>
      <c r="AY107" s="14">
        <f>Мясо!AY116</f>
        <v>0</v>
      </c>
      <c r="AZ107" s="14">
        <f>Мясо!AZ116</f>
        <v>0</v>
      </c>
      <c r="BA107" s="14">
        <f>Мясо!BA116</f>
        <v>0</v>
      </c>
      <c r="BB107" s="14">
        <f>Мясо!BB116</f>
        <v>0</v>
      </c>
      <c r="BC107" s="14">
        <f>Мясо!BC116</f>
        <v>0</v>
      </c>
      <c r="BD107" s="14">
        <f>Мясо!BD116</f>
        <v>0</v>
      </c>
      <c r="BE107" s="14">
        <f>Мясо!BE116</f>
        <v>0</v>
      </c>
      <c r="BF107" s="14">
        <f>Мясо!BF116</f>
        <v>0</v>
      </c>
      <c r="BG107" s="14">
        <f>Мясо!BG116</f>
        <v>0</v>
      </c>
      <c r="BH107" s="14">
        <f>Мясо!BH116</f>
        <v>0</v>
      </c>
      <c r="BI107" s="14">
        <f>Мясо!BI116</f>
        <v>0</v>
      </c>
      <c r="BJ107" s="14">
        <f>Мясо!BJ116</f>
        <v>0</v>
      </c>
      <c r="BK107" s="14">
        <f>Мясо!BK116</f>
        <v>0</v>
      </c>
      <c r="BL107" s="14">
        <f>Мясо!BL116</f>
        <v>0</v>
      </c>
      <c r="BM107" s="14">
        <f>Мясо!BM116</f>
        <v>0</v>
      </c>
      <c r="BN107" s="14">
        <f>Мясо!BN116</f>
        <v>0</v>
      </c>
      <c r="BO107" s="14">
        <f>Мясо!BO116</f>
        <v>0</v>
      </c>
      <c r="BP107" s="14">
        <f>Мясо!BP116</f>
        <v>0</v>
      </c>
      <c r="BQ107" s="14">
        <f>Мясо!BQ116</f>
        <v>0</v>
      </c>
      <c r="BR107" s="14">
        <f>Мясо!BR116</f>
        <v>0</v>
      </c>
      <c r="BS107" s="14">
        <f>Мясо!BS116</f>
        <v>0</v>
      </c>
      <c r="BT107" s="14">
        <f>Мясо!BT116</f>
        <v>0</v>
      </c>
      <c r="BU107" s="14">
        <f>Мясо!BU116</f>
        <v>0</v>
      </c>
      <c r="BV107" s="14">
        <f>Мясо!BV116</f>
        <v>0</v>
      </c>
      <c r="BW107" s="14">
        <f>Мясо!BW116</f>
        <v>0</v>
      </c>
      <c r="BX107" s="14">
        <f>Мясо!BX116</f>
        <v>0</v>
      </c>
      <c r="BY107" s="14">
        <f>Мясо!BY116</f>
        <v>0</v>
      </c>
      <c r="BZ107" s="14">
        <f>Мясо!BZ116</f>
        <v>0</v>
      </c>
      <c r="CA107" s="14">
        <f>Мясо!CA116</f>
        <v>0</v>
      </c>
      <c r="CB107" s="14">
        <f>Мясо!CB116</f>
        <v>0</v>
      </c>
      <c r="CC107" s="14">
        <f>Мясо!CC116</f>
        <v>0</v>
      </c>
      <c r="CD107" s="14">
        <f>Мясо!CD116</f>
        <v>0</v>
      </c>
      <c r="CE107" s="14">
        <f>Мясо!CE116</f>
        <v>0</v>
      </c>
      <c r="CF107" s="14">
        <f>Мясо!CF116</f>
        <v>0</v>
      </c>
      <c r="CG107" s="14">
        <f>Мясо!CG116</f>
        <v>0</v>
      </c>
      <c r="CH107" s="14">
        <f>Мясо!CH116</f>
        <v>0</v>
      </c>
      <c r="CI107" s="14">
        <f>Мясо!CI116</f>
        <v>0</v>
      </c>
      <c r="CJ107" s="14">
        <f>Мясо!CJ116</f>
        <v>0</v>
      </c>
      <c r="CK107" s="14">
        <f>Мясо!CK116</f>
        <v>0</v>
      </c>
      <c r="CL107" s="10"/>
      <c r="CM107" s="10"/>
      <c r="CN107" s="10"/>
      <c r="CO107" s="10">
        <f t="shared" si="382"/>
        <v>0</v>
      </c>
      <c r="CP107" s="10">
        <f t="shared" si="382"/>
        <v>10000</v>
      </c>
      <c r="CQ107" s="10">
        <f t="shared" si="382"/>
        <v>321341</v>
      </c>
      <c r="CR107" s="10">
        <f t="shared" si="382"/>
        <v>0</v>
      </c>
      <c r="CS107" s="10">
        <f t="shared" si="382"/>
        <v>0</v>
      </c>
      <c r="CT107" s="10">
        <f t="shared" si="383"/>
        <v>0</v>
      </c>
      <c r="CU107" s="10">
        <f t="shared" si="383"/>
        <v>0</v>
      </c>
    </row>
    <row r="108" spans="2:102" x14ac:dyDescent="0.2">
      <c r="B108" s="88" t="s">
        <v>419</v>
      </c>
      <c r="C108" s="97" t="s">
        <v>4</v>
      </c>
      <c r="D108" s="9"/>
      <c r="E108" s="9"/>
      <c r="F108" s="14">
        <f>Пицца!F91</f>
        <v>0</v>
      </c>
      <c r="G108" s="14">
        <f>Пицца!G91</f>
        <v>0</v>
      </c>
      <c r="H108" s="14">
        <f>Пицца!H91</f>
        <v>0</v>
      </c>
      <c r="I108" s="14">
        <f>Пицца!I91</f>
        <v>0</v>
      </c>
      <c r="J108" s="14">
        <f>Пицца!J91</f>
        <v>0</v>
      </c>
      <c r="K108" s="14">
        <f>Пицца!K91</f>
        <v>0</v>
      </c>
      <c r="L108" s="14">
        <f>Пицца!L91</f>
        <v>0</v>
      </c>
      <c r="M108" s="14">
        <f>Пицца!M91</f>
        <v>0</v>
      </c>
      <c r="N108" s="14">
        <f>Пицца!N91</f>
        <v>0</v>
      </c>
      <c r="O108" s="14">
        <f>Пицца!O91</f>
        <v>0</v>
      </c>
      <c r="P108" s="14">
        <f>Пицца!P91</f>
        <v>0</v>
      </c>
      <c r="Q108" s="14">
        <f>Пицца!Q91</f>
        <v>0</v>
      </c>
      <c r="R108" s="14">
        <f>Пицца!R91</f>
        <v>0</v>
      </c>
      <c r="S108" s="14">
        <f>Пицца!S91</f>
        <v>0</v>
      </c>
      <c r="T108" s="14">
        <f>Пицца!T91</f>
        <v>0</v>
      </c>
      <c r="U108" s="14">
        <f>Пицца!U91</f>
        <v>0</v>
      </c>
      <c r="V108" s="14">
        <f>Пицца!V91</f>
        <v>0</v>
      </c>
      <c r="W108" s="14">
        <f>Пицца!W91</f>
        <v>0</v>
      </c>
      <c r="X108" s="14">
        <f>Пицца!X91</f>
        <v>0</v>
      </c>
      <c r="Y108" s="14">
        <f>Пицца!Y91</f>
        <v>0</v>
      </c>
      <c r="Z108" s="14">
        <f>Пицца!Z91</f>
        <v>0</v>
      </c>
      <c r="AA108" s="14">
        <f>Пицца!AA91</f>
        <v>0</v>
      </c>
      <c r="AB108" s="14">
        <f>Пицца!AB91</f>
        <v>0</v>
      </c>
      <c r="AC108" s="14">
        <f>Пицца!AC91</f>
        <v>0</v>
      </c>
      <c r="AD108" s="14">
        <f>Пицца!AD91</f>
        <v>0</v>
      </c>
      <c r="AE108" s="14">
        <f>Пицца!AE91</f>
        <v>0</v>
      </c>
      <c r="AF108" s="14">
        <f>Пицца!AF91</f>
        <v>0</v>
      </c>
      <c r="AG108" s="14">
        <f>Пицца!AG91</f>
        <v>0</v>
      </c>
      <c r="AH108" s="14">
        <f>Пицца!AH91</f>
        <v>0</v>
      </c>
      <c r="AI108" s="14">
        <f>Пицца!AI91</f>
        <v>0</v>
      </c>
      <c r="AJ108" s="14">
        <f>Пицца!AJ91</f>
        <v>0</v>
      </c>
      <c r="AK108" s="14">
        <f>Пицца!AK91</f>
        <v>0</v>
      </c>
      <c r="AL108" s="14">
        <f>Пицца!AL91</f>
        <v>0</v>
      </c>
      <c r="AM108" s="14">
        <f>Пицца!AM91</f>
        <v>0</v>
      </c>
      <c r="AN108" s="14">
        <f>Пицца!AN91</f>
        <v>0</v>
      </c>
      <c r="AO108" s="14">
        <f>Пицца!AO91</f>
        <v>0</v>
      </c>
      <c r="AP108" s="14">
        <f>Пицца!AP91</f>
        <v>0</v>
      </c>
      <c r="AQ108" s="14">
        <f>Пицца!AQ91</f>
        <v>0</v>
      </c>
      <c r="AR108" s="14">
        <f>Пицца!AR91</f>
        <v>0</v>
      </c>
      <c r="AS108" s="14">
        <f>Пицца!AS91</f>
        <v>0</v>
      </c>
      <c r="AT108" s="14">
        <f>Пицца!AT91</f>
        <v>0</v>
      </c>
      <c r="AU108" s="14">
        <f>Пицца!AU91</f>
        <v>0</v>
      </c>
      <c r="AV108" s="14">
        <f>Пицца!AV91</f>
        <v>0</v>
      </c>
      <c r="AW108" s="14">
        <f>Пицца!AW91</f>
        <v>0</v>
      </c>
      <c r="AX108" s="14">
        <f>Пицца!AX91</f>
        <v>0</v>
      </c>
      <c r="AY108" s="14">
        <f>Пицца!AY91</f>
        <v>0</v>
      </c>
      <c r="AZ108" s="14">
        <f>Пицца!AZ91</f>
        <v>0</v>
      </c>
      <c r="BA108" s="14">
        <f>Пицца!BA91</f>
        <v>0</v>
      </c>
      <c r="BB108" s="14">
        <f>Пицца!BB91</f>
        <v>0</v>
      </c>
      <c r="BC108" s="14">
        <f>Пицца!BC91</f>
        <v>0</v>
      </c>
      <c r="BD108" s="14">
        <f>Пицца!BD91</f>
        <v>0</v>
      </c>
      <c r="BE108" s="14">
        <f>Пицца!BE91</f>
        <v>0</v>
      </c>
      <c r="BF108" s="14">
        <f>Пицца!BF91</f>
        <v>0</v>
      </c>
      <c r="BG108" s="14">
        <f>Пицца!BG91</f>
        <v>0</v>
      </c>
      <c r="BH108" s="14">
        <f>Пицца!BH91</f>
        <v>0</v>
      </c>
      <c r="BI108" s="14">
        <f>Пицца!BI91</f>
        <v>0</v>
      </c>
      <c r="BJ108" s="14">
        <f>Пицца!BJ91</f>
        <v>0</v>
      </c>
      <c r="BK108" s="14">
        <f>Пицца!BK91</f>
        <v>0</v>
      </c>
      <c r="BL108" s="14">
        <f>Пицца!BL91</f>
        <v>0</v>
      </c>
      <c r="BM108" s="14">
        <f>Пицца!BM91</f>
        <v>0</v>
      </c>
      <c r="BN108" s="14">
        <f>Пицца!BN91</f>
        <v>0</v>
      </c>
      <c r="BO108" s="14">
        <f>Пицца!BO91</f>
        <v>0</v>
      </c>
      <c r="BP108" s="14">
        <f>Пицца!BP91</f>
        <v>0</v>
      </c>
      <c r="BQ108" s="14">
        <f>Пицца!BQ91</f>
        <v>0</v>
      </c>
      <c r="BR108" s="14">
        <f>Пицца!BR91</f>
        <v>0</v>
      </c>
      <c r="BS108" s="14">
        <f>Пицца!BS91</f>
        <v>0</v>
      </c>
      <c r="BT108" s="14">
        <f>Пицца!BT91</f>
        <v>0</v>
      </c>
      <c r="BU108" s="14">
        <f>Пицца!BU91</f>
        <v>0</v>
      </c>
      <c r="BV108" s="14">
        <f>Пицца!BV91</f>
        <v>0</v>
      </c>
      <c r="BW108" s="14">
        <f>Пицца!BW91</f>
        <v>0</v>
      </c>
      <c r="BX108" s="14">
        <f>Пицца!BX91</f>
        <v>0</v>
      </c>
      <c r="BY108" s="14">
        <f>Пицца!BY91</f>
        <v>0</v>
      </c>
      <c r="BZ108" s="14">
        <f>Пицца!BZ91</f>
        <v>0</v>
      </c>
      <c r="CA108" s="14">
        <f>Пицца!CA91</f>
        <v>0</v>
      </c>
      <c r="CB108" s="14">
        <f>Пицца!CB91</f>
        <v>0</v>
      </c>
      <c r="CC108" s="14">
        <f>Пицца!CC91</f>
        <v>0</v>
      </c>
      <c r="CD108" s="14">
        <f>Пицца!CD91</f>
        <v>0</v>
      </c>
      <c r="CE108" s="14">
        <f>Пицца!CE91</f>
        <v>0</v>
      </c>
      <c r="CF108" s="14">
        <f>Пицца!CF91</f>
        <v>0</v>
      </c>
      <c r="CG108" s="14">
        <f>Пицца!CG91</f>
        <v>0</v>
      </c>
      <c r="CH108" s="14">
        <f>Пицца!CH91</f>
        <v>0</v>
      </c>
      <c r="CI108" s="14">
        <f>Пицца!CI91</f>
        <v>0</v>
      </c>
      <c r="CJ108" s="14">
        <f>Пицца!CJ91</f>
        <v>0</v>
      </c>
      <c r="CK108" s="14">
        <f>Пицца!CK91</f>
        <v>0</v>
      </c>
      <c r="CL108" s="10"/>
      <c r="CM108" s="10"/>
      <c r="CN108" s="10"/>
      <c r="CO108" s="10">
        <f t="shared" si="382"/>
        <v>0</v>
      </c>
      <c r="CP108" s="10">
        <f t="shared" si="382"/>
        <v>0</v>
      </c>
      <c r="CQ108" s="10">
        <f t="shared" si="382"/>
        <v>0</v>
      </c>
      <c r="CR108" s="10">
        <f t="shared" si="382"/>
        <v>0</v>
      </c>
      <c r="CS108" s="10">
        <f t="shared" si="382"/>
        <v>0</v>
      </c>
      <c r="CT108" s="10">
        <f t="shared" si="383"/>
        <v>0</v>
      </c>
      <c r="CU108" s="10">
        <f t="shared" si="383"/>
        <v>0</v>
      </c>
    </row>
    <row r="109" spans="2:102" x14ac:dyDescent="0.2">
      <c r="B109" s="88" t="s">
        <v>339</v>
      </c>
      <c r="C109" s="372" t="s">
        <v>4</v>
      </c>
      <c r="D109" s="9"/>
      <c r="E109" s="9"/>
      <c r="F109" s="14">
        <f>Мясо!F117</f>
        <v>0</v>
      </c>
      <c r="G109" s="14">
        <f>Мясо!G117</f>
        <v>0</v>
      </c>
      <c r="H109" s="14">
        <f>Мясо!H117</f>
        <v>0</v>
      </c>
      <c r="I109" s="14">
        <f>Мясо!I117</f>
        <v>0</v>
      </c>
      <c r="J109" s="14">
        <f>Мясо!J117</f>
        <v>0</v>
      </c>
      <c r="K109" s="14">
        <f>Мясо!K117</f>
        <v>0</v>
      </c>
      <c r="L109" s="14">
        <f>Мясо!L117</f>
        <v>0</v>
      </c>
      <c r="M109" s="14">
        <f>Мясо!M117</f>
        <v>0</v>
      </c>
      <c r="N109" s="14">
        <f>Мясо!N117</f>
        <v>0</v>
      </c>
      <c r="O109" s="14">
        <f>Мясо!O117</f>
        <v>0</v>
      </c>
      <c r="P109" s="14">
        <f>Мясо!P117</f>
        <v>0</v>
      </c>
      <c r="Q109" s="14">
        <f>Мясо!Q117</f>
        <v>0</v>
      </c>
      <c r="R109" s="14">
        <f>Мясо!R117</f>
        <v>0</v>
      </c>
      <c r="S109" s="14">
        <f>Мясо!S117</f>
        <v>0</v>
      </c>
      <c r="T109" s="14">
        <f>Мясо!T117</f>
        <v>0</v>
      </c>
      <c r="U109" s="14">
        <f>Мясо!U117</f>
        <v>0</v>
      </c>
      <c r="V109" s="14">
        <f>Мясо!V117</f>
        <v>0</v>
      </c>
      <c r="W109" s="14">
        <f>Мясо!W117</f>
        <v>0</v>
      </c>
      <c r="X109" s="14">
        <f>Мясо!X117</f>
        <v>0</v>
      </c>
      <c r="Y109" s="14">
        <f>Мясо!Y117</f>
        <v>0</v>
      </c>
      <c r="Z109" s="14">
        <f>Мясо!Z117</f>
        <v>0</v>
      </c>
      <c r="AA109" s="14">
        <f>Мясо!AA117</f>
        <v>0</v>
      </c>
      <c r="AB109" s="14">
        <f>Мясо!AB117</f>
        <v>0</v>
      </c>
      <c r="AC109" s="14">
        <f>Мясо!AC117</f>
        <v>0</v>
      </c>
      <c r="AD109" s="14">
        <f>Мясо!AD117</f>
        <v>0</v>
      </c>
      <c r="AE109" s="14">
        <f>Мясо!AE117</f>
        <v>496</v>
      </c>
      <c r="AF109" s="14">
        <f>Мясо!AF117</f>
        <v>1436.6</v>
      </c>
      <c r="AG109" s="14">
        <f>Мясо!AG117</f>
        <v>10958</v>
      </c>
      <c r="AH109" s="14">
        <f>Мясо!AH117</f>
        <v>8064</v>
      </c>
      <c r="AI109" s="14">
        <f>Мясо!AI117</f>
        <v>6064</v>
      </c>
      <c r="AJ109" s="14">
        <f>Мясо!AJ117</f>
        <v>4564</v>
      </c>
      <c r="AK109" s="14">
        <f>Мясо!AK117</f>
        <v>2564</v>
      </c>
      <c r="AL109" s="14">
        <f>Мясо!AL117</f>
        <v>564</v>
      </c>
      <c r="AM109" s="14">
        <f>Мясо!AM117</f>
        <v>564</v>
      </c>
      <c r="AN109" s="14">
        <f>Мясо!AN117</f>
        <v>564</v>
      </c>
      <c r="AO109" s="14">
        <f>Мясо!AO117</f>
        <v>564</v>
      </c>
      <c r="AP109" s="14">
        <f>Мясо!AP117</f>
        <v>564</v>
      </c>
      <c r="AQ109" s="14">
        <f>Мясо!AQ117</f>
        <v>564</v>
      </c>
      <c r="AR109" s="14">
        <f>Мясо!AR117</f>
        <v>564</v>
      </c>
      <c r="AS109" s="14">
        <f>Мясо!AS117</f>
        <v>564</v>
      </c>
      <c r="AT109" s="14">
        <f>Мясо!AT117</f>
        <v>564</v>
      </c>
      <c r="AU109" s="14">
        <f>Мясо!AU117</f>
        <v>564</v>
      </c>
      <c r="AV109" s="14">
        <f>Мясо!AV117</f>
        <v>564</v>
      </c>
      <c r="AW109" s="14">
        <f>Мясо!AW117</f>
        <v>564</v>
      </c>
      <c r="AX109" s="14">
        <f>Мясо!AX117</f>
        <v>564</v>
      </c>
      <c r="AY109" s="14">
        <f>Мясо!AY117</f>
        <v>564</v>
      </c>
      <c r="AZ109" s="14">
        <f>Мясо!AZ117</f>
        <v>564</v>
      </c>
      <c r="BA109" s="14">
        <f>Мясо!BA117</f>
        <v>564</v>
      </c>
      <c r="BB109" s="14">
        <f>Мясо!BB117</f>
        <v>564</v>
      </c>
      <c r="BC109" s="14">
        <f>Мясо!BC117</f>
        <v>564</v>
      </c>
      <c r="BD109" s="14">
        <f>Мясо!BD117</f>
        <v>564</v>
      </c>
      <c r="BE109" s="14">
        <f>Мясо!BE117</f>
        <v>564</v>
      </c>
      <c r="BF109" s="14">
        <f>Мясо!BF117</f>
        <v>564</v>
      </c>
      <c r="BG109" s="14">
        <f>Мясо!BG117</f>
        <v>564</v>
      </c>
      <c r="BH109" s="14">
        <f>Мясо!BH117</f>
        <v>564</v>
      </c>
      <c r="BI109" s="14">
        <f>Мясо!BI117</f>
        <v>564</v>
      </c>
      <c r="BJ109" s="14">
        <f>Мясо!BJ117</f>
        <v>564</v>
      </c>
      <c r="BK109" s="14">
        <f>Мясо!BK117</f>
        <v>564</v>
      </c>
      <c r="BL109" s="14">
        <f>Мясо!BL117</f>
        <v>564</v>
      </c>
      <c r="BM109" s="14">
        <f>Мясо!BM117</f>
        <v>564</v>
      </c>
      <c r="BN109" s="14">
        <f>Мясо!BN117</f>
        <v>564</v>
      </c>
      <c r="BO109" s="14">
        <f>Мясо!BO117</f>
        <v>564</v>
      </c>
      <c r="BP109" s="14">
        <f>Мясо!BP117</f>
        <v>564</v>
      </c>
      <c r="BQ109" s="14">
        <f>Мясо!BQ117</f>
        <v>564</v>
      </c>
      <c r="BR109" s="14">
        <f>Мясо!BR117</f>
        <v>564</v>
      </c>
      <c r="BS109" s="14">
        <f>Мясо!BS117</f>
        <v>564</v>
      </c>
      <c r="BT109" s="14">
        <f>Мясо!BT117</f>
        <v>564</v>
      </c>
      <c r="BU109" s="14">
        <f>Мясо!BU117</f>
        <v>564</v>
      </c>
      <c r="BV109" s="14">
        <f>Мясо!BV117</f>
        <v>564</v>
      </c>
      <c r="BW109" s="14">
        <f>Мясо!BW117</f>
        <v>564</v>
      </c>
      <c r="BX109" s="14">
        <f>Мясо!BX117</f>
        <v>564</v>
      </c>
      <c r="BY109" s="14">
        <f>Мясо!BY117</f>
        <v>564</v>
      </c>
      <c r="BZ109" s="14">
        <f>Мясо!BZ117</f>
        <v>564</v>
      </c>
      <c r="CA109" s="14">
        <f>Мясо!CA117</f>
        <v>564</v>
      </c>
      <c r="CB109" s="14">
        <f>Мясо!CB117</f>
        <v>564</v>
      </c>
      <c r="CC109" s="14">
        <f>Мясо!CC117</f>
        <v>564</v>
      </c>
      <c r="CD109" s="14">
        <f>Мясо!CD117</f>
        <v>564</v>
      </c>
      <c r="CE109" s="14">
        <f>Мясо!CE117</f>
        <v>564</v>
      </c>
      <c r="CF109" s="14">
        <f>Мясо!CF117</f>
        <v>564</v>
      </c>
      <c r="CG109" s="14">
        <f>Мясо!CG117</f>
        <v>564</v>
      </c>
      <c r="CH109" s="14">
        <f>Мясо!CH117</f>
        <v>564</v>
      </c>
      <c r="CI109" s="14">
        <f>Мясо!CI117</f>
        <v>564</v>
      </c>
      <c r="CJ109" s="14">
        <f>Мясо!CJ117</f>
        <v>564</v>
      </c>
      <c r="CK109" s="14">
        <f>Мясо!CK117</f>
        <v>564</v>
      </c>
      <c r="CL109" s="10"/>
      <c r="CM109" s="10"/>
      <c r="CN109" s="10"/>
      <c r="CO109" s="10">
        <f t="shared" si="382"/>
        <v>0</v>
      </c>
      <c r="CP109" s="10">
        <f t="shared" si="382"/>
        <v>0</v>
      </c>
      <c r="CQ109" s="10">
        <f t="shared" si="382"/>
        <v>36402.6</v>
      </c>
      <c r="CR109" s="10">
        <f t="shared" si="382"/>
        <v>6768</v>
      </c>
      <c r="CS109" s="10">
        <f t="shared" si="382"/>
        <v>6768</v>
      </c>
      <c r="CT109" s="10">
        <f t="shared" si="383"/>
        <v>6768</v>
      </c>
      <c r="CU109" s="10">
        <f t="shared" si="383"/>
        <v>6768</v>
      </c>
    </row>
    <row r="110" spans="2:102" x14ac:dyDescent="0.2">
      <c r="B110" s="20" t="s">
        <v>6</v>
      </c>
      <c r="C110" s="23" t="s">
        <v>4</v>
      </c>
      <c r="D110" s="102"/>
      <c r="E110" s="102"/>
      <c r="F110" s="24">
        <f t="shared" ref="F110:AK110" si="384">SUM(F105:F109)</f>
        <v>0</v>
      </c>
      <c r="G110" s="24">
        <f t="shared" si="384"/>
        <v>0</v>
      </c>
      <c r="H110" s="24">
        <f t="shared" si="384"/>
        <v>0</v>
      </c>
      <c r="I110" s="24">
        <f t="shared" si="384"/>
        <v>0</v>
      </c>
      <c r="J110" s="24">
        <f t="shared" si="384"/>
        <v>0</v>
      </c>
      <c r="K110" s="24">
        <f t="shared" si="384"/>
        <v>0</v>
      </c>
      <c r="L110" s="24">
        <f t="shared" si="384"/>
        <v>0</v>
      </c>
      <c r="M110" s="24">
        <f t="shared" si="384"/>
        <v>0</v>
      </c>
      <c r="N110" s="24">
        <f t="shared" si="384"/>
        <v>0</v>
      </c>
      <c r="O110" s="24">
        <f t="shared" si="384"/>
        <v>0</v>
      </c>
      <c r="P110" s="24">
        <f t="shared" si="384"/>
        <v>0</v>
      </c>
      <c r="Q110" s="24">
        <f t="shared" si="384"/>
        <v>0</v>
      </c>
      <c r="R110" s="24">
        <f t="shared" si="384"/>
        <v>0</v>
      </c>
      <c r="S110" s="24">
        <f t="shared" si="384"/>
        <v>0</v>
      </c>
      <c r="T110" s="24">
        <f t="shared" si="384"/>
        <v>0</v>
      </c>
      <c r="U110" s="24">
        <f t="shared" si="384"/>
        <v>0</v>
      </c>
      <c r="V110" s="24">
        <f t="shared" si="384"/>
        <v>0</v>
      </c>
      <c r="W110" s="24">
        <f t="shared" si="384"/>
        <v>0</v>
      </c>
      <c r="X110" s="24">
        <f t="shared" si="384"/>
        <v>0</v>
      </c>
      <c r="Y110" s="24">
        <f t="shared" si="384"/>
        <v>0</v>
      </c>
      <c r="Z110" s="24">
        <f t="shared" si="384"/>
        <v>0</v>
      </c>
      <c r="AA110" s="24">
        <f t="shared" si="384"/>
        <v>0</v>
      </c>
      <c r="AB110" s="24">
        <f t="shared" si="384"/>
        <v>0</v>
      </c>
      <c r="AC110" s="24">
        <f t="shared" si="384"/>
        <v>10000</v>
      </c>
      <c r="AD110" s="24">
        <f t="shared" si="384"/>
        <v>0</v>
      </c>
      <c r="AE110" s="24">
        <f t="shared" si="384"/>
        <v>1388</v>
      </c>
      <c r="AF110" s="24">
        <f t="shared" si="384"/>
        <v>6148.6</v>
      </c>
      <c r="AG110" s="24">
        <f t="shared" si="384"/>
        <v>17572</v>
      </c>
      <c r="AH110" s="24">
        <f t="shared" si="384"/>
        <v>14814</v>
      </c>
      <c r="AI110" s="24">
        <f t="shared" si="384"/>
        <v>332814</v>
      </c>
      <c r="AJ110" s="24">
        <f t="shared" si="384"/>
        <v>10314</v>
      </c>
      <c r="AK110" s="24">
        <f t="shared" si="384"/>
        <v>3314</v>
      </c>
      <c r="AL110" s="24">
        <f t="shared" ref="AL110:BQ110" si="385">SUM(AL105:AL109)</f>
        <v>564</v>
      </c>
      <c r="AM110" s="24">
        <f t="shared" si="385"/>
        <v>564</v>
      </c>
      <c r="AN110" s="24">
        <f t="shared" si="385"/>
        <v>564</v>
      </c>
      <c r="AO110" s="24">
        <f t="shared" si="385"/>
        <v>564</v>
      </c>
      <c r="AP110" s="24">
        <f t="shared" si="385"/>
        <v>564</v>
      </c>
      <c r="AQ110" s="24">
        <f t="shared" si="385"/>
        <v>564</v>
      </c>
      <c r="AR110" s="24">
        <f t="shared" si="385"/>
        <v>564</v>
      </c>
      <c r="AS110" s="24">
        <f t="shared" si="385"/>
        <v>564</v>
      </c>
      <c r="AT110" s="24">
        <f t="shared" si="385"/>
        <v>564</v>
      </c>
      <c r="AU110" s="24">
        <f t="shared" si="385"/>
        <v>564</v>
      </c>
      <c r="AV110" s="24">
        <f t="shared" si="385"/>
        <v>564</v>
      </c>
      <c r="AW110" s="24">
        <f t="shared" si="385"/>
        <v>564</v>
      </c>
      <c r="AX110" s="24">
        <f t="shared" si="385"/>
        <v>564</v>
      </c>
      <c r="AY110" s="24">
        <f t="shared" si="385"/>
        <v>564</v>
      </c>
      <c r="AZ110" s="24">
        <f t="shared" si="385"/>
        <v>564</v>
      </c>
      <c r="BA110" s="24">
        <f t="shared" si="385"/>
        <v>564</v>
      </c>
      <c r="BB110" s="24">
        <f t="shared" si="385"/>
        <v>564</v>
      </c>
      <c r="BC110" s="24">
        <f t="shared" si="385"/>
        <v>564</v>
      </c>
      <c r="BD110" s="24">
        <f t="shared" si="385"/>
        <v>564</v>
      </c>
      <c r="BE110" s="24">
        <f t="shared" si="385"/>
        <v>564</v>
      </c>
      <c r="BF110" s="24">
        <f t="shared" si="385"/>
        <v>564</v>
      </c>
      <c r="BG110" s="24">
        <f t="shared" si="385"/>
        <v>564</v>
      </c>
      <c r="BH110" s="24">
        <f t="shared" si="385"/>
        <v>564</v>
      </c>
      <c r="BI110" s="24">
        <f t="shared" si="385"/>
        <v>564</v>
      </c>
      <c r="BJ110" s="24">
        <f t="shared" si="385"/>
        <v>564</v>
      </c>
      <c r="BK110" s="24">
        <f t="shared" si="385"/>
        <v>564</v>
      </c>
      <c r="BL110" s="24">
        <f t="shared" si="385"/>
        <v>564</v>
      </c>
      <c r="BM110" s="24">
        <f t="shared" si="385"/>
        <v>564</v>
      </c>
      <c r="BN110" s="24">
        <f t="shared" si="385"/>
        <v>564</v>
      </c>
      <c r="BO110" s="24">
        <f t="shared" si="385"/>
        <v>564</v>
      </c>
      <c r="BP110" s="24">
        <f t="shared" si="385"/>
        <v>564</v>
      </c>
      <c r="BQ110" s="24">
        <f t="shared" si="385"/>
        <v>564</v>
      </c>
      <c r="BR110" s="24">
        <f t="shared" ref="BR110:BX110" si="386">SUM(BR105:BR109)</f>
        <v>564</v>
      </c>
      <c r="BS110" s="24">
        <f t="shared" si="386"/>
        <v>564</v>
      </c>
      <c r="BT110" s="24">
        <f t="shared" si="386"/>
        <v>564</v>
      </c>
      <c r="BU110" s="24">
        <f t="shared" si="386"/>
        <v>564</v>
      </c>
      <c r="BV110" s="24">
        <f t="shared" si="386"/>
        <v>564</v>
      </c>
      <c r="BW110" s="24">
        <f t="shared" si="386"/>
        <v>564</v>
      </c>
      <c r="BX110" s="24">
        <f t="shared" si="386"/>
        <v>564</v>
      </c>
      <c r="BY110" s="24">
        <f t="shared" ref="BY110:CK110" si="387">SUM(BY105:BY109)</f>
        <v>564</v>
      </c>
      <c r="BZ110" s="24">
        <f t="shared" si="387"/>
        <v>564</v>
      </c>
      <c r="CA110" s="24">
        <f t="shared" si="387"/>
        <v>564</v>
      </c>
      <c r="CB110" s="24">
        <f t="shared" si="387"/>
        <v>564</v>
      </c>
      <c r="CC110" s="24">
        <f t="shared" si="387"/>
        <v>564</v>
      </c>
      <c r="CD110" s="24">
        <f t="shared" si="387"/>
        <v>564</v>
      </c>
      <c r="CE110" s="24">
        <f t="shared" si="387"/>
        <v>564</v>
      </c>
      <c r="CF110" s="24">
        <f t="shared" si="387"/>
        <v>564</v>
      </c>
      <c r="CG110" s="24">
        <f t="shared" si="387"/>
        <v>564</v>
      </c>
      <c r="CH110" s="24">
        <f t="shared" si="387"/>
        <v>564</v>
      </c>
      <c r="CI110" s="24">
        <f t="shared" si="387"/>
        <v>564</v>
      </c>
      <c r="CJ110" s="24">
        <f t="shared" si="387"/>
        <v>564</v>
      </c>
      <c r="CK110" s="24">
        <f t="shared" si="387"/>
        <v>564</v>
      </c>
      <c r="CN110" s="146"/>
      <c r="CO110" s="24">
        <f t="shared" si="382"/>
        <v>0</v>
      </c>
      <c r="CP110" s="24">
        <f t="shared" si="382"/>
        <v>10000</v>
      </c>
      <c r="CQ110" s="24">
        <f t="shared" si="382"/>
        <v>388620.6</v>
      </c>
      <c r="CR110" s="24">
        <f t="shared" si="382"/>
        <v>6768</v>
      </c>
      <c r="CS110" s="24">
        <f t="shared" si="382"/>
        <v>6768</v>
      </c>
      <c r="CT110" s="24">
        <f t="shared" si="383"/>
        <v>6768</v>
      </c>
      <c r="CU110" s="24">
        <f t="shared" si="383"/>
        <v>6768</v>
      </c>
    </row>
    <row r="112" spans="2:102" s="373" customFormat="1" x14ac:dyDescent="0.2">
      <c r="F112" s="374"/>
      <c r="G112" s="374"/>
      <c r="H112" s="374"/>
      <c r="I112" s="374"/>
      <c r="J112" s="374"/>
      <c r="K112" s="374"/>
      <c r="L112" s="374"/>
      <c r="M112" s="374"/>
      <c r="N112" s="374"/>
      <c r="O112" s="374"/>
      <c r="P112" s="374"/>
      <c r="Q112" s="374"/>
      <c r="R112" s="374"/>
      <c r="S112" s="374"/>
      <c r="T112" s="374"/>
      <c r="U112" s="374"/>
      <c r="V112" s="374"/>
      <c r="W112" s="374"/>
      <c r="CV112" s="375"/>
      <c r="CW112" s="375"/>
      <c r="CX112" s="375"/>
    </row>
    <row r="113" spans="2:102" x14ac:dyDescent="0.2">
      <c r="B113" s="12" t="s">
        <v>299</v>
      </c>
    </row>
    <row r="114" spans="2:102" x14ac:dyDescent="0.2">
      <c r="B114" s="131" t="s">
        <v>1</v>
      </c>
      <c r="C114" s="128"/>
      <c r="D114" s="102"/>
      <c r="E114" s="102"/>
      <c r="F114" s="129">
        <f>F104</f>
        <v>45292</v>
      </c>
      <c r="G114" s="129">
        <f t="shared" ref="G114:BR114" si="388">G104</f>
        <v>45323</v>
      </c>
      <c r="H114" s="129">
        <f t="shared" si="388"/>
        <v>45352</v>
      </c>
      <c r="I114" s="129">
        <f t="shared" si="388"/>
        <v>45383</v>
      </c>
      <c r="J114" s="129">
        <f t="shared" si="388"/>
        <v>45413</v>
      </c>
      <c r="K114" s="129">
        <f t="shared" si="388"/>
        <v>45444</v>
      </c>
      <c r="L114" s="129">
        <f t="shared" si="388"/>
        <v>45474</v>
      </c>
      <c r="M114" s="129">
        <f t="shared" si="388"/>
        <v>45505</v>
      </c>
      <c r="N114" s="129">
        <f t="shared" si="388"/>
        <v>45536</v>
      </c>
      <c r="O114" s="129">
        <f t="shared" si="388"/>
        <v>45566</v>
      </c>
      <c r="P114" s="129">
        <f t="shared" si="388"/>
        <v>45597</v>
      </c>
      <c r="Q114" s="129">
        <f t="shared" si="388"/>
        <v>45627</v>
      </c>
      <c r="R114" s="129">
        <f t="shared" si="388"/>
        <v>45658</v>
      </c>
      <c r="S114" s="129">
        <f t="shared" si="388"/>
        <v>45689</v>
      </c>
      <c r="T114" s="129">
        <f t="shared" si="388"/>
        <v>45717</v>
      </c>
      <c r="U114" s="129">
        <f t="shared" si="388"/>
        <v>45748</v>
      </c>
      <c r="V114" s="129">
        <f t="shared" si="388"/>
        <v>45778</v>
      </c>
      <c r="W114" s="129">
        <f t="shared" si="388"/>
        <v>45809</v>
      </c>
      <c r="X114" s="129">
        <f t="shared" si="388"/>
        <v>45839</v>
      </c>
      <c r="Y114" s="129">
        <f t="shared" si="388"/>
        <v>45870</v>
      </c>
      <c r="Z114" s="129">
        <f t="shared" si="388"/>
        <v>45901</v>
      </c>
      <c r="AA114" s="129">
        <f t="shared" si="388"/>
        <v>45931</v>
      </c>
      <c r="AB114" s="129">
        <f t="shared" si="388"/>
        <v>45962</v>
      </c>
      <c r="AC114" s="129">
        <f t="shared" si="388"/>
        <v>45992</v>
      </c>
      <c r="AD114" s="129">
        <f t="shared" si="388"/>
        <v>46023</v>
      </c>
      <c r="AE114" s="129">
        <f t="shared" si="388"/>
        <v>46054</v>
      </c>
      <c r="AF114" s="129">
        <f t="shared" si="388"/>
        <v>46082</v>
      </c>
      <c r="AG114" s="129">
        <f t="shared" si="388"/>
        <v>46113</v>
      </c>
      <c r="AH114" s="129">
        <f t="shared" si="388"/>
        <v>46143</v>
      </c>
      <c r="AI114" s="129">
        <f t="shared" si="388"/>
        <v>46174</v>
      </c>
      <c r="AJ114" s="129">
        <f t="shared" si="388"/>
        <v>46204</v>
      </c>
      <c r="AK114" s="129">
        <f t="shared" si="388"/>
        <v>46235</v>
      </c>
      <c r="AL114" s="129">
        <f t="shared" si="388"/>
        <v>46266</v>
      </c>
      <c r="AM114" s="129">
        <f t="shared" si="388"/>
        <v>46296</v>
      </c>
      <c r="AN114" s="129">
        <f t="shared" si="388"/>
        <v>46327</v>
      </c>
      <c r="AO114" s="129">
        <f t="shared" si="388"/>
        <v>46357</v>
      </c>
      <c r="AP114" s="129">
        <f t="shared" si="388"/>
        <v>46388</v>
      </c>
      <c r="AQ114" s="129">
        <f t="shared" si="388"/>
        <v>46419</v>
      </c>
      <c r="AR114" s="129">
        <f t="shared" si="388"/>
        <v>46447</v>
      </c>
      <c r="AS114" s="129">
        <f t="shared" si="388"/>
        <v>46478</v>
      </c>
      <c r="AT114" s="129">
        <f t="shared" si="388"/>
        <v>46508</v>
      </c>
      <c r="AU114" s="129">
        <f t="shared" si="388"/>
        <v>46539</v>
      </c>
      <c r="AV114" s="129">
        <f t="shared" si="388"/>
        <v>46569</v>
      </c>
      <c r="AW114" s="129">
        <f t="shared" si="388"/>
        <v>46600</v>
      </c>
      <c r="AX114" s="129">
        <f t="shared" si="388"/>
        <v>46631</v>
      </c>
      <c r="AY114" s="129">
        <f t="shared" si="388"/>
        <v>46661</v>
      </c>
      <c r="AZ114" s="129">
        <f t="shared" si="388"/>
        <v>46692</v>
      </c>
      <c r="BA114" s="129">
        <f t="shared" si="388"/>
        <v>46722</v>
      </c>
      <c r="BB114" s="129">
        <f t="shared" si="388"/>
        <v>46753</v>
      </c>
      <c r="BC114" s="129">
        <f t="shared" si="388"/>
        <v>46784</v>
      </c>
      <c r="BD114" s="129">
        <f t="shared" si="388"/>
        <v>46813</v>
      </c>
      <c r="BE114" s="129">
        <f t="shared" si="388"/>
        <v>46844</v>
      </c>
      <c r="BF114" s="129">
        <f t="shared" si="388"/>
        <v>46874</v>
      </c>
      <c r="BG114" s="129">
        <f t="shared" si="388"/>
        <v>46905</v>
      </c>
      <c r="BH114" s="129">
        <f t="shared" si="388"/>
        <v>46935</v>
      </c>
      <c r="BI114" s="129">
        <f t="shared" si="388"/>
        <v>46966</v>
      </c>
      <c r="BJ114" s="129">
        <f t="shared" si="388"/>
        <v>46997</v>
      </c>
      <c r="BK114" s="129">
        <f t="shared" si="388"/>
        <v>47027</v>
      </c>
      <c r="BL114" s="129">
        <f t="shared" si="388"/>
        <v>47058</v>
      </c>
      <c r="BM114" s="129">
        <f t="shared" si="388"/>
        <v>47088</v>
      </c>
      <c r="BN114" s="129">
        <f t="shared" si="388"/>
        <v>47119</v>
      </c>
      <c r="BO114" s="129">
        <f t="shared" si="388"/>
        <v>47150</v>
      </c>
      <c r="BP114" s="129">
        <f t="shared" si="388"/>
        <v>47178</v>
      </c>
      <c r="BQ114" s="129">
        <f t="shared" si="388"/>
        <v>47209</v>
      </c>
      <c r="BR114" s="129">
        <f t="shared" si="388"/>
        <v>47239</v>
      </c>
      <c r="BS114" s="129">
        <f t="shared" ref="BS114:BX114" si="389">BS104</f>
        <v>47270</v>
      </c>
      <c r="BT114" s="129">
        <f t="shared" si="389"/>
        <v>47300</v>
      </c>
      <c r="BU114" s="129">
        <f t="shared" si="389"/>
        <v>47331</v>
      </c>
      <c r="BV114" s="129">
        <f t="shared" si="389"/>
        <v>47362</v>
      </c>
      <c r="BW114" s="129">
        <f t="shared" si="389"/>
        <v>47392</v>
      </c>
      <c r="BX114" s="129">
        <f t="shared" si="389"/>
        <v>47423</v>
      </c>
      <c r="BY114" s="129">
        <f t="shared" ref="BY114:CK114" si="390">BY104</f>
        <v>47453</v>
      </c>
      <c r="BZ114" s="129">
        <f t="shared" si="390"/>
        <v>47484</v>
      </c>
      <c r="CA114" s="129">
        <f t="shared" si="390"/>
        <v>47515</v>
      </c>
      <c r="CB114" s="129">
        <f t="shared" si="390"/>
        <v>47543</v>
      </c>
      <c r="CC114" s="129">
        <f t="shared" si="390"/>
        <v>47574</v>
      </c>
      <c r="CD114" s="129">
        <f t="shared" si="390"/>
        <v>47604</v>
      </c>
      <c r="CE114" s="129">
        <f t="shared" si="390"/>
        <v>47635</v>
      </c>
      <c r="CF114" s="129">
        <f t="shared" si="390"/>
        <v>47665</v>
      </c>
      <c r="CG114" s="129">
        <f t="shared" si="390"/>
        <v>47696</v>
      </c>
      <c r="CH114" s="129">
        <f t="shared" si="390"/>
        <v>47727</v>
      </c>
      <c r="CI114" s="129">
        <f t="shared" si="390"/>
        <v>47757</v>
      </c>
      <c r="CJ114" s="129">
        <f t="shared" si="390"/>
        <v>47788</v>
      </c>
      <c r="CK114" s="129">
        <f t="shared" si="390"/>
        <v>47818</v>
      </c>
      <c r="CN114" s="145"/>
      <c r="CO114" s="130"/>
      <c r="CP114" s="130"/>
      <c r="CQ114" s="130"/>
      <c r="CR114" s="130"/>
      <c r="CS114" s="130"/>
      <c r="CT114" s="130"/>
      <c r="CU114" s="130"/>
    </row>
    <row r="115" spans="2:102" s="381" customFormat="1" x14ac:dyDescent="0.2">
      <c r="B115" s="382" t="s">
        <v>433</v>
      </c>
      <c r="F115" s="187">
        <f>F48/(1+F122)*F122</f>
        <v>3663.2990000000027</v>
      </c>
      <c r="G115" s="187">
        <f t="shared" ref="G115:Q115" si="391">G48/(1+G122)*G122</f>
        <v>3903.2899999999981</v>
      </c>
      <c r="H115" s="187">
        <f t="shared" si="391"/>
        <v>3619.8280000000018</v>
      </c>
      <c r="I115" s="187">
        <f t="shared" si="391"/>
        <v>4188.9419999999991</v>
      </c>
      <c r="J115" s="187">
        <f t="shared" si="391"/>
        <v>4089.663</v>
      </c>
      <c r="K115" s="187">
        <f t="shared" si="391"/>
        <v>4177.3649999999971</v>
      </c>
      <c r="L115" s="187">
        <f t="shared" si="391"/>
        <v>4757.3520000000026</v>
      </c>
      <c r="M115" s="187">
        <f t="shared" si="391"/>
        <v>4383.0359999999964</v>
      </c>
      <c r="N115" s="187">
        <f t="shared" si="391"/>
        <v>4205.6670000000013</v>
      </c>
      <c r="O115" s="187">
        <f t="shared" si="391"/>
        <v>4807.1999999999971</v>
      </c>
      <c r="P115" s="187">
        <f t="shared" si="391"/>
        <v>4563.3689999999997</v>
      </c>
      <c r="Q115" s="187">
        <f t="shared" si="391"/>
        <v>5268.3349999999873</v>
      </c>
      <c r="R115" s="187">
        <f>(R42+R45+R47)/(1+R122)*R122+(R48-(R42+R45+R47))/1.2*0.2</f>
        <v>3982.2035496241115</v>
      </c>
      <c r="S115" s="187">
        <f t="shared" ref="S115:V115" si="392">(S42+S45+S47)/(1+S122)*S122+(S48-(S42+S45+S47))/1.2*0.2</f>
        <v>3659.7225340329187</v>
      </c>
      <c r="T115" s="187">
        <f t="shared" si="392"/>
        <v>5099.0241495723085</v>
      </c>
      <c r="U115" s="187">
        <f t="shared" si="392"/>
        <v>4134.4175449480381</v>
      </c>
      <c r="V115" s="187">
        <f t="shared" si="392"/>
        <v>4250.4434389642411</v>
      </c>
      <c r="W115" s="187">
        <f>(W42+W45+W47)/(1+W122)*W122+(W48-(W42+W45+W47))/1.2*0.2</f>
        <v>4393.9001606880402</v>
      </c>
      <c r="X115" s="187">
        <f>(X42+X45+X47)/(1+X122)*X122+(X48-(X42+X45+X47))/1.2*0.2</f>
        <v>5758.9939447250836</v>
      </c>
      <c r="Y115" s="187">
        <f>(Y42+Y45+Y47)/(1+Y122)*Y122+(Y48-(Y42+Y45+Y47))/1.2*0.2</f>
        <v>5562.4793504934223</v>
      </c>
      <c r="Z115" s="187">
        <f t="shared" ref="Z115:BX115" si="393">(Z42+Z45+Z47)/1.1*0.1+(Z48-(Z42+Z45+Z47))/1.2*0.2</f>
        <v>5257.1441968181825</v>
      </c>
      <c r="AA115" s="187">
        <f t="shared" si="393"/>
        <v>4978.9136922727275</v>
      </c>
      <c r="AB115" s="187">
        <f t="shared" si="393"/>
        <v>4798.9783377272715</v>
      </c>
      <c r="AC115" s="187">
        <f t="shared" si="393"/>
        <v>5715.1107581818187</v>
      </c>
      <c r="AD115" s="187">
        <f t="shared" ref="AD115:AF115" si="394">(AD42+AD45+AD47)/(1+AD122)*AD122+(AD48-(AD42+AD45+AD47))/1.2*0.2</f>
        <v>3730.034666230561</v>
      </c>
      <c r="AE115" s="187">
        <f t="shared" si="394"/>
        <v>4108.1568253872883</v>
      </c>
      <c r="AF115" s="187">
        <f t="shared" si="394"/>
        <v>5174.9064359417889</v>
      </c>
      <c r="AG115" s="187">
        <f t="shared" si="393"/>
        <v>4672.5011420454557</v>
      </c>
      <c r="AH115" s="187">
        <f t="shared" si="393"/>
        <v>5066.523139092802</v>
      </c>
      <c r="AI115" s="187">
        <f t="shared" si="393"/>
        <v>5317.0184882026988</v>
      </c>
      <c r="AJ115" s="187">
        <f t="shared" si="393"/>
        <v>5665.7866666379568</v>
      </c>
      <c r="AK115" s="187">
        <f t="shared" si="393"/>
        <v>7521.3112872347992</v>
      </c>
      <c r="AL115" s="187">
        <f t="shared" si="393"/>
        <v>8374.0353181847786</v>
      </c>
      <c r="AM115" s="187">
        <f t="shared" si="393"/>
        <v>8409.3512483644809</v>
      </c>
      <c r="AN115" s="187">
        <f t="shared" si="393"/>
        <v>8885.6296870311799</v>
      </c>
      <c r="AO115" s="187">
        <f t="shared" si="393"/>
        <v>10502.284423364083</v>
      </c>
      <c r="AP115" s="187">
        <f t="shared" si="393"/>
        <v>9200.7406026147764</v>
      </c>
      <c r="AQ115" s="187">
        <f t="shared" si="393"/>
        <v>10622.622911664226</v>
      </c>
      <c r="AR115" s="187">
        <f t="shared" si="393"/>
        <v>12712.763998796154</v>
      </c>
      <c r="AS115" s="187">
        <f t="shared" si="393"/>
        <v>13663.377213454087</v>
      </c>
      <c r="AT115" s="187">
        <f t="shared" si="393"/>
        <v>14206.355060282398</v>
      </c>
      <c r="AU115" s="187">
        <f t="shared" si="393"/>
        <v>14485.547587508197</v>
      </c>
      <c r="AV115" s="187">
        <f t="shared" si="393"/>
        <v>14770.579303255832</v>
      </c>
      <c r="AW115" s="187">
        <f t="shared" si="393"/>
        <v>14080.337070845875</v>
      </c>
      <c r="AX115" s="187">
        <f t="shared" si="393"/>
        <v>13690.399373892616</v>
      </c>
      <c r="AY115" s="187">
        <f t="shared" si="393"/>
        <v>13314.781371701471</v>
      </c>
      <c r="AZ115" s="187">
        <f t="shared" si="393"/>
        <v>12702.136562874321</v>
      </c>
      <c r="BA115" s="187">
        <f t="shared" si="393"/>
        <v>16675.146046193815</v>
      </c>
      <c r="BB115" s="187">
        <f t="shared" si="393"/>
        <v>10700.460514352155</v>
      </c>
      <c r="BC115" s="187">
        <f t="shared" si="393"/>
        <v>12373.803894567272</v>
      </c>
      <c r="BD115" s="187">
        <f t="shared" si="393"/>
        <v>14799.657213481903</v>
      </c>
      <c r="BE115" s="187">
        <f t="shared" si="393"/>
        <v>15902.882059777272</v>
      </c>
      <c r="BF115" s="187">
        <f t="shared" si="393"/>
        <v>16534.459941247689</v>
      </c>
      <c r="BG115" s="187">
        <f t="shared" si="393"/>
        <v>16858.582237401039</v>
      </c>
      <c r="BH115" s="187">
        <f t="shared" si="393"/>
        <v>17189.502402700451</v>
      </c>
      <c r="BI115" s="187">
        <f t="shared" si="393"/>
        <v>16388.579992924686</v>
      </c>
      <c r="BJ115" s="187">
        <f t="shared" si="393"/>
        <v>15934.792260258291</v>
      </c>
      <c r="BK115" s="187">
        <f t="shared" si="393"/>
        <v>15498.487174589414</v>
      </c>
      <c r="BL115" s="187">
        <f t="shared" si="393"/>
        <v>14977.756560362413</v>
      </c>
      <c r="BM115" s="187">
        <f t="shared" si="393"/>
        <v>19408.191006055156</v>
      </c>
      <c r="BN115" s="187">
        <f t="shared" si="393"/>
        <v>12467.343570347177</v>
      </c>
      <c r="BO115" s="187">
        <f t="shared" si="393"/>
        <v>14405.365281470109</v>
      </c>
      <c r="BP115" s="187">
        <f t="shared" si="393"/>
        <v>17220.332680999683</v>
      </c>
      <c r="BQ115" s="187">
        <f t="shared" si="393"/>
        <v>18500.052456569716</v>
      </c>
      <c r="BR115" s="187">
        <f t="shared" si="393"/>
        <v>19234.566869567083</v>
      </c>
      <c r="BS115" s="187">
        <f t="shared" si="393"/>
        <v>19611.665454227994</v>
      </c>
      <c r="BT115" s="187">
        <f t="shared" si="393"/>
        <v>19996.684864998402</v>
      </c>
      <c r="BU115" s="187">
        <f t="shared" si="393"/>
        <v>19068.128322567121</v>
      </c>
      <c r="BV115" s="187">
        <f t="shared" si="393"/>
        <v>18540.846189005384</v>
      </c>
      <c r="BW115" s="187">
        <f t="shared" si="393"/>
        <v>18268.557144383507</v>
      </c>
      <c r="BX115" s="187">
        <f t="shared" si="393"/>
        <v>17429.523271335715</v>
      </c>
      <c r="BY115" s="187">
        <f t="shared" ref="BY115:CK115" si="395">(BY42+BY45+BY47)/1.1*0.1+(BY48-(BY42+BY45+BY47))/1.2*0.2</f>
        <v>22585.10420976875</v>
      </c>
      <c r="BZ115" s="187">
        <f t="shared" si="395"/>
        <v>14189.269404243716</v>
      </c>
      <c r="CA115" s="187">
        <f t="shared" si="395"/>
        <v>16424.797913210597</v>
      </c>
      <c r="CB115" s="187">
        <f t="shared" si="395"/>
        <v>19659.819225619478</v>
      </c>
      <c r="CC115" s="187">
        <f t="shared" si="395"/>
        <v>21136.723354973888</v>
      </c>
      <c r="CD115" s="187">
        <f t="shared" si="395"/>
        <v>21979.436959901224</v>
      </c>
      <c r="CE115" s="187">
        <f t="shared" si="395"/>
        <v>22418.11342844239</v>
      </c>
      <c r="CF115" s="187">
        <f t="shared" si="395"/>
        <v>22866.098562589657</v>
      </c>
      <c r="CG115" s="187">
        <f t="shared" si="395"/>
        <v>21808.155230875986</v>
      </c>
      <c r="CH115" s="187">
        <f t="shared" si="395"/>
        <v>21495.81184797984</v>
      </c>
      <c r="CI115" s="187">
        <f t="shared" si="395"/>
        <v>20911.838532204481</v>
      </c>
      <c r="CJ115" s="187">
        <f t="shared" si="395"/>
        <v>19956.253433036254</v>
      </c>
      <c r="CK115" s="187">
        <f t="shared" si="395"/>
        <v>25849.074395645046</v>
      </c>
    </row>
    <row r="116" spans="2:102" s="381" customFormat="1" x14ac:dyDescent="0.2">
      <c r="B116" s="382" t="s">
        <v>434</v>
      </c>
      <c r="F116" s="187">
        <f>F53/(1+F122)*F122+F56/1.2*0.2</f>
        <v>3703.7117823827975</v>
      </c>
      <c r="G116" s="187">
        <f t="shared" ref="G116:Q116" si="396">G53/(1+G122)*G122+G56/1.2*0.2</f>
        <v>3510.6152466725648</v>
      </c>
      <c r="H116" s="187">
        <f t="shared" si="396"/>
        <v>3407.7900096680819</v>
      </c>
      <c r="I116" s="187">
        <f t="shared" si="396"/>
        <v>3850.6298107362845</v>
      </c>
      <c r="J116" s="187">
        <f t="shared" si="396"/>
        <v>3769.7749185047733</v>
      </c>
      <c r="K116" s="187">
        <f t="shared" si="396"/>
        <v>3910.2994626456439</v>
      </c>
      <c r="L116" s="187">
        <f t="shared" si="396"/>
        <v>4239.8709598038567</v>
      </c>
      <c r="M116" s="187">
        <f t="shared" si="396"/>
        <v>3918.7826885294171</v>
      </c>
      <c r="N116" s="187">
        <f t="shared" si="396"/>
        <v>3716.6024598023737</v>
      </c>
      <c r="O116" s="187">
        <f t="shared" si="396"/>
        <v>4591.2368117066198</v>
      </c>
      <c r="P116" s="187">
        <f t="shared" si="396"/>
        <v>3983.353351418581</v>
      </c>
      <c r="Q116" s="187">
        <f t="shared" si="396"/>
        <v>4630.9871778311253</v>
      </c>
      <c r="R116" s="187">
        <f>(R54+R66)/1.1*0.1+(R82-R54-R66)/1.2*0.2</f>
        <v>3603.7036195583041</v>
      </c>
      <c r="S116" s="187">
        <f>(S54+S66)/1.1*0.1+(S82-S54-S66)/1.2*0.2</f>
        <v>3341.1819089260607</v>
      </c>
      <c r="T116" s="187">
        <f t="shared" ref="T116:AC116" si="397">(T54+T66)/1.1*0.1+(T82-T54-T66)/1.2*0.2</f>
        <v>3486.2894618969704</v>
      </c>
      <c r="U116" s="187">
        <f t="shared" si="397"/>
        <v>3677.3841184989697</v>
      </c>
      <c r="V116" s="187">
        <f t="shared" si="397"/>
        <v>3509.8463296129698</v>
      </c>
      <c r="W116" s="187">
        <f t="shared" si="397"/>
        <v>3610.5919355923038</v>
      </c>
      <c r="X116" s="187">
        <f t="shared" si="397"/>
        <v>4993.4335993993682</v>
      </c>
      <c r="Y116" s="187">
        <f t="shared" si="397"/>
        <v>4848.1140932449616</v>
      </c>
      <c r="Z116" s="187">
        <f t="shared" si="397"/>
        <v>4885.069733746066</v>
      </c>
      <c r="AA116" s="187">
        <f t="shared" si="397"/>
        <v>4097.3574351756961</v>
      </c>
      <c r="AB116" s="187">
        <f t="shared" si="397"/>
        <v>3969.9007129978795</v>
      </c>
      <c r="AC116" s="187">
        <f t="shared" si="397"/>
        <v>4594.5177050995771</v>
      </c>
      <c r="AD116" s="187">
        <f>(AD54+AD66)/1.1*0.1+(AD82-AD54-AD66)/1.22*0.22</f>
        <v>3461.0648903928463</v>
      </c>
      <c r="AE116" s="187">
        <f t="shared" ref="AE116:AF116" si="398">(AE54+AE66)/1.1*0.1+(AE82-AE54-AE66)/1.22*0.22</f>
        <v>3611.5438969383003</v>
      </c>
      <c r="AF116" s="187">
        <f t="shared" si="398"/>
        <v>4322.0769906593141</v>
      </c>
      <c r="AG116" s="187">
        <f>(AG54+AG66)/1.1*0.1+(AG82-AG54-AG66)/1.22*0.22</f>
        <v>4383.1072757760803</v>
      </c>
      <c r="AH116" s="187">
        <f t="shared" ref="AH116:BX116" si="399">(AH54+AH66)/1.1*0.1+(AH82-AH54-AH66)/1.22*0.22</f>
        <v>4691.9820695506351</v>
      </c>
      <c r="AI116" s="187">
        <f t="shared" si="399"/>
        <v>4971.1459682894347</v>
      </c>
      <c r="AJ116" s="187">
        <f t="shared" si="399"/>
        <v>5432.4468226627923</v>
      </c>
      <c r="AK116" s="187">
        <f t="shared" si="399"/>
        <v>6691.610090416747</v>
      </c>
      <c r="AL116" s="187">
        <f t="shared" si="399"/>
        <v>7385.1021523961181</v>
      </c>
      <c r="AM116" s="187">
        <f t="shared" si="399"/>
        <v>7293.1958373893631</v>
      </c>
      <c r="AN116" s="187">
        <f t="shared" si="399"/>
        <v>7627.1493293578224</v>
      </c>
      <c r="AO116" s="187">
        <f t="shared" si="399"/>
        <v>8674.4816179531463</v>
      </c>
      <c r="AP116" s="187">
        <f t="shared" si="399"/>
        <v>7520.8788444753554</v>
      </c>
      <c r="AQ116" s="187">
        <f t="shared" si="399"/>
        <v>8644.2306120019402</v>
      </c>
      <c r="AR116" s="187">
        <f t="shared" si="399"/>
        <v>10392.464102736585</v>
      </c>
      <c r="AS116" s="187">
        <f t="shared" si="399"/>
        <v>11220.945070451389</v>
      </c>
      <c r="AT116" s="187">
        <f t="shared" si="399"/>
        <v>11632.606706584043</v>
      </c>
      <c r="AU116" s="187">
        <f t="shared" si="399"/>
        <v>11843.724358299114</v>
      </c>
      <c r="AV116" s="187">
        <f t="shared" si="399"/>
        <v>12059.248427736886</v>
      </c>
      <c r="AW116" s="187">
        <f t="shared" si="399"/>
        <v>11479.796728217581</v>
      </c>
      <c r="AX116" s="187">
        <f t="shared" si="399"/>
        <v>11197.102808936655</v>
      </c>
      <c r="AY116" s="187">
        <f t="shared" si="399"/>
        <v>10914.270822512404</v>
      </c>
      <c r="AZ116" s="187">
        <f t="shared" si="399"/>
        <v>10453.0635553344</v>
      </c>
      <c r="BA116" s="187">
        <f t="shared" si="399"/>
        <v>13441.489084529832</v>
      </c>
      <c r="BB116" s="187">
        <f t="shared" si="399"/>
        <v>8485.4067210392768</v>
      </c>
      <c r="BC116" s="187">
        <f t="shared" si="399"/>
        <v>9968.6335534436967</v>
      </c>
      <c r="BD116" s="187">
        <f t="shared" si="399"/>
        <v>11995.381967754091</v>
      </c>
      <c r="BE116" s="187">
        <f t="shared" si="399"/>
        <v>12955.804812486096</v>
      </c>
      <c r="BF116" s="187">
        <f t="shared" si="399"/>
        <v>13432.992310956903</v>
      </c>
      <c r="BG116" s="187">
        <f t="shared" si="399"/>
        <v>13677.76679577217</v>
      </c>
      <c r="BH116" s="187">
        <f t="shared" si="399"/>
        <v>13927.663908118506</v>
      </c>
      <c r="BI116" s="187">
        <f t="shared" si="399"/>
        <v>13255.995039562587</v>
      </c>
      <c r="BJ116" s="187">
        <f t="shared" si="399"/>
        <v>12914.714681572179</v>
      </c>
      <c r="BK116" s="187">
        <f t="shared" si="399"/>
        <v>12586.576929815206</v>
      </c>
      <c r="BL116" s="187">
        <f t="shared" si="399"/>
        <v>12166.122328072124</v>
      </c>
      <c r="BM116" s="187">
        <f t="shared" si="399"/>
        <v>15523.228734540295</v>
      </c>
      <c r="BN116" s="187">
        <f t="shared" si="399"/>
        <v>9770.7297805066773</v>
      </c>
      <c r="BO116" s="187">
        <f t="shared" si="399"/>
        <v>11487.342145173112</v>
      </c>
      <c r="BP116" s="187">
        <f t="shared" si="399"/>
        <v>13836.615015531295</v>
      </c>
      <c r="BQ116" s="187">
        <f t="shared" si="399"/>
        <v>14949.562379936924</v>
      </c>
      <c r="BR116" s="187">
        <f t="shared" si="399"/>
        <v>15503.838873445991</v>
      </c>
      <c r="BS116" s="187">
        <f t="shared" si="399"/>
        <v>15788.264998714056</v>
      </c>
      <c r="BT116" s="187">
        <f t="shared" si="399"/>
        <v>16078.652112864922</v>
      </c>
      <c r="BU116" s="187">
        <f t="shared" si="399"/>
        <v>15300.705109976127</v>
      </c>
      <c r="BV116" s="187">
        <f t="shared" si="399"/>
        <v>14904.633017493736</v>
      </c>
      <c r="BW116" s="187">
        <f t="shared" si="399"/>
        <v>14664.777484068702</v>
      </c>
      <c r="BX116" s="187">
        <f t="shared" si="399"/>
        <v>14036.435727224316</v>
      </c>
      <c r="BY116" s="187">
        <f t="shared" ref="BY116:CK116" si="400">(BY54+BY66)/1.1*0.1+(BY82-BY54-BY66)/1.22*0.22</f>
        <v>17937.614347029492</v>
      </c>
      <c r="BZ116" s="187">
        <f t="shared" si="400"/>
        <v>11018.493817685536</v>
      </c>
      <c r="CA116" s="187">
        <f t="shared" si="400"/>
        <v>13000.427173341524</v>
      </c>
      <c r="CB116" s="187">
        <f t="shared" si="400"/>
        <v>15704.685636708466</v>
      </c>
      <c r="CC116" s="187">
        <f t="shared" si="400"/>
        <v>16989.884899022829</v>
      </c>
      <c r="CD116" s="187">
        <f t="shared" si="400"/>
        <v>17626.818011241019</v>
      </c>
      <c r="CE116" s="187">
        <f t="shared" si="400"/>
        <v>17957.977529236836</v>
      </c>
      <c r="CF116" s="187">
        <f t="shared" si="400"/>
        <v>18296.138666991865</v>
      </c>
      <c r="CG116" s="187">
        <f t="shared" si="400"/>
        <v>17406.984879404961</v>
      </c>
      <c r="CH116" s="187">
        <f t="shared" si="400"/>
        <v>17128.458383305027</v>
      </c>
      <c r="CI116" s="187">
        <f t="shared" si="400"/>
        <v>16689.655748068952</v>
      </c>
      <c r="CJ116" s="187">
        <f t="shared" si="400"/>
        <v>15972.094973729345</v>
      </c>
      <c r="CK116" s="187">
        <f t="shared" si="400"/>
        <v>20441.621693208985</v>
      </c>
    </row>
    <row r="117" spans="2:102" s="381" customFormat="1" x14ac:dyDescent="0.2">
      <c r="B117" s="382" t="s">
        <v>435</v>
      </c>
      <c r="F117" s="187">
        <f>F110/1.2*0.2</f>
        <v>0</v>
      </c>
      <c r="G117" s="187">
        <f t="shared" ref="G117:Q117" si="401">G110/1.2*0.2</f>
        <v>0</v>
      </c>
      <c r="H117" s="187">
        <f t="shared" si="401"/>
        <v>0</v>
      </c>
      <c r="I117" s="187">
        <f t="shared" si="401"/>
        <v>0</v>
      </c>
      <c r="J117" s="187">
        <f t="shared" si="401"/>
        <v>0</v>
      </c>
      <c r="K117" s="187">
        <f t="shared" si="401"/>
        <v>0</v>
      </c>
      <c r="L117" s="187">
        <f t="shared" si="401"/>
        <v>0</v>
      </c>
      <c r="M117" s="187">
        <f t="shared" si="401"/>
        <v>0</v>
      </c>
      <c r="N117" s="187">
        <f t="shared" si="401"/>
        <v>0</v>
      </c>
      <c r="O117" s="187">
        <f t="shared" si="401"/>
        <v>0</v>
      </c>
      <c r="P117" s="187">
        <f t="shared" si="401"/>
        <v>0</v>
      </c>
      <c r="Q117" s="187">
        <f t="shared" si="401"/>
        <v>0</v>
      </c>
      <c r="R117" s="187">
        <f t="shared" ref="R117:AF117" si="402">R110/1.2*0.2</f>
        <v>0</v>
      </c>
      <c r="S117" s="187">
        <f t="shared" si="402"/>
        <v>0</v>
      </c>
      <c r="T117" s="187">
        <f t="shared" si="402"/>
        <v>0</v>
      </c>
      <c r="U117" s="187">
        <f t="shared" si="402"/>
        <v>0</v>
      </c>
      <c r="V117" s="187">
        <f t="shared" si="402"/>
        <v>0</v>
      </c>
      <c r="W117" s="187">
        <f t="shared" si="402"/>
        <v>0</v>
      </c>
      <c r="X117" s="187">
        <f t="shared" si="402"/>
        <v>0</v>
      </c>
      <c r="Y117" s="187">
        <f t="shared" si="402"/>
        <v>0</v>
      </c>
      <c r="Z117" s="187">
        <f t="shared" si="402"/>
        <v>0</v>
      </c>
      <c r="AA117" s="187">
        <f t="shared" si="402"/>
        <v>0</v>
      </c>
      <c r="AB117" s="187">
        <f t="shared" si="402"/>
        <v>0</v>
      </c>
      <c r="AC117" s="187"/>
      <c r="AD117" s="187">
        <f>AD110/1.2*0.2</f>
        <v>0</v>
      </c>
      <c r="AE117" s="187">
        <f t="shared" si="402"/>
        <v>231.33333333333337</v>
      </c>
      <c r="AF117" s="187">
        <f t="shared" si="402"/>
        <v>1024.7666666666669</v>
      </c>
      <c r="AG117" s="187">
        <f>AG110/1.22*0.22</f>
        <v>3168.7213114754099</v>
      </c>
      <c r="AH117" s="187">
        <f t="shared" ref="AH117:BX117" si="403">AH110/1.22*0.22</f>
        <v>2671.377049180328</v>
      </c>
      <c r="AI117" s="187">
        <f t="shared" si="403"/>
        <v>60015.639344262294</v>
      </c>
      <c r="AJ117" s="187">
        <f t="shared" si="403"/>
        <v>1859.9016393442625</v>
      </c>
      <c r="AK117" s="187">
        <f t="shared" si="403"/>
        <v>597.60655737704917</v>
      </c>
      <c r="AL117" s="187">
        <f t="shared" si="403"/>
        <v>101.70491803278689</v>
      </c>
      <c r="AM117" s="187">
        <f t="shared" si="403"/>
        <v>101.70491803278689</v>
      </c>
      <c r="AN117" s="187">
        <f t="shared" si="403"/>
        <v>101.70491803278689</v>
      </c>
      <c r="AO117" s="187">
        <f t="shared" si="403"/>
        <v>101.70491803278689</v>
      </c>
      <c r="AP117" s="187">
        <f t="shared" si="403"/>
        <v>101.70491803278689</v>
      </c>
      <c r="AQ117" s="187">
        <f t="shared" si="403"/>
        <v>101.70491803278689</v>
      </c>
      <c r="AR117" s="187">
        <f t="shared" si="403"/>
        <v>101.70491803278689</v>
      </c>
      <c r="AS117" s="187">
        <f t="shared" si="403"/>
        <v>101.70491803278689</v>
      </c>
      <c r="AT117" s="187">
        <f t="shared" si="403"/>
        <v>101.70491803278689</v>
      </c>
      <c r="AU117" s="187">
        <f t="shared" si="403"/>
        <v>101.70491803278689</v>
      </c>
      <c r="AV117" s="187">
        <f t="shared" si="403"/>
        <v>101.70491803278689</v>
      </c>
      <c r="AW117" s="187">
        <f t="shared" si="403"/>
        <v>101.70491803278689</v>
      </c>
      <c r="AX117" s="187">
        <f t="shared" si="403"/>
        <v>101.70491803278689</v>
      </c>
      <c r="AY117" s="187">
        <f t="shared" si="403"/>
        <v>101.70491803278689</v>
      </c>
      <c r="AZ117" s="187">
        <f t="shared" si="403"/>
        <v>101.70491803278689</v>
      </c>
      <c r="BA117" s="187">
        <f t="shared" si="403"/>
        <v>101.70491803278689</v>
      </c>
      <c r="BB117" s="187">
        <f t="shared" si="403"/>
        <v>101.70491803278689</v>
      </c>
      <c r="BC117" s="187">
        <f t="shared" si="403"/>
        <v>101.70491803278689</v>
      </c>
      <c r="BD117" s="187">
        <f t="shared" si="403"/>
        <v>101.70491803278689</v>
      </c>
      <c r="BE117" s="187">
        <f t="shared" si="403"/>
        <v>101.70491803278689</v>
      </c>
      <c r="BF117" s="187">
        <f t="shared" si="403"/>
        <v>101.70491803278689</v>
      </c>
      <c r="BG117" s="187">
        <f t="shared" si="403"/>
        <v>101.70491803278689</v>
      </c>
      <c r="BH117" s="187">
        <f t="shared" si="403"/>
        <v>101.70491803278689</v>
      </c>
      <c r="BI117" s="187">
        <f t="shared" si="403"/>
        <v>101.70491803278689</v>
      </c>
      <c r="BJ117" s="187">
        <f t="shared" si="403"/>
        <v>101.70491803278689</v>
      </c>
      <c r="BK117" s="187">
        <f t="shared" si="403"/>
        <v>101.70491803278689</v>
      </c>
      <c r="BL117" s="187">
        <f t="shared" si="403"/>
        <v>101.70491803278689</v>
      </c>
      <c r="BM117" s="187">
        <f t="shared" si="403"/>
        <v>101.70491803278689</v>
      </c>
      <c r="BN117" s="187">
        <f t="shared" si="403"/>
        <v>101.70491803278689</v>
      </c>
      <c r="BO117" s="187">
        <f t="shared" si="403"/>
        <v>101.70491803278689</v>
      </c>
      <c r="BP117" s="187">
        <f t="shared" si="403"/>
        <v>101.70491803278689</v>
      </c>
      <c r="BQ117" s="187">
        <f t="shared" si="403"/>
        <v>101.70491803278689</v>
      </c>
      <c r="BR117" s="187">
        <f t="shared" si="403"/>
        <v>101.70491803278689</v>
      </c>
      <c r="BS117" s="187">
        <f t="shared" si="403"/>
        <v>101.70491803278689</v>
      </c>
      <c r="BT117" s="187">
        <f t="shared" si="403"/>
        <v>101.70491803278689</v>
      </c>
      <c r="BU117" s="187">
        <f t="shared" si="403"/>
        <v>101.70491803278689</v>
      </c>
      <c r="BV117" s="187">
        <f t="shared" si="403"/>
        <v>101.70491803278689</v>
      </c>
      <c r="BW117" s="187">
        <f t="shared" si="403"/>
        <v>101.70491803278689</v>
      </c>
      <c r="BX117" s="187">
        <f t="shared" si="403"/>
        <v>101.70491803278689</v>
      </c>
      <c r="BY117" s="187">
        <f t="shared" ref="BY117:CK117" si="404">BY110/1.22*0.22</f>
        <v>101.70491803278689</v>
      </c>
      <c r="BZ117" s="187">
        <f t="shared" si="404"/>
        <v>101.70491803278689</v>
      </c>
      <c r="CA117" s="187">
        <f t="shared" si="404"/>
        <v>101.70491803278689</v>
      </c>
      <c r="CB117" s="187">
        <f t="shared" si="404"/>
        <v>101.70491803278689</v>
      </c>
      <c r="CC117" s="187">
        <f t="shared" si="404"/>
        <v>101.70491803278689</v>
      </c>
      <c r="CD117" s="187">
        <f t="shared" si="404"/>
        <v>101.70491803278689</v>
      </c>
      <c r="CE117" s="187">
        <f t="shared" si="404"/>
        <v>101.70491803278689</v>
      </c>
      <c r="CF117" s="187">
        <f t="shared" si="404"/>
        <v>101.70491803278689</v>
      </c>
      <c r="CG117" s="187">
        <f t="shared" si="404"/>
        <v>101.70491803278689</v>
      </c>
      <c r="CH117" s="187">
        <f t="shared" si="404"/>
        <v>101.70491803278689</v>
      </c>
      <c r="CI117" s="187">
        <f t="shared" si="404"/>
        <v>101.70491803278689</v>
      </c>
      <c r="CJ117" s="187">
        <f t="shared" si="404"/>
        <v>101.70491803278689</v>
      </c>
      <c r="CK117" s="187">
        <f t="shared" si="404"/>
        <v>101.70491803278689</v>
      </c>
    </row>
    <row r="118" spans="2:102" s="381" customFormat="1" x14ac:dyDescent="0.2">
      <c r="B118" s="382" t="s">
        <v>299</v>
      </c>
      <c r="F118" s="187">
        <f>F115-F116-F117</f>
        <v>-40.41278238279483</v>
      </c>
      <c r="G118" s="187">
        <f t="shared" ref="G118:Q118" si="405">G115-G116-G117</f>
        <v>392.67475332743334</v>
      </c>
      <c r="H118" s="187">
        <f t="shared" si="405"/>
        <v>212.0379903319199</v>
      </c>
      <c r="I118" s="187">
        <f t="shared" si="405"/>
        <v>338.31218926371457</v>
      </c>
      <c r="J118" s="187">
        <f t="shared" si="405"/>
        <v>319.88808149522674</v>
      </c>
      <c r="K118" s="187">
        <f t="shared" si="405"/>
        <v>267.06553735435318</v>
      </c>
      <c r="L118" s="187">
        <f t="shared" si="405"/>
        <v>517.48104019614584</v>
      </c>
      <c r="M118" s="187">
        <f t="shared" si="405"/>
        <v>464.25331147057932</v>
      </c>
      <c r="N118" s="187">
        <f t="shared" si="405"/>
        <v>489.06454019762759</v>
      </c>
      <c r="O118" s="187">
        <f t="shared" si="405"/>
        <v>215.96318829337724</v>
      </c>
      <c r="P118" s="187">
        <f t="shared" si="405"/>
        <v>580.01564858141865</v>
      </c>
      <c r="Q118" s="187">
        <f t="shared" si="405"/>
        <v>637.34782216886197</v>
      </c>
      <c r="R118" s="187">
        <f>R115-R116-R117</f>
        <v>378.49993006580735</v>
      </c>
      <c r="S118" s="187">
        <f t="shared" ref="S118:AB118" si="406">S115-S116-S117</f>
        <v>318.54062510685799</v>
      </c>
      <c r="T118" s="187">
        <f t="shared" si="406"/>
        <v>1612.7346876753381</v>
      </c>
      <c r="U118" s="187">
        <f t="shared" si="406"/>
        <v>457.03342644906843</v>
      </c>
      <c r="V118" s="187">
        <f t="shared" si="406"/>
        <v>740.59710935127123</v>
      </c>
      <c r="W118" s="187">
        <f t="shared" si="406"/>
        <v>783.30822509573636</v>
      </c>
      <c r="X118" s="187">
        <f t="shared" si="406"/>
        <v>765.56034532571539</v>
      </c>
      <c r="Y118" s="187">
        <f t="shared" si="406"/>
        <v>714.36525724846069</v>
      </c>
      <c r="Z118" s="187">
        <f t="shared" si="406"/>
        <v>372.07446307211649</v>
      </c>
      <c r="AA118" s="187">
        <f t="shared" si="406"/>
        <v>881.55625709703145</v>
      </c>
      <c r="AB118" s="187">
        <f t="shared" si="406"/>
        <v>829.07762472939203</v>
      </c>
      <c r="AC118" s="187">
        <f>AC115-AC116-AC117</f>
        <v>1120.5930530822416</v>
      </c>
      <c r="AD118" s="187">
        <f t="shared" ref="AD118:AK118" si="407">AD115-AD116-AD117</f>
        <v>268.96977583771468</v>
      </c>
      <c r="AE118" s="187">
        <f t="shared" si="407"/>
        <v>265.27959511565462</v>
      </c>
      <c r="AF118" s="187">
        <f t="shared" si="407"/>
        <v>-171.93722138419207</v>
      </c>
      <c r="AG118" s="187">
        <f t="shared" si="407"/>
        <v>-2879.3274452060346</v>
      </c>
      <c r="AH118" s="187">
        <f t="shared" si="407"/>
        <v>-2296.835979638161</v>
      </c>
      <c r="AI118" s="187">
        <f t="shared" si="407"/>
        <v>-59669.766824349033</v>
      </c>
      <c r="AJ118" s="187">
        <f t="shared" si="407"/>
        <v>-1626.561795369098</v>
      </c>
      <c r="AK118" s="187">
        <f t="shared" si="407"/>
        <v>232.0946394410031</v>
      </c>
      <c r="AL118" s="187">
        <f t="shared" ref="AL118" si="408">AL115-AL116-AL117</f>
        <v>887.22824775587367</v>
      </c>
      <c r="AM118" s="187">
        <f t="shared" ref="AM118" si="409">AM115-AM116-AM117</f>
        <v>1014.4504929423309</v>
      </c>
      <c r="AN118" s="187">
        <f t="shared" ref="AN118" si="410">AN115-AN116-AN117</f>
        <v>1156.7754396405705</v>
      </c>
      <c r="AO118" s="187">
        <f t="shared" ref="AO118:AP118" si="411">AO115-AO116-AO117</f>
        <v>1726.0978873781494</v>
      </c>
      <c r="AP118" s="187">
        <f t="shared" si="411"/>
        <v>1578.156840106634</v>
      </c>
      <c r="AQ118" s="187">
        <f t="shared" ref="AQ118" si="412">AQ115-AQ116-AQ117</f>
        <v>1876.687381629499</v>
      </c>
      <c r="AR118" s="187">
        <f t="shared" ref="AR118" si="413">AR115-AR116-AR117</f>
        <v>2218.594978026782</v>
      </c>
      <c r="AS118" s="187">
        <f t="shared" ref="AS118" si="414">AS115-AS116-AS117</f>
        <v>2340.7272249699108</v>
      </c>
      <c r="AT118" s="187">
        <f t="shared" ref="AT118" si="415">AT115-AT116-AT117</f>
        <v>2472.0434356655678</v>
      </c>
      <c r="AU118" s="187">
        <f t="shared" ref="AU118" si="416">AU115-AU116-AU117</f>
        <v>2540.1183111762966</v>
      </c>
      <c r="AV118" s="187">
        <f t="shared" ref="AV118" si="417">AV115-AV116-AV117</f>
        <v>2609.6259574861597</v>
      </c>
      <c r="AW118" s="187">
        <f t="shared" ref="AW118" si="418">AW115-AW116-AW117</f>
        <v>2498.835424595507</v>
      </c>
      <c r="AX118" s="187">
        <f t="shared" ref="AX118" si="419">AX115-AX116-AX117</f>
        <v>2391.5916469231743</v>
      </c>
      <c r="AY118" s="187">
        <f t="shared" ref="AY118" si="420">AY115-AY116-AY117</f>
        <v>2298.8056311562796</v>
      </c>
      <c r="AZ118" s="187">
        <f t="shared" ref="AZ118" si="421">AZ115-AZ116-AZ117</f>
        <v>2147.3680895071338</v>
      </c>
      <c r="BA118" s="187">
        <f t="shared" ref="BA118:BB118" si="422">BA115-BA116-BA117</f>
        <v>3131.9520436311959</v>
      </c>
      <c r="BB118" s="187">
        <f t="shared" si="422"/>
        <v>2113.3488752800913</v>
      </c>
      <c r="BC118" s="187">
        <f t="shared" ref="BC118" si="423">BC115-BC116-BC117</f>
        <v>2303.465423090789</v>
      </c>
      <c r="BD118" s="187">
        <f t="shared" ref="BD118" si="424">BD115-BD116-BD117</f>
        <v>2702.5703276950262</v>
      </c>
      <c r="BE118" s="187">
        <f t="shared" ref="BE118" si="425">BE115-BE116-BE117</f>
        <v>2845.3723292583891</v>
      </c>
      <c r="BF118" s="187">
        <f t="shared" ref="BF118" si="426">BF115-BF116-BF117</f>
        <v>2999.7627122579997</v>
      </c>
      <c r="BG118" s="187">
        <f t="shared" ref="BG118" si="427">BG115-BG116-BG117</f>
        <v>3079.1105235960822</v>
      </c>
      <c r="BH118" s="187">
        <f t="shared" ref="BH118" si="428">BH115-BH116-BH117</f>
        <v>3160.1335765491585</v>
      </c>
      <c r="BI118" s="187">
        <f t="shared" ref="BI118" si="429">BI115-BI116-BI117</f>
        <v>3030.8800353293118</v>
      </c>
      <c r="BJ118" s="187">
        <f t="shared" ref="BJ118" si="430">BJ115-BJ116-BJ117</f>
        <v>2918.3726606533255</v>
      </c>
      <c r="BK118" s="187">
        <f t="shared" ref="BK118" si="431">BK115-BK116-BK117</f>
        <v>2810.2053267414212</v>
      </c>
      <c r="BL118" s="187">
        <f t="shared" ref="BL118" si="432">BL115-BL116-BL117</f>
        <v>2709.9293142575025</v>
      </c>
      <c r="BM118" s="187">
        <f t="shared" ref="BM118:BN118" si="433">BM115-BM116-BM117</f>
        <v>3783.2573534820749</v>
      </c>
      <c r="BN118" s="187">
        <f t="shared" si="433"/>
        <v>2594.9088718077128</v>
      </c>
      <c r="BO118" s="187">
        <f t="shared" ref="BO118" si="434">BO115-BO116-BO117</f>
        <v>2816.3182182642104</v>
      </c>
      <c r="BP118" s="187">
        <f t="shared" ref="BP118" si="435">BP115-BP116-BP117</f>
        <v>3282.0127474356013</v>
      </c>
      <c r="BQ118" s="187">
        <f t="shared" ref="BQ118" si="436">BQ115-BQ116-BQ117</f>
        <v>3448.7851586000052</v>
      </c>
      <c r="BR118" s="187">
        <f t="shared" ref="BR118" si="437">BR115-BR116-BR117</f>
        <v>3629.0230780883048</v>
      </c>
      <c r="BS118" s="187">
        <f t="shared" ref="BS118" si="438">BS115-BS116-BS117</f>
        <v>3721.6955374811514</v>
      </c>
      <c r="BT118" s="187">
        <f t="shared" ref="BT118" si="439">BT115-BT116-BT117</f>
        <v>3816.3278341006935</v>
      </c>
      <c r="BU118" s="187">
        <f t="shared" ref="BU118" si="440">BU115-BU116-BU117</f>
        <v>3665.7182945582081</v>
      </c>
      <c r="BV118" s="187">
        <f t="shared" ref="BV118" si="441">BV115-BV116-BV117</f>
        <v>3534.5082534788617</v>
      </c>
      <c r="BW118" s="187">
        <f t="shared" ref="BW118" si="442">BW115-BW116-BW117</f>
        <v>3502.0747422820186</v>
      </c>
      <c r="BX118" s="187">
        <f t="shared" ref="BX118:CK118" si="443">BX115-BX116-BX117</f>
        <v>3291.3826260786118</v>
      </c>
      <c r="BY118" s="187">
        <f t="shared" si="443"/>
        <v>4545.7849447064709</v>
      </c>
      <c r="BZ118" s="187">
        <f t="shared" si="443"/>
        <v>3069.0706685253936</v>
      </c>
      <c r="CA118" s="187">
        <f t="shared" si="443"/>
        <v>3322.6658218362863</v>
      </c>
      <c r="CB118" s="187">
        <f t="shared" si="443"/>
        <v>3853.4286708782256</v>
      </c>
      <c r="CC118" s="187">
        <f t="shared" si="443"/>
        <v>4045.1335379182729</v>
      </c>
      <c r="CD118" s="187">
        <f t="shared" si="443"/>
        <v>4250.9140306274185</v>
      </c>
      <c r="CE118" s="187">
        <f t="shared" si="443"/>
        <v>4358.4309811727671</v>
      </c>
      <c r="CF118" s="187">
        <f t="shared" si="443"/>
        <v>4468.2549775650059</v>
      </c>
      <c r="CG118" s="187">
        <f t="shared" si="443"/>
        <v>4299.4654334382376</v>
      </c>
      <c r="CH118" s="187">
        <f t="shared" si="443"/>
        <v>4265.6485466420254</v>
      </c>
      <c r="CI118" s="187">
        <f t="shared" si="443"/>
        <v>4120.4778661027431</v>
      </c>
      <c r="CJ118" s="187">
        <f t="shared" si="443"/>
        <v>3882.4535412741225</v>
      </c>
      <c r="CK118" s="187">
        <f t="shared" si="443"/>
        <v>5305.7477844032746</v>
      </c>
      <c r="CL118" s="187"/>
    </row>
    <row r="119" spans="2:102" x14ac:dyDescent="0.2">
      <c r="B119" s="27" t="s">
        <v>300</v>
      </c>
      <c r="F119" s="28">
        <f>E119+F118</f>
        <v>-40.41278238279483</v>
      </c>
      <c r="G119" s="28">
        <f t="shared" ref="G119:BR119" si="444">F119+G118</f>
        <v>352.26197094463851</v>
      </c>
      <c r="H119" s="28">
        <f t="shared" si="444"/>
        <v>564.29996127655841</v>
      </c>
      <c r="I119" s="28">
        <f t="shared" si="444"/>
        <v>902.61215054027298</v>
      </c>
      <c r="J119" s="28">
        <f t="shared" si="444"/>
        <v>1222.5002320354997</v>
      </c>
      <c r="K119" s="28">
        <f t="shared" si="444"/>
        <v>1489.5657693898529</v>
      </c>
      <c r="L119" s="28">
        <f t="shared" si="444"/>
        <v>2007.0468095859987</v>
      </c>
      <c r="M119" s="28">
        <f t="shared" si="444"/>
        <v>2471.3001210565781</v>
      </c>
      <c r="N119" s="28">
        <f t="shared" si="444"/>
        <v>2960.3646612542057</v>
      </c>
      <c r="O119" s="28">
        <f t="shared" si="444"/>
        <v>3176.3278495475829</v>
      </c>
      <c r="P119" s="28">
        <f t="shared" si="444"/>
        <v>3756.3434981290015</v>
      </c>
      <c r="Q119" s="28">
        <f t="shared" si="444"/>
        <v>4393.6913202978631</v>
      </c>
      <c r="R119" s="28">
        <f t="shared" si="444"/>
        <v>4772.1912503636704</v>
      </c>
      <c r="S119" s="28">
        <f t="shared" si="444"/>
        <v>5090.7318754705284</v>
      </c>
      <c r="T119" s="28">
        <f t="shared" si="444"/>
        <v>6703.4665631458665</v>
      </c>
      <c r="U119" s="28">
        <f t="shared" si="444"/>
        <v>7160.499989594935</v>
      </c>
      <c r="V119" s="28">
        <f t="shared" si="444"/>
        <v>7901.0970989462057</v>
      </c>
      <c r="W119" s="28">
        <f t="shared" si="444"/>
        <v>8684.4053240419416</v>
      </c>
      <c r="X119" s="28">
        <f t="shared" si="444"/>
        <v>9449.965669367657</v>
      </c>
      <c r="Y119" s="28">
        <f t="shared" si="444"/>
        <v>10164.330926616118</v>
      </c>
      <c r="Z119" s="28">
        <f t="shared" si="444"/>
        <v>10536.405389688234</v>
      </c>
      <c r="AA119" s="28">
        <f t="shared" si="444"/>
        <v>11417.961646785265</v>
      </c>
      <c r="AB119" s="28">
        <f t="shared" si="444"/>
        <v>12247.039271514657</v>
      </c>
      <c r="AC119" s="28">
        <f>AC118</f>
        <v>1120.5930530822416</v>
      </c>
      <c r="AD119" s="28">
        <f t="shared" si="444"/>
        <v>1389.5628289199562</v>
      </c>
      <c r="AE119" s="28">
        <f>AD119+AE118</f>
        <v>1654.8424240356107</v>
      </c>
      <c r="AF119" s="28">
        <f t="shared" si="444"/>
        <v>1482.9052026514187</v>
      </c>
      <c r="AG119" s="28">
        <f t="shared" si="444"/>
        <v>-1396.4222425546159</v>
      </c>
      <c r="AH119" s="28">
        <f t="shared" si="444"/>
        <v>-3693.2582221927769</v>
      </c>
      <c r="AI119" s="28">
        <f t="shared" si="444"/>
        <v>-63363.025046541807</v>
      </c>
      <c r="AJ119" s="28">
        <f t="shared" si="444"/>
        <v>-64989.586841910903</v>
      </c>
      <c r="AK119" s="28">
        <f t="shared" si="444"/>
        <v>-64757.492202469897</v>
      </c>
      <c r="AL119" s="28">
        <f t="shared" si="444"/>
        <v>-63870.263954714021</v>
      </c>
      <c r="AM119" s="28">
        <f t="shared" si="444"/>
        <v>-62855.813461771693</v>
      </c>
      <c r="AN119" s="28">
        <f t="shared" si="444"/>
        <v>-61699.038022131121</v>
      </c>
      <c r="AO119" s="28">
        <f t="shared" si="444"/>
        <v>-59972.940134752971</v>
      </c>
      <c r="AP119" s="28">
        <f t="shared" si="444"/>
        <v>-58394.783294646339</v>
      </c>
      <c r="AQ119" s="28">
        <f t="shared" si="444"/>
        <v>-56518.095913016841</v>
      </c>
      <c r="AR119" s="28">
        <f t="shared" si="444"/>
        <v>-54299.500934990057</v>
      </c>
      <c r="AS119" s="28">
        <f t="shared" si="444"/>
        <v>-51958.773710020148</v>
      </c>
      <c r="AT119" s="28">
        <f t="shared" si="444"/>
        <v>-49486.730274354581</v>
      </c>
      <c r="AU119" s="28">
        <f t="shared" si="444"/>
        <v>-46946.611963178286</v>
      </c>
      <c r="AV119" s="28">
        <f t="shared" si="444"/>
        <v>-44336.986005692124</v>
      </c>
      <c r="AW119" s="28">
        <f t="shared" si="444"/>
        <v>-41838.150581096619</v>
      </c>
      <c r="AX119" s="28">
        <f t="shared" si="444"/>
        <v>-39446.558934173445</v>
      </c>
      <c r="AY119" s="28">
        <f t="shared" si="444"/>
        <v>-37147.753303017162</v>
      </c>
      <c r="AZ119" s="28">
        <f t="shared" si="444"/>
        <v>-35000.385213510031</v>
      </c>
      <c r="BA119" s="28">
        <f t="shared" si="444"/>
        <v>-31868.433169878837</v>
      </c>
      <c r="BB119" s="28">
        <f t="shared" si="444"/>
        <v>-29755.084294598746</v>
      </c>
      <c r="BC119" s="28">
        <f t="shared" si="444"/>
        <v>-27451.618871507955</v>
      </c>
      <c r="BD119" s="28">
        <f t="shared" si="444"/>
        <v>-24749.048543812929</v>
      </c>
      <c r="BE119" s="28">
        <f t="shared" si="444"/>
        <v>-21903.67621455454</v>
      </c>
      <c r="BF119" s="28">
        <f t="shared" si="444"/>
        <v>-18903.913502296542</v>
      </c>
      <c r="BG119" s="28">
        <f t="shared" si="444"/>
        <v>-15824.80297870046</v>
      </c>
      <c r="BH119" s="28">
        <f t="shared" si="444"/>
        <v>-12664.669402151301</v>
      </c>
      <c r="BI119" s="28">
        <f t="shared" si="444"/>
        <v>-9633.7893668219895</v>
      </c>
      <c r="BJ119" s="28">
        <f t="shared" si="444"/>
        <v>-6715.4167061686639</v>
      </c>
      <c r="BK119" s="28">
        <f t="shared" si="444"/>
        <v>-3905.2113794272427</v>
      </c>
      <c r="BL119" s="28">
        <f t="shared" si="444"/>
        <v>-1195.2820651697402</v>
      </c>
      <c r="BM119" s="28">
        <f t="shared" si="444"/>
        <v>2587.9752883123347</v>
      </c>
      <c r="BN119" s="28">
        <f t="shared" si="444"/>
        <v>5182.8841601200475</v>
      </c>
      <c r="BO119" s="28">
        <f t="shared" si="444"/>
        <v>7999.2023783842578</v>
      </c>
      <c r="BP119" s="28">
        <f t="shared" si="444"/>
        <v>11281.215125819859</v>
      </c>
      <c r="BQ119" s="28">
        <f t="shared" si="444"/>
        <v>14730.000284419864</v>
      </c>
      <c r="BR119" s="28">
        <f t="shared" si="444"/>
        <v>18359.023362508167</v>
      </c>
      <c r="BS119" s="28">
        <f t="shared" ref="BS119:BU119" si="445">BR119+BS118</f>
        <v>22080.718899989319</v>
      </c>
      <c r="BT119" s="28">
        <f t="shared" si="445"/>
        <v>25897.046734090014</v>
      </c>
      <c r="BU119" s="28">
        <f t="shared" si="445"/>
        <v>29562.765028648224</v>
      </c>
      <c r="BV119" s="28">
        <f t="shared" ref="BV119" si="446">BU119+BV118</f>
        <v>33097.273282127084</v>
      </c>
      <c r="BW119" s="28">
        <f t="shared" ref="BW119" si="447">BV119+BW118</f>
        <v>36599.348024409104</v>
      </c>
      <c r="BX119" s="28">
        <f t="shared" ref="BX119" si="448">BW119+BX118</f>
        <v>39890.73065048772</v>
      </c>
      <c r="BY119" s="28">
        <f t="shared" ref="BY119" si="449">BX119+BY118</f>
        <v>44436.515595194192</v>
      </c>
      <c r="BZ119" s="28">
        <f t="shared" ref="BZ119" si="450">BY119+BZ118</f>
        <v>47505.586263719582</v>
      </c>
      <c r="CA119" s="28">
        <f t="shared" ref="CA119" si="451">BZ119+CA118</f>
        <v>50828.252085555869</v>
      </c>
      <c r="CB119" s="28">
        <f t="shared" ref="CB119" si="452">CA119+CB118</f>
        <v>54681.680756434092</v>
      </c>
      <c r="CC119" s="28">
        <f t="shared" ref="CC119" si="453">CB119+CC118</f>
        <v>58726.814294352364</v>
      </c>
      <c r="CD119" s="28">
        <f t="shared" ref="CD119" si="454">CC119+CD118</f>
        <v>62977.728324979784</v>
      </c>
      <c r="CE119" s="28">
        <f t="shared" ref="CE119" si="455">CD119+CE118</f>
        <v>67336.159306152549</v>
      </c>
      <c r="CF119" s="28">
        <f t="shared" ref="CF119" si="456">CE119+CF118</f>
        <v>71804.41428371756</v>
      </c>
      <c r="CG119" s="28">
        <f t="shared" ref="CG119" si="457">CF119+CG118</f>
        <v>76103.879717155796</v>
      </c>
      <c r="CH119" s="28">
        <f t="shared" ref="CH119" si="458">CG119+CH118</f>
        <v>80369.528263797823</v>
      </c>
      <c r="CI119" s="28">
        <f t="shared" ref="CI119" si="459">CH119+CI118</f>
        <v>84490.006129900561</v>
      </c>
      <c r="CJ119" s="28">
        <f t="shared" ref="CJ119" si="460">CI119+CJ118</f>
        <v>88372.459671174685</v>
      </c>
      <c r="CK119" s="28">
        <f t="shared" ref="CK119" si="461">CJ119+CK118</f>
        <v>93678.207455577955</v>
      </c>
    </row>
    <row r="120" spans="2:102" s="27" customFormat="1" x14ac:dyDescent="0.2">
      <c r="B120" s="27" t="s">
        <v>88</v>
      </c>
      <c r="F120" s="28">
        <f>IF((F119)&lt;0,0,F118)</f>
        <v>0</v>
      </c>
      <c r="G120" s="28">
        <f t="shared" ref="G120:BR120" si="462">IF((G119)&lt;0,0,G118)</f>
        <v>392.67475332743334</v>
      </c>
      <c r="H120" s="28">
        <f t="shared" si="462"/>
        <v>212.0379903319199</v>
      </c>
      <c r="I120" s="28">
        <f t="shared" si="462"/>
        <v>338.31218926371457</v>
      </c>
      <c r="J120" s="28">
        <f t="shared" si="462"/>
        <v>319.88808149522674</v>
      </c>
      <c r="K120" s="28">
        <f t="shared" si="462"/>
        <v>267.06553735435318</v>
      </c>
      <c r="L120" s="28">
        <f t="shared" si="462"/>
        <v>517.48104019614584</v>
      </c>
      <c r="M120" s="28">
        <f t="shared" si="462"/>
        <v>464.25331147057932</v>
      </c>
      <c r="N120" s="28">
        <f t="shared" si="462"/>
        <v>489.06454019762759</v>
      </c>
      <c r="O120" s="28">
        <f t="shared" si="462"/>
        <v>215.96318829337724</v>
      </c>
      <c r="P120" s="28">
        <f t="shared" si="462"/>
        <v>580.01564858141865</v>
      </c>
      <c r="Q120" s="28">
        <f t="shared" si="462"/>
        <v>637.34782216886197</v>
      </c>
      <c r="R120" s="28">
        <f t="shared" si="462"/>
        <v>378.49993006580735</v>
      </c>
      <c r="S120" s="28">
        <f t="shared" si="462"/>
        <v>318.54062510685799</v>
      </c>
      <c r="T120" s="28">
        <f t="shared" si="462"/>
        <v>1612.7346876753381</v>
      </c>
      <c r="U120" s="28">
        <f t="shared" si="462"/>
        <v>457.03342644906843</v>
      </c>
      <c r="V120" s="28">
        <f t="shared" si="462"/>
        <v>740.59710935127123</v>
      </c>
      <c r="W120" s="28">
        <f t="shared" si="462"/>
        <v>783.30822509573636</v>
      </c>
      <c r="X120" s="28">
        <f t="shared" si="462"/>
        <v>765.56034532571539</v>
      </c>
      <c r="Y120" s="28">
        <f t="shared" si="462"/>
        <v>714.36525724846069</v>
      </c>
      <c r="Z120" s="28">
        <f t="shared" si="462"/>
        <v>372.07446307211649</v>
      </c>
      <c r="AA120" s="28">
        <f t="shared" si="462"/>
        <v>881.55625709703145</v>
      </c>
      <c r="AB120" s="28">
        <f t="shared" si="462"/>
        <v>829.07762472939203</v>
      </c>
      <c r="AC120" s="28">
        <f t="shared" si="462"/>
        <v>1120.5930530822416</v>
      </c>
      <c r="AD120" s="28">
        <f t="shared" si="462"/>
        <v>268.96977583771468</v>
      </c>
      <c r="AE120" s="28">
        <f t="shared" si="462"/>
        <v>265.27959511565462</v>
      </c>
      <c r="AF120" s="28">
        <f t="shared" si="462"/>
        <v>-171.93722138419207</v>
      </c>
      <c r="AG120" s="28">
        <f t="shared" si="462"/>
        <v>0</v>
      </c>
      <c r="AH120" s="28">
        <f t="shared" si="462"/>
        <v>0</v>
      </c>
      <c r="AI120" s="28">
        <f t="shared" si="462"/>
        <v>0</v>
      </c>
      <c r="AJ120" s="28">
        <f t="shared" si="462"/>
        <v>0</v>
      </c>
      <c r="AK120" s="28">
        <f t="shared" si="462"/>
        <v>0</v>
      </c>
      <c r="AL120" s="28">
        <f t="shared" si="462"/>
        <v>0</v>
      </c>
      <c r="AM120" s="28">
        <f t="shared" si="462"/>
        <v>0</v>
      </c>
      <c r="AN120" s="28">
        <f t="shared" si="462"/>
        <v>0</v>
      </c>
      <c r="AO120" s="28">
        <f t="shared" si="462"/>
        <v>0</v>
      </c>
      <c r="AP120" s="28">
        <f t="shared" si="462"/>
        <v>0</v>
      </c>
      <c r="AQ120" s="28">
        <f t="shared" si="462"/>
        <v>0</v>
      </c>
      <c r="AR120" s="28">
        <f t="shared" si="462"/>
        <v>0</v>
      </c>
      <c r="AS120" s="28">
        <f t="shared" si="462"/>
        <v>0</v>
      </c>
      <c r="AT120" s="28">
        <f t="shared" si="462"/>
        <v>0</v>
      </c>
      <c r="AU120" s="28">
        <f t="shared" si="462"/>
        <v>0</v>
      </c>
      <c r="AV120" s="28">
        <f t="shared" si="462"/>
        <v>0</v>
      </c>
      <c r="AW120" s="28">
        <f t="shared" si="462"/>
        <v>0</v>
      </c>
      <c r="AX120" s="28">
        <f t="shared" si="462"/>
        <v>0</v>
      </c>
      <c r="AY120" s="28">
        <f t="shared" si="462"/>
        <v>0</v>
      </c>
      <c r="AZ120" s="28">
        <f t="shared" si="462"/>
        <v>0</v>
      </c>
      <c r="BA120" s="28">
        <f t="shared" si="462"/>
        <v>0</v>
      </c>
      <c r="BB120" s="28">
        <f t="shared" si="462"/>
        <v>0</v>
      </c>
      <c r="BC120" s="28">
        <f t="shared" si="462"/>
        <v>0</v>
      </c>
      <c r="BD120" s="28">
        <f t="shared" si="462"/>
        <v>0</v>
      </c>
      <c r="BE120" s="28">
        <f t="shared" si="462"/>
        <v>0</v>
      </c>
      <c r="BF120" s="28">
        <f t="shared" si="462"/>
        <v>0</v>
      </c>
      <c r="BG120" s="28">
        <f t="shared" si="462"/>
        <v>0</v>
      </c>
      <c r="BH120" s="28">
        <f t="shared" si="462"/>
        <v>0</v>
      </c>
      <c r="BI120" s="28">
        <f t="shared" si="462"/>
        <v>0</v>
      </c>
      <c r="BJ120" s="28">
        <f t="shared" si="462"/>
        <v>0</v>
      </c>
      <c r="BK120" s="28">
        <f t="shared" si="462"/>
        <v>0</v>
      </c>
      <c r="BL120" s="28">
        <f t="shared" si="462"/>
        <v>0</v>
      </c>
      <c r="BM120" s="28">
        <f t="shared" si="462"/>
        <v>3783.2573534820749</v>
      </c>
      <c r="BN120" s="28">
        <f t="shared" si="462"/>
        <v>2594.9088718077128</v>
      </c>
      <c r="BO120" s="28">
        <f t="shared" si="462"/>
        <v>2816.3182182642104</v>
      </c>
      <c r="BP120" s="28">
        <f t="shared" si="462"/>
        <v>3282.0127474356013</v>
      </c>
      <c r="BQ120" s="28">
        <f t="shared" si="462"/>
        <v>3448.7851586000052</v>
      </c>
      <c r="BR120" s="28">
        <f t="shared" si="462"/>
        <v>3629.0230780883048</v>
      </c>
      <c r="BS120" s="28">
        <f t="shared" ref="BS120:BU120" si="463">IF((BS119)&lt;0,0,BS118)</f>
        <v>3721.6955374811514</v>
      </c>
      <c r="BT120" s="28">
        <f t="shared" si="463"/>
        <v>3816.3278341006935</v>
      </c>
      <c r="BU120" s="28">
        <f t="shared" si="463"/>
        <v>3665.7182945582081</v>
      </c>
      <c r="BV120" s="28">
        <f t="shared" ref="BV120:BX120" si="464">IF((BV119)&lt;0,0,BV118)</f>
        <v>3534.5082534788617</v>
      </c>
      <c r="BW120" s="28">
        <f t="shared" si="464"/>
        <v>3502.0747422820186</v>
      </c>
      <c r="BX120" s="28">
        <f t="shared" si="464"/>
        <v>3291.3826260786118</v>
      </c>
      <c r="BY120" s="28">
        <f t="shared" ref="BY120:CK120" si="465">IF((BY119)&lt;0,0,BY118)</f>
        <v>4545.7849447064709</v>
      </c>
      <c r="BZ120" s="28">
        <f t="shared" si="465"/>
        <v>3069.0706685253936</v>
      </c>
      <c r="CA120" s="28">
        <f t="shared" si="465"/>
        <v>3322.6658218362863</v>
      </c>
      <c r="CB120" s="28">
        <f t="shared" si="465"/>
        <v>3853.4286708782256</v>
      </c>
      <c r="CC120" s="28">
        <f t="shared" si="465"/>
        <v>4045.1335379182729</v>
      </c>
      <c r="CD120" s="28">
        <f t="shared" si="465"/>
        <v>4250.9140306274185</v>
      </c>
      <c r="CE120" s="28">
        <f t="shared" si="465"/>
        <v>4358.4309811727671</v>
      </c>
      <c r="CF120" s="28">
        <f t="shared" si="465"/>
        <v>4468.2549775650059</v>
      </c>
      <c r="CG120" s="28">
        <f t="shared" si="465"/>
        <v>4299.4654334382376</v>
      </c>
      <c r="CH120" s="28">
        <f t="shared" si="465"/>
        <v>4265.6485466420254</v>
      </c>
      <c r="CI120" s="28">
        <f t="shared" si="465"/>
        <v>4120.4778661027431</v>
      </c>
      <c r="CJ120" s="28">
        <f t="shared" si="465"/>
        <v>3882.4535412741225</v>
      </c>
      <c r="CK120" s="28">
        <f t="shared" si="465"/>
        <v>5305.7477844032746</v>
      </c>
      <c r="CV120" s="182"/>
      <c r="CW120" s="182"/>
      <c r="CX120" s="182"/>
    </row>
    <row r="122" spans="2:102" s="373" customFormat="1" x14ac:dyDescent="0.2">
      <c r="F122" s="374">
        <v>0.10731262520066021</v>
      </c>
      <c r="G122" s="374">
        <v>0.10530446322319942</v>
      </c>
      <c r="H122" s="374">
        <v>0.10568170684183187</v>
      </c>
      <c r="I122" s="374">
        <v>0.10541931749547007</v>
      </c>
      <c r="J122" s="374">
        <v>0.10413066934777282</v>
      </c>
      <c r="K122" s="374">
        <v>0.10474144950553033</v>
      </c>
      <c r="L122" s="374">
        <v>0.10420758068622882</v>
      </c>
      <c r="M122" s="374">
        <v>0.10439786009725038</v>
      </c>
      <c r="N122" s="374">
        <v>0.10573821564776464</v>
      </c>
      <c r="O122" s="374">
        <v>0.10423740941675441</v>
      </c>
      <c r="P122" s="374">
        <v>0.10517672651913168</v>
      </c>
      <c r="Q122" s="374">
        <v>0.102042828339644</v>
      </c>
      <c r="R122" s="374">
        <v>0.107575831716392</v>
      </c>
      <c r="S122" s="374">
        <f>R122</f>
        <v>0.107575831716392</v>
      </c>
      <c r="T122" s="374">
        <f t="shared" ref="T122:AC122" si="466">S122</f>
        <v>0.107575831716392</v>
      </c>
      <c r="U122" s="374">
        <f t="shared" si="466"/>
        <v>0.107575831716392</v>
      </c>
      <c r="V122" s="374">
        <f t="shared" si="466"/>
        <v>0.107575831716392</v>
      </c>
      <c r="W122" s="374">
        <f t="shared" si="466"/>
        <v>0.107575831716392</v>
      </c>
      <c r="X122" s="374">
        <f t="shared" si="466"/>
        <v>0.107575831716392</v>
      </c>
      <c r="Y122" s="374">
        <f t="shared" si="466"/>
        <v>0.107575831716392</v>
      </c>
      <c r="Z122" s="374">
        <f t="shared" si="466"/>
        <v>0.107575831716392</v>
      </c>
      <c r="AA122" s="374">
        <f t="shared" si="466"/>
        <v>0.107575831716392</v>
      </c>
      <c r="AB122" s="374">
        <f t="shared" si="466"/>
        <v>0.107575831716392</v>
      </c>
      <c r="AC122" s="374">
        <f t="shared" si="466"/>
        <v>0.107575831716392</v>
      </c>
      <c r="AD122" s="374">
        <v>0.10564005240309315</v>
      </c>
      <c r="AE122" s="374">
        <v>0.11032815035772869</v>
      </c>
      <c r="AF122" s="374">
        <v>0.11147996991645</v>
      </c>
      <c r="CV122" s="375"/>
      <c r="CW122" s="375"/>
      <c r="CX122" s="375"/>
    </row>
    <row r="123" spans="2:102" x14ac:dyDescent="0.2">
      <c r="F123" s="360"/>
      <c r="G123" s="360"/>
      <c r="H123" s="360"/>
      <c r="I123" s="360"/>
      <c r="J123" s="360"/>
      <c r="K123" s="360"/>
      <c r="L123" s="360"/>
      <c r="M123" s="360"/>
      <c r="N123" s="360"/>
      <c r="O123" s="360"/>
      <c r="P123" s="360"/>
      <c r="Q123" s="360"/>
    </row>
    <row r="124" spans="2:102" ht="15" x14ac:dyDescent="0.25">
      <c r="B124" s="319" t="s">
        <v>55</v>
      </c>
      <c r="C124" s="195"/>
      <c r="D124" s="195"/>
      <c r="E124" s="195"/>
      <c r="L124" s="222"/>
      <c r="M124" s="222"/>
      <c r="N124" s="222"/>
      <c r="O124" s="222"/>
      <c r="P124" s="222"/>
      <c r="Q124" s="222"/>
      <c r="R124" s="222"/>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2"/>
      <c r="AO124" s="222"/>
      <c r="AP124" s="222"/>
      <c r="AQ124" s="222"/>
      <c r="AR124" s="222"/>
      <c r="AS124" s="222"/>
      <c r="AT124" s="222"/>
      <c r="AU124" s="222"/>
      <c r="AV124" s="222"/>
      <c r="AW124" s="222"/>
      <c r="AX124" s="222"/>
      <c r="AY124" s="222"/>
      <c r="AZ124" s="222"/>
      <c r="BA124" s="222"/>
      <c r="BB124" s="222"/>
      <c r="BC124" s="222"/>
      <c r="BD124" s="222"/>
      <c r="BE124" s="222"/>
      <c r="BF124" s="222"/>
      <c r="BG124" s="222"/>
      <c r="BH124" s="222"/>
      <c r="BI124" s="222"/>
      <c r="BJ124" s="222"/>
      <c r="BK124" s="222"/>
      <c r="BL124" s="222"/>
      <c r="BM124" s="222"/>
      <c r="BN124" s="222"/>
      <c r="BO124" s="222"/>
      <c r="BP124" s="222"/>
      <c r="BQ124" s="222"/>
      <c r="BR124" s="222"/>
      <c r="BS124" s="222"/>
      <c r="BT124" s="222"/>
      <c r="BU124" s="222"/>
      <c r="BV124" s="222"/>
      <c r="BW124" s="222"/>
      <c r="BX124" s="222"/>
      <c r="BY124" s="222"/>
      <c r="BZ124" s="222"/>
      <c r="CA124" s="222"/>
      <c r="CB124" s="222"/>
      <c r="CC124" s="222"/>
      <c r="CD124" s="222"/>
      <c r="CE124" s="222"/>
      <c r="CF124" s="222"/>
      <c r="CG124" s="222"/>
      <c r="CH124" s="222"/>
      <c r="CI124" s="222"/>
      <c r="CJ124" s="222"/>
      <c r="CK124" s="222"/>
      <c r="CL124" s="197"/>
      <c r="CM124" s="197"/>
      <c r="CO124" s="198"/>
      <c r="CP124" s="223"/>
      <c r="CQ124" s="198"/>
      <c r="CR124" s="198"/>
      <c r="CS124" s="198"/>
      <c r="CT124" s="198"/>
      <c r="CU124" s="198"/>
      <c r="CV124" s="8"/>
      <c r="CW124" s="8"/>
      <c r="CX124" s="8"/>
    </row>
    <row r="125" spans="2:102" x14ac:dyDescent="0.2">
      <c r="B125" s="194" t="s">
        <v>1</v>
      </c>
      <c r="C125" s="194" t="s">
        <v>2</v>
      </c>
      <c r="D125" s="194"/>
      <c r="E125" s="195"/>
      <c r="F125" s="196">
        <f t="shared" ref="F125:AK125" si="467">F104</f>
        <v>45292</v>
      </c>
      <c r="G125" s="196">
        <f t="shared" si="467"/>
        <v>45323</v>
      </c>
      <c r="H125" s="196">
        <f t="shared" si="467"/>
        <v>45352</v>
      </c>
      <c r="I125" s="196">
        <f t="shared" si="467"/>
        <v>45383</v>
      </c>
      <c r="J125" s="196">
        <f t="shared" si="467"/>
        <v>45413</v>
      </c>
      <c r="K125" s="196">
        <f t="shared" si="467"/>
        <v>45444</v>
      </c>
      <c r="L125" s="196">
        <f t="shared" si="467"/>
        <v>45474</v>
      </c>
      <c r="M125" s="196">
        <f t="shared" si="467"/>
        <v>45505</v>
      </c>
      <c r="N125" s="196">
        <f t="shared" si="467"/>
        <v>45536</v>
      </c>
      <c r="O125" s="196">
        <f t="shared" si="467"/>
        <v>45566</v>
      </c>
      <c r="P125" s="196">
        <f t="shared" si="467"/>
        <v>45597</v>
      </c>
      <c r="Q125" s="196">
        <f t="shared" si="467"/>
        <v>45627</v>
      </c>
      <c r="R125" s="196">
        <f t="shared" si="467"/>
        <v>45658</v>
      </c>
      <c r="S125" s="196">
        <f t="shared" si="467"/>
        <v>45689</v>
      </c>
      <c r="T125" s="196">
        <f t="shared" si="467"/>
        <v>45717</v>
      </c>
      <c r="U125" s="196">
        <f t="shared" si="467"/>
        <v>45748</v>
      </c>
      <c r="V125" s="196">
        <f t="shared" si="467"/>
        <v>45778</v>
      </c>
      <c r="W125" s="196">
        <f t="shared" si="467"/>
        <v>45809</v>
      </c>
      <c r="X125" s="196">
        <f t="shared" si="467"/>
        <v>45839</v>
      </c>
      <c r="Y125" s="196">
        <f t="shared" si="467"/>
        <v>45870</v>
      </c>
      <c r="Z125" s="196">
        <f t="shared" si="467"/>
        <v>45901</v>
      </c>
      <c r="AA125" s="196">
        <f t="shared" si="467"/>
        <v>45931</v>
      </c>
      <c r="AB125" s="196">
        <f t="shared" si="467"/>
        <v>45962</v>
      </c>
      <c r="AC125" s="196">
        <f t="shared" si="467"/>
        <v>45992</v>
      </c>
      <c r="AD125" s="196">
        <f t="shared" si="467"/>
        <v>46023</v>
      </c>
      <c r="AE125" s="196">
        <f t="shared" si="467"/>
        <v>46054</v>
      </c>
      <c r="AF125" s="196">
        <f t="shared" si="467"/>
        <v>46082</v>
      </c>
      <c r="AG125" s="196">
        <f t="shared" si="467"/>
        <v>46113</v>
      </c>
      <c r="AH125" s="196">
        <f t="shared" si="467"/>
        <v>46143</v>
      </c>
      <c r="AI125" s="196">
        <f t="shared" si="467"/>
        <v>46174</v>
      </c>
      <c r="AJ125" s="196">
        <f t="shared" si="467"/>
        <v>46204</v>
      </c>
      <c r="AK125" s="196">
        <f t="shared" si="467"/>
        <v>46235</v>
      </c>
      <c r="AL125" s="196">
        <f t="shared" ref="AL125:BQ125" si="468">AL104</f>
        <v>46266</v>
      </c>
      <c r="AM125" s="196">
        <f t="shared" si="468"/>
        <v>46296</v>
      </c>
      <c r="AN125" s="196">
        <f t="shared" si="468"/>
        <v>46327</v>
      </c>
      <c r="AO125" s="196">
        <f t="shared" si="468"/>
        <v>46357</v>
      </c>
      <c r="AP125" s="196">
        <f t="shared" si="468"/>
        <v>46388</v>
      </c>
      <c r="AQ125" s="196">
        <f t="shared" si="468"/>
        <v>46419</v>
      </c>
      <c r="AR125" s="196">
        <f t="shared" si="468"/>
        <v>46447</v>
      </c>
      <c r="AS125" s="196">
        <f t="shared" si="468"/>
        <v>46478</v>
      </c>
      <c r="AT125" s="196">
        <f t="shared" si="468"/>
        <v>46508</v>
      </c>
      <c r="AU125" s="196">
        <f t="shared" si="468"/>
        <v>46539</v>
      </c>
      <c r="AV125" s="196">
        <f t="shared" si="468"/>
        <v>46569</v>
      </c>
      <c r="AW125" s="196">
        <f t="shared" si="468"/>
        <v>46600</v>
      </c>
      <c r="AX125" s="196">
        <f t="shared" si="468"/>
        <v>46631</v>
      </c>
      <c r="AY125" s="196">
        <f t="shared" si="468"/>
        <v>46661</v>
      </c>
      <c r="AZ125" s="196">
        <f t="shared" si="468"/>
        <v>46692</v>
      </c>
      <c r="BA125" s="196">
        <f t="shared" si="468"/>
        <v>46722</v>
      </c>
      <c r="BB125" s="196">
        <f t="shared" si="468"/>
        <v>46753</v>
      </c>
      <c r="BC125" s="196">
        <f t="shared" si="468"/>
        <v>46784</v>
      </c>
      <c r="BD125" s="196">
        <f t="shared" si="468"/>
        <v>46813</v>
      </c>
      <c r="BE125" s="196">
        <f t="shared" si="468"/>
        <v>46844</v>
      </c>
      <c r="BF125" s="196">
        <f t="shared" si="468"/>
        <v>46874</v>
      </c>
      <c r="BG125" s="196">
        <f t="shared" si="468"/>
        <v>46905</v>
      </c>
      <c r="BH125" s="196">
        <f t="shared" si="468"/>
        <v>46935</v>
      </c>
      <c r="BI125" s="196">
        <f t="shared" si="468"/>
        <v>46966</v>
      </c>
      <c r="BJ125" s="196">
        <f t="shared" si="468"/>
        <v>46997</v>
      </c>
      <c r="BK125" s="196">
        <f t="shared" si="468"/>
        <v>47027</v>
      </c>
      <c r="BL125" s="196">
        <f t="shared" si="468"/>
        <v>47058</v>
      </c>
      <c r="BM125" s="196">
        <f t="shared" si="468"/>
        <v>47088</v>
      </c>
      <c r="BN125" s="196">
        <f t="shared" si="468"/>
        <v>47119</v>
      </c>
      <c r="BO125" s="196">
        <f t="shared" si="468"/>
        <v>47150</v>
      </c>
      <c r="BP125" s="196">
        <f t="shared" si="468"/>
        <v>47178</v>
      </c>
      <c r="BQ125" s="196">
        <f t="shared" si="468"/>
        <v>47209</v>
      </c>
      <c r="BR125" s="196">
        <f t="shared" ref="BR125:BX125" si="469">BR104</f>
        <v>47239</v>
      </c>
      <c r="BS125" s="196">
        <f t="shared" si="469"/>
        <v>47270</v>
      </c>
      <c r="BT125" s="196">
        <f t="shared" si="469"/>
        <v>47300</v>
      </c>
      <c r="BU125" s="196">
        <f t="shared" si="469"/>
        <v>47331</v>
      </c>
      <c r="BV125" s="196">
        <f t="shared" si="469"/>
        <v>47362</v>
      </c>
      <c r="BW125" s="196">
        <f t="shared" si="469"/>
        <v>47392</v>
      </c>
      <c r="BX125" s="196">
        <f t="shared" si="469"/>
        <v>47423</v>
      </c>
      <c r="BY125" s="196">
        <f t="shared" ref="BY125:CK125" si="470">BY104</f>
        <v>47453</v>
      </c>
      <c r="BZ125" s="196">
        <f t="shared" si="470"/>
        <v>47484</v>
      </c>
      <c r="CA125" s="196">
        <f t="shared" si="470"/>
        <v>47515</v>
      </c>
      <c r="CB125" s="196">
        <f t="shared" si="470"/>
        <v>47543</v>
      </c>
      <c r="CC125" s="196">
        <f t="shared" si="470"/>
        <v>47574</v>
      </c>
      <c r="CD125" s="196">
        <f t="shared" si="470"/>
        <v>47604</v>
      </c>
      <c r="CE125" s="196">
        <f t="shared" si="470"/>
        <v>47635</v>
      </c>
      <c r="CF125" s="196">
        <f t="shared" si="470"/>
        <v>47665</v>
      </c>
      <c r="CG125" s="196">
        <f t="shared" si="470"/>
        <v>47696</v>
      </c>
      <c r="CH125" s="196">
        <f t="shared" si="470"/>
        <v>47727</v>
      </c>
      <c r="CI125" s="196">
        <f t="shared" si="470"/>
        <v>47757</v>
      </c>
      <c r="CJ125" s="196">
        <f t="shared" si="470"/>
        <v>47788</v>
      </c>
      <c r="CK125" s="196">
        <f t="shared" si="470"/>
        <v>47818</v>
      </c>
      <c r="CL125" s="197"/>
      <c r="CM125" s="197"/>
      <c r="CN125" s="198"/>
      <c r="CO125" s="199">
        <f t="shared" ref="CO125:CS125" si="471">CO104</f>
        <v>2024</v>
      </c>
      <c r="CP125" s="199">
        <f t="shared" si="471"/>
        <v>2025</v>
      </c>
      <c r="CQ125" s="199">
        <f t="shared" si="471"/>
        <v>2026</v>
      </c>
      <c r="CR125" s="199">
        <f t="shared" si="471"/>
        <v>2027</v>
      </c>
      <c r="CS125" s="199">
        <f t="shared" si="471"/>
        <v>2028</v>
      </c>
      <c r="CT125" s="199">
        <f t="shared" ref="CT125:CU125" si="472">CT104</f>
        <v>2029</v>
      </c>
      <c r="CU125" s="199">
        <f t="shared" si="472"/>
        <v>2030</v>
      </c>
    </row>
    <row r="126" spans="2:102" ht="15" x14ac:dyDescent="0.25">
      <c r="B126" s="321" t="s">
        <v>381</v>
      </c>
      <c r="C126" s="89" t="s">
        <v>4</v>
      </c>
      <c r="D126" s="86"/>
      <c r="E126" s="86"/>
      <c r="F126" s="14"/>
      <c r="G126" s="14"/>
      <c r="H126" s="14"/>
      <c r="I126" s="14"/>
      <c r="J126" s="14"/>
      <c r="K126" s="14"/>
      <c r="L126" s="14"/>
      <c r="M126" s="14"/>
      <c r="N126" s="14"/>
      <c r="O126" s="14"/>
      <c r="P126" s="14"/>
      <c r="Q126" s="14">
        <v>29925.000000000015</v>
      </c>
      <c r="R126" s="14">
        <f t="shared" ref="R126:BR126" si="473">SUM(R127:R128)</f>
        <v>29737.33333333335</v>
      </c>
      <c r="S126" s="14">
        <f t="shared" si="473"/>
        <v>29549.666666666682</v>
      </c>
      <c r="T126" s="14">
        <f t="shared" si="473"/>
        <v>29362.000000000015</v>
      </c>
      <c r="U126" s="14">
        <f t="shared" si="473"/>
        <v>29174.33333333335</v>
      </c>
      <c r="V126" s="14">
        <f t="shared" si="473"/>
        <v>28986.666666666686</v>
      </c>
      <c r="W126" s="14">
        <f t="shared" si="473"/>
        <v>28799.000000000018</v>
      </c>
      <c r="X126" s="14">
        <f t="shared" si="473"/>
        <v>28307.500000000018</v>
      </c>
      <c r="Y126" s="14">
        <f t="shared" si="473"/>
        <v>27816.000000000018</v>
      </c>
      <c r="Z126" s="14">
        <f t="shared" si="473"/>
        <v>27324.500000000018</v>
      </c>
      <c r="AA126" s="14">
        <f t="shared" si="473"/>
        <v>26833.000000000018</v>
      </c>
      <c r="AB126" s="14">
        <f t="shared" si="473"/>
        <v>26341.500000000018</v>
      </c>
      <c r="AC126" s="14">
        <f t="shared" si="473"/>
        <v>34183.33333333335</v>
      </c>
      <c r="AD126" s="14">
        <f t="shared" si="473"/>
        <v>33907.501388888908</v>
      </c>
      <c r="AE126" s="14">
        <f t="shared" si="473"/>
        <v>34789.41596064817</v>
      </c>
      <c r="AF126" s="14">
        <f t="shared" si="473"/>
        <v>39629.929160976099</v>
      </c>
      <c r="AG126" s="14">
        <f t="shared" si="473"/>
        <v>53948.386001301296</v>
      </c>
      <c r="AH126" s="14">
        <f t="shared" si="473"/>
        <v>65847.970284623792</v>
      </c>
      <c r="AI126" s="14">
        <f t="shared" si="473"/>
        <v>342647.17261558521</v>
      </c>
      <c r="AJ126" s="14">
        <f t="shared" si="473"/>
        <v>348388.496177122</v>
      </c>
      <c r="AK126" s="14">
        <f t="shared" si="473"/>
        <v>348247.42329231265</v>
      </c>
      <c r="AL126" s="14">
        <f t="shared" si="473"/>
        <v>345814.64059821004</v>
      </c>
      <c r="AM126" s="14">
        <f t="shared" si="473"/>
        <v>343400.91234322498</v>
      </c>
      <c r="AN126" s="14">
        <f t="shared" si="473"/>
        <v>341006.07974036474</v>
      </c>
      <c r="AO126" s="14">
        <f t="shared" si="473"/>
        <v>338629.98532586172</v>
      </c>
      <c r="AP126" s="14">
        <f t="shared" si="473"/>
        <v>336272.47294814623</v>
      </c>
      <c r="AQ126" s="14">
        <f t="shared" si="473"/>
        <v>333933.38775691169</v>
      </c>
      <c r="AR126" s="14">
        <f t="shared" si="473"/>
        <v>331612.57619227073</v>
      </c>
      <c r="AS126" s="14">
        <f t="shared" si="473"/>
        <v>329309.88597400184</v>
      </c>
      <c r="AT126" s="14">
        <f t="shared" si="473"/>
        <v>327025.16609088518</v>
      </c>
      <c r="AU126" s="14">
        <f t="shared" si="473"/>
        <v>324758.26679012779</v>
      </c>
      <c r="AV126" s="14">
        <f t="shared" si="473"/>
        <v>322509.03956687672</v>
      </c>
      <c r="AW126" s="14">
        <f t="shared" si="473"/>
        <v>320277.33715381939</v>
      </c>
      <c r="AX126" s="14">
        <f t="shared" si="473"/>
        <v>318063.01351087092</v>
      </c>
      <c r="AY126" s="14">
        <f t="shared" si="473"/>
        <v>315865.92381494702</v>
      </c>
      <c r="AZ126" s="14">
        <f t="shared" si="473"/>
        <v>313685.92444982246</v>
      </c>
      <c r="BA126" s="14">
        <f t="shared" si="473"/>
        <v>311522.87299607391</v>
      </c>
      <c r="BB126" s="14">
        <f t="shared" si="473"/>
        <v>309376.62822110666</v>
      </c>
      <c r="BC126" s="14">
        <f t="shared" si="473"/>
        <v>307247.05006926408</v>
      </c>
      <c r="BD126" s="14">
        <f t="shared" si="473"/>
        <v>305133.99965202023</v>
      </c>
      <c r="BE126" s="14">
        <f t="shared" si="473"/>
        <v>303037.33923825336</v>
      </c>
      <c r="BF126" s="14">
        <f t="shared" si="473"/>
        <v>300956.93224460125</v>
      </c>
      <c r="BG126" s="14">
        <f t="shared" si="473"/>
        <v>298892.64322589623</v>
      </c>
      <c r="BH126" s="14">
        <f t="shared" si="473"/>
        <v>296844.33786568046</v>
      </c>
      <c r="BI126" s="14">
        <f t="shared" si="473"/>
        <v>294811.88296679978</v>
      </c>
      <c r="BJ126" s="14">
        <f t="shared" si="473"/>
        <v>292795.14644207642</v>
      </c>
      <c r="BK126" s="14">
        <f t="shared" si="473"/>
        <v>290793.99730505911</v>
      </c>
      <c r="BL126" s="14">
        <f t="shared" si="473"/>
        <v>288808.30566085025</v>
      </c>
      <c r="BM126" s="14">
        <f t="shared" si="473"/>
        <v>286837.94269700983</v>
      </c>
      <c r="BN126" s="14">
        <f t="shared" si="473"/>
        <v>284882.78067453473</v>
      </c>
      <c r="BO126" s="14">
        <f t="shared" si="473"/>
        <v>282942.69291891361</v>
      </c>
      <c r="BP126" s="14">
        <f t="shared" si="473"/>
        <v>281017.55381125602</v>
      </c>
      <c r="BQ126" s="14">
        <f t="shared" si="473"/>
        <v>279107.23877949553</v>
      </c>
      <c r="BR126" s="14">
        <f t="shared" si="473"/>
        <v>277211.62428966642</v>
      </c>
      <c r="BS126" s="14">
        <f t="shared" ref="BS126:BX126" si="474">SUM(BS127:BS128)</f>
        <v>275330.58783725253</v>
      </c>
      <c r="BT126" s="14">
        <f t="shared" si="474"/>
        <v>273464.00793860876</v>
      </c>
      <c r="BU126" s="14">
        <f t="shared" si="474"/>
        <v>271611.76412245369</v>
      </c>
      <c r="BV126" s="14">
        <f t="shared" si="474"/>
        <v>269773.73692143324</v>
      </c>
      <c r="BW126" s="14">
        <f t="shared" si="474"/>
        <v>267949.80786375463</v>
      </c>
      <c r="BX126" s="14">
        <f t="shared" si="474"/>
        <v>266139.85946489003</v>
      </c>
      <c r="BY126" s="14">
        <f t="shared" ref="BY126:CK126" si="475">SUM(BY127:BY128)</f>
        <v>264343.77521934925</v>
      </c>
      <c r="BZ126" s="14">
        <f t="shared" si="475"/>
        <v>262561.43959252135</v>
      </c>
      <c r="CA126" s="14">
        <f t="shared" si="475"/>
        <v>260792.73801258369</v>
      </c>
      <c r="CB126" s="14">
        <f t="shared" si="475"/>
        <v>259037.55686247884</v>
      </c>
      <c r="CC126" s="14">
        <f t="shared" si="475"/>
        <v>257295.78347195819</v>
      </c>
      <c r="CD126" s="14">
        <f t="shared" si="475"/>
        <v>255567.30610969188</v>
      </c>
      <c r="CE126" s="14">
        <f t="shared" si="475"/>
        <v>253852.01397544445</v>
      </c>
      <c r="CF126" s="14">
        <f t="shared" si="475"/>
        <v>252149.79719231575</v>
      </c>
      <c r="CG126" s="14">
        <f t="shared" si="475"/>
        <v>250460.54679904645</v>
      </c>
      <c r="CH126" s="14">
        <f t="shared" si="475"/>
        <v>248784.15474238773</v>
      </c>
      <c r="CI126" s="14">
        <f t="shared" si="475"/>
        <v>247120.51386953451</v>
      </c>
      <c r="CJ126" s="14">
        <f t="shared" si="475"/>
        <v>245469.51792062173</v>
      </c>
      <c r="CK126" s="14">
        <f t="shared" si="475"/>
        <v>243831.06152128321</v>
      </c>
      <c r="CO126" s="14">
        <f>SUM(CO127:CO128)</f>
        <v>29925.000000000015</v>
      </c>
      <c r="CP126" s="14">
        <f t="shared" ref="CP126:CS126" ca="1" si="476">SUM(CP127:CP128)</f>
        <v>34183.33333333335</v>
      </c>
      <c r="CQ126" s="14">
        <f t="shared" ca="1" si="476"/>
        <v>338629.98532586172</v>
      </c>
      <c r="CR126" s="14">
        <f t="shared" ca="1" si="476"/>
        <v>311522.87299607391</v>
      </c>
      <c r="CS126" s="14">
        <f t="shared" ca="1" si="476"/>
        <v>286837.94269700983</v>
      </c>
      <c r="CT126" s="14">
        <f t="shared" ref="CT126:CU126" ca="1" si="477">SUM(CT127:CT128)</f>
        <v>286837.94269700983</v>
      </c>
      <c r="CU126" s="14">
        <f t="shared" ca="1" si="477"/>
        <v>286837.94269700983</v>
      </c>
      <c r="CV126" s="8"/>
      <c r="CW126" s="8"/>
      <c r="CX126" s="8"/>
    </row>
    <row r="127" spans="2:102" ht="15" x14ac:dyDescent="0.25">
      <c r="B127" s="322" t="s">
        <v>382</v>
      </c>
      <c r="C127" s="97" t="s">
        <v>4</v>
      </c>
      <c r="D127" s="86"/>
      <c r="E127" s="10"/>
      <c r="F127" s="10"/>
      <c r="G127" s="10"/>
      <c r="H127" s="10"/>
      <c r="I127" s="10"/>
      <c r="J127" s="10"/>
      <c r="K127" s="10"/>
      <c r="L127" s="10"/>
      <c r="M127" s="10"/>
      <c r="N127" s="10"/>
      <c r="O127" s="10"/>
      <c r="P127" s="10"/>
      <c r="Q127" s="10">
        <f>Мясо!Q127</f>
        <v>10064</v>
      </c>
      <c r="R127" s="10">
        <f>Мясо!R127</f>
        <v>9934.6666666666661</v>
      </c>
      <c r="S127" s="10">
        <f>Мясо!S127</f>
        <v>9805.3333333333321</v>
      </c>
      <c r="T127" s="10">
        <f>Мясо!T127</f>
        <v>9675.9999999999982</v>
      </c>
      <c r="U127" s="10">
        <f>Мясо!U127</f>
        <v>9546.6666666666642</v>
      </c>
      <c r="V127" s="10">
        <f>Мясо!V127</f>
        <v>9417.3333333333303</v>
      </c>
      <c r="W127" s="10">
        <f>Мясо!W127</f>
        <v>9287.9999999999964</v>
      </c>
      <c r="X127" s="10">
        <f>Мясо!X127</f>
        <v>8942.7499999999964</v>
      </c>
      <c r="Y127" s="10">
        <f>Мясо!Y127</f>
        <v>8597.4999999999964</v>
      </c>
      <c r="Z127" s="10">
        <f>Мясо!Z127</f>
        <v>8252.2499999999964</v>
      </c>
      <c r="AA127" s="10">
        <f>Мясо!AA127</f>
        <v>7906.9999999999964</v>
      </c>
      <c r="AB127" s="10">
        <f>Мясо!AB127</f>
        <v>7561.7499999999964</v>
      </c>
      <c r="AC127" s="10">
        <f>Мясо!AC127</f>
        <v>15549.83333333333</v>
      </c>
      <c r="AD127" s="10">
        <f>Мясо!AD127</f>
        <v>15420.251388888886</v>
      </c>
      <c r="AE127" s="10">
        <f>Мясо!AE127</f>
        <v>16448.415960648144</v>
      </c>
      <c r="AF127" s="10">
        <f>Мясо!AF127</f>
        <v>21435.179160976077</v>
      </c>
      <c r="AG127" s="10">
        <f>Мясо!AG127</f>
        <v>35899.886001301275</v>
      </c>
      <c r="AH127" s="10">
        <f>Мясо!AH127</f>
        <v>47945.720284623763</v>
      </c>
      <c r="AI127" s="10">
        <f>Мясо!AI127</f>
        <v>324891.17261558521</v>
      </c>
      <c r="AJ127" s="10">
        <f>Мясо!AJ127</f>
        <v>330778.746177122</v>
      </c>
      <c r="AK127" s="10">
        <f>Мясо!AK127</f>
        <v>330783.92329231265</v>
      </c>
      <c r="AL127" s="10">
        <f>Мясо!AL127</f>
        <v>328497.39059821004</v>
      </c>
      <c r="AM127" s="10">
        <f>Мясо!AM127</f>
        <v>326229.91234322498</v>
      </c>
      <c r="AN127" s="10">
        <f>Мясо!AN127</f>
        <v>323981.32974036474</v>
      </c>
      <c r="AO127" s="10">
        <f>Мясо!AO127</f>
        <v>321751.48532586172</v>
      </c>
      <c r="AP127" s="10">
        <f>Мясо!AP127</f>
        <v>319540.22294814623</v>
      </c>
      <c r="AQ127" s="10">
        <f>Мясо!AQ127</f>
        <v>317347.38775691169</v>
      </c>
      <c r="AR127" s="10">
        <f>Мясо!AR127</f>
        <v>315172.82619227073</v>
      </c>
      <c r="AS127" s="10">
        <f>Мясо!AS127</f>
        <v>313016.38597400184</v>
      </c>
      <c r="AT127" s="10">
        <f>Мясо!AT127</f>
        <v>310877.91609088518</v>
      </c>
      <c r="AU127" s="10">
        <f>Мясо!AU127</f>
        <v>308757.26679012779</v>
      </c>
      <c r="AV127" s="10">
        <f>Мясо!AV127</f>
        <v>306654.28956687672</v>
      </c>
      <c r="AW127" s="10">
        <f>Мясо!AW127</f>
        <v>304568.83715381939</v>
      </c>
      <c r="AX127" s="10">
        <f>Мясо!AX127</f>
        <v>302500.76351087092</v>
      </c>
      <c r="AY127" s="10">
        <f>Мясо!AY127</f>
        <v>300449.92381494702</v>
      </c>
      <c r="AZ127" s="10">
        <f>Мясо!AZ127</f>
        <v>298416.17444982246</v>
      </c>
      <c r="BA127" s="10">
        <f>Мясо!BA127</f>
        <v>296399.37299607391</v>
      </c>
      <c r="BB127" s="10">
        <f>Мясо!BB127</f>
        <v>294399.37822110666</v>
      </c>
      <c r="BC127" s="10">
        <f>Мясо!BC127</f>
        <v>292416.05006926408</v>
      </c>
      <c r="BD127" s="10">
        <f>Мясо!BD127</f>
        <v>290449.24965202023</v>
      </c>
      <c r="BE127" s="10">
        <f>Мясо!BE127</f>
        <v>288498.83923825336</v>
      </c>
      <c r="BF127" s="10">
        <f>Мясо!BF127</f>
        <v>286564.68224460125</v>
      </c>
      <c r="BG127" s="10">
        <f>Мясо!BG127</f>
        <v>284646.64322589623</v>
      </c>
      <c r="BH127" s="10">
        <f>Мясо!BH127</f>
        <v>282744.58786568046</v>
      </c>
      <c r="BI127" s="10">
        <f>Мясо!BI127</f>
        <v>280858.38296679978</v>
      </c>
      <c r="BJ127" s="10">
        <f>Мясо!BJ127</f>
        <v>278987.89644207642</v>
      </c>
      <c r="BK127" s="10">
        <f>Мясо!BK127</f>
        <v>277132.99730505911</v>
      </c>
      <c r="BL127" s="10">
        <f>Мясо!BL127</f>
        <v>275293.55566085025</v>
      </c>
      <c r="BM127" s="10">
        <f>Мясо!BM127</f>
        <v>273469.44269700983</v>
      </c>
      <c r="BN127" s="10">
        <f>Мясо!BN127</f>
        <v>271660.53067453473</v>
      </c>
      <c r="BO127" s="10">
        <f>Мясо!BO127</f>
        <v>269866.69291891361</v>
      </c>
      <c r="BP127" s="10">
        <f>Мясо!BP127</f>
        <v>268087.80381125602</v>
      </c>
      <c r="BQ127" s="10">
        <f>Мясо!BQ127</f>
        <v>266323.73877949553</v>
      </c>
      <c r="BR127" s="10">
        <f>Мясо!BR127</f>
        <v>264574.37428966642</v>
      </c>
      <c r="BS127" s="10">
        <f>Мясо!BS127</f>
        <v>262839.58783725253</v>
      </c>
      <c r="BT127" s="10">
        <f>Мясо!BT127</f>
        <v>261119.25793860876</v>
      </c>
      <c r="BU127" s="10">
        <f>Мясо!BU127</f>
        <v>259413.26412245369</v>
      </c>
      <c r="BV127" s="10">
        <f>Мясо!BV127</f>
        <v>257721.48692143324</v>
      </c>
      <c r="BW127" s="10">
        <f>Мясо!BW127</f>
        <v>256043.80786375463</v>
      </c>
      <c r="BX127" s="10">
        <f>Мясо!BX127</f>
        <v>254380.10946489</v>
      </c>
      <c r="BY127" s="10">
        <f>Мясо!BY127</f>
        <v>252730.27521934925</v>
      </c>
      <c r="BZ127" s="10">
        <f>Мясо!BZ127</f>
        <v>251094.18959252135</v>
      </c>
      <c r="CA127" s="10">
        <f>Мясо!CA127</f>
        <v>249471.73801258366</v>
      </c>
      <c r="CB127" s="10">
        <f>Мясо!CB127</f>
        <v>247862.80686247881</v>
      </c>
      <c r="CC127" s="10">
        <f>Мясо!CC127</f>
        <v>246267.28347195816</v>
      </c>
      <c r="CD127" s="10">
        <f>Мясо!CD127</f>
        <v>244685.05610969185</v>
      </c>
      <c r="CE127" s="10">
        <f>Мясо!CE127</f>
        <v>243116.01397544442</v>
      </c>
      <c r="CF127" s="10">
        <f>Мясо!CF127</f>
        <v>241560.04719231572</v>
      </c>
      <c r="CG127" s="10">
        <f>Мясо!CG127</f>
        <v>240017.04679904642</v>
      </c>
      <c r="CH127" s="10">
        <f>Мясо!CH127</f>
        <v>238486.90474238771</v>
      </c>
      <c r="CI127" s="10">
        <f>Мясо!CI127</f>
        <v>236969.51386953448</v>
      </c>
      <c r="CJ127" s="10">
        <f>Мясо!CJ127</f>
        <v>235464.7679206217</v>
      </c>
      <c r="CK127" s="10">
        <f>Мясо!CK127</f>
        <v>233972.56152128318</v>
      </c>
      <c r="CO127" s="10">
        <f>Q127</f>
        <v>10064</v>
      </c>
      <c r="CP127" s="10">
        <f ca="1">OFFSET($Q127,0,12)</f>
        <v>15549.83333333333</v>
      </c>
      <c r="CQ127" s="10">
        <f ca="1">OFFSET($Q127,0,24)</f>
        <v>321751.48532586172</v>
      </c>
      <c r="CR127" s="10">
        <f ca="1">OFFSET($Q127,0,36)</f>
        <v>296399.37299607391</v>
      </c>
      <c r="CS127" s="10">
        <f ca="1">OFFSET($Q127,0,48)</f>
        <v>273469.44269700983</v>
      </c>
      <c r="CT127" s="10">
        <f t="shared" ref="CT127:CU128" ca="1" si="478">OFFSET($Q127,0,48)</f>
        <v>273469.44269700983</v>
      </c>
      <c r="CU127" s="10">
        <f t="shared" ca="1" si="478"/>
        <v>273469.44269700983</v>
      </c>
      <c r="CV127" s="8"/>
      <c r="CW127" s="8"/>
      <c r="CX127" s="8"/>
    </row>
    <row r="128" spans="2:102" ht="15" x14ac:dyDescent="0.25">
      <c r="B128" s="322" t="s">
        <v>383</v>
      </c>
      <c r="C128" s="97" t="s">
        <v>4</v>
      </c>
      <c r="D128" s="86"/>
      <c r="E128" s="10"/>
      <c r="F128" s="10"/>
      <c r="G128" s="10"/>
      <c r="H128" s="10"/>
      <c r="I128" s="10"/>
      <c r="J128" s="10"/>
      <c r="K128" s="10"/>
      <c r="L128" s="10"/>
      <c r="M128" s="10"/>
      <c r="N128" s="10"/>
      <c r="O128" s="10"/>
      <c r="P128" s="10"/>
      <c r="Q128" s="10">
        <f>Мясо!Q128</f>
        <v>19861.000000000015</v>
      </c>
      <c r="R128" s="10">
        <f>Мясо!R128</f>
        <v>19802.666666666682</v>
      </c>
      <c r="S128" s="10">
        <f>Мясо!S128</f>
        <v>19744.33333333335</v>
      </c>
      <c r="T128" s="10">
        <f>Мясо!T128</f>
        <v>19686.000000000018</v>
      </c>
      <c r="U128" s="10">
        <f>Мясо!U128</f>
        <v>19627.666666666686</v>
      </c>
      <c r="V128" s="10">
        <f>Мясо!V128</f>
        <v>19569.333333333354</v>
      </c>
      <c r="W128" s="10">
        <f>Мясо!W128</f>
        <v>19511.000000000022</v>
      </c>
      <c r="X128" s="10">
        <f>Мясо!X128</f>
        <v>19364.750000000022</v>
      </c>
      <c r="Y128" s="10">
        <f>Мясо!Y128</f>
        <v>19218.500000000022</v>
      </c>
      <c r="Z128" s="10">
        <f>Мясо!Z128</f>
        <v>19072.250000000022</v>
      </c>
      <c r="AA128" s="10">
        <f>Мясо!AA128</f>
        <v>18926.000000000022</v>
      </c>
      <c r="AB128" s="10">
        <f>Мясо!AB128</f>
        <v>18779.750000000022</v>
      </c>
      <c r="AC128" s="10">
        <f>Мясо!AC128</f>
        <v>18633.500000000022</v>
      </c>
      <c r="AD128" s="10">
        <f>Мясо!AD128</f>
        <v>18487.250000000022</v>
      </c>
      <c r="AE128" s="10">
        <f>Мясо!AE128</f>
        <v>18341.000000000022</v>
      </c>
      <c r="AF128" s="10">
        <f>Мясо!AF128</f>
        <v>18194.750000000022</v>
      </c>
      <c r="AG128" s="10">
        <f>Мясо!AG128</f>
        <v>18048.500000000022</v>
      </c>
      <c r="AH128" s="10">
        <f>Мясо!AH128</f>
        <v>17902.250000000022</v>
      </c>
      <c r="AI128" s="10">
        <f>Мясо!AI128</f>
        <v>17756.000000000022</v>
      </c>
      <c r="AJ128" s="10">
        <f>Мясо!AJ128</f>
        <v>17609.750000000022</v>
      </c>
      <c r="AK128" s="10">
        <f>Мясо!AK128</f>
        <v>17463.500000000022</v>
      </c>
      <c r="AL128" s="10">
        <f>Мясо!AL128</f>
        <v>17317.250000000022</v>
      </c>
      <c r="AM128" s="10">
        <f>Мясо!AM128</f>
        <v>17171.000000000022</v>
      </c>
      <c r="AN128" s="10">
        <f>Мясо!AN128</f>
        <v>17024.750000000022</v>
      </c>
      <c r="AO128" s="10">
        <f>Мясо!AO128</f>
        <v>16878.500000000022</v>
      </c>
      <c r="AP128" s="10">
        <f>Мясо!AP128</f>
        <v>16732.250000000022</v>
      </c>
      <c r="AQ128" s="10">
        <f>Мясо!AQ128</f>
        <v>16586.000000000022</v>
      </c>
      <c r="AR128" s="10">
        <f>Мясо!AR128</f>
        <v>16439.750000000022</v>
      </c>
      <c r="AS128" s="10">
        <f>Мясо!AS128</f>
        <v>16293.500000000022</v>
      </c>
      <c r="AT128" s="10">
        <f>Мясо!AT128</f>
        <v>16147.250000000022</v>
      </c>
      <c r="AU128" s="10">
        <f>Мясо!AU128</f>
        <v>16001.000000000022</v>
      </c>
      <c r="AV128" s="10">
        <f>Мясо!AV128</f>
        <v>15854.750000000022</v>
      </c>
      <c r="AW128" s="10">
        <f>Мясо!AW128</f>
        <v>15708.500000000022</v>
      </c>
      <c r="AX128" s="10">
        <f>Мясо!AX128</f>
        <v>15562.250000000022</v>
      </c>
      <c r="AY128" s="10">
        <f>Мясо!AY128</f>
        <v>15416.000000000022</v>
      </c>
      <c r="AZ128" s="10">
        <f>Мясо!AZ128</f>
        <v>15269.750000000022</v>
      </c>
      <c r="BA128" s="10">
        <f>Мясо!BA128</f>
        <v>15123.500000000022</v>
      </c>
      <c r="BB128" s="10">
        <f>Мясо!BB128</f>
        <v>14977.250000000022</v>
      </c>
      <c r="BC128" s="10">
        <f>Мясо!BC128</f>
        <v>14831.000000000022</v>
      </c>
      <c r="BD128" s="10">
        <f>Мясо!BD128</f>
        <v>14684.750000000022</v>
      </c>
      <c r="BE128" s="10">
        <f>Мясо!BE128</f>
        <v>14538.500000000022</v>
      </c>
      <c r="BF128" s="10">
        <f>Мясо!BF128</f>
        <v>14392.250000000022</v>
      </c>
      <c r="BG128" s="10">
        <f>Мясо!BG128</f>
        <v>14246.000000000022</v>
      </c>
      <c r="BH128" s="10">
        <f>Мясо!BH128</f>
        <v>14099.750000000022</v>
      </c>
      <c r="BI128" s="10">
        <f>Мясо!BI128</f>
        <v>13953.500000000022</v>
      </c>
      <c r="BJ128" s="10">
        <f>Мясо!BJ128</f>
        <v>13807.250000000022</v>
      </c>
      <c r="BK128" s="10">
        <f>Мясо!BK128</f>
        <v>13661.000000000022</v>
      </c>
      <c r="BL128" s="10">
        <f>Мясо!BL128</f>
        <v>13514.750000000022</v>
      </c>
      <c r="BM128" s="10">
        <f>Мясо!BM128</f>
        <v>13368.500000000022</v>
      </c>
      <c r="BN128" s="10">
        <f>Мясо!BN128</f>
        <v>13222.250000000022</v>
      </c>
      <c r="BO128" s="10">
        <f>Мясо!BO128</f>
        <v>13076.000000000022</v>
      </c>
      <c r="BP128" s="10">
        <f>Мясо!BP128</f>
        <v>12929.750000000022</v>
      </c>
      <c r="BQ128" s="10">
        <f>Мясо!BQ128</f>
        <v>12783.500000000022</v>
      </c>
      <c r="BR128" s="10">
        <f>Мясо!BR128</f>
        <v>12637.250000000022</v>
      </c>
      <c r="BS128" s="10">
        <f>Мясо!BS128</f>
        <v>12491.000000000022</v>
      </c>
      <c r="BT128" s="10">
        <f>Мясо!BT128</f>
        <v>12344.750000000022</v>
      </c>
      <c r="BU128" s="10">
        <f>Мясо!BU128</f>
        <v>12198.500000000022</v>
      </c>
      <c r="BV128" s="10">
        <f>Мясо!BV128</f>
        <v>12052.250000000022</v>
      </c>
      <c r="BW128" s="10">
        <f>Мясо!BW128</f>
        <v>11906.000000000022</v>
      </c>
      <c r="BX128" s="10">
        <f>Мясо!BX128</f>
        <v>11759.750000000022</v>
      </c>
      <c r="BY128" s="10">
        <f>Мясо!BY128</f>
        <v>11613.500000000022</v>
      </c>
      <c r="BZ128" s="10">
        <f>Мясо!BZ128</f>
        <v>11467.250000000022</v>
      </c>
      <c r="CA128" s="10">
        <f>Мясо!CA128</f>
        <v>11321.000000000022</v>
      </c>
      <c r="CB128" s="10">
        <f>Мясо!CB128</f>
        <v>11174.750000000022</v>
      </c>
      <c r="CC128" s="10">
        <f>Мясо!CC128</f>
        <v>11028.500000000022</v>
      </c>
      <c r="CD128" s="10">
        <f>Мясо!CD128</f>
        <v>10882.250000000022</v>
      </c>
      <c r="CE128" s="10">
        <f>Мясо!CE128</f>
        <v>10736.000000000022</v>
      </c>
      <c r="CF128" s="10">
        <f>Мясо!CF128</f>
        <v>10589.750000000022</v>
      </c>
      <c r="CG128" s="10">
        <f>Мясо!CG128</f>
        <v>10443.500000000022</v>
      </c>
      <c r="CH128" s="10">
        <f>Мясо!CH128</f>
        <v>10297.250000000022</v>
      </c>
      <c r="CI128" s="10">
        <f>Мясо!CI128</f>
        <v>10151.000000000022</v>
      </c>
      <c r="CJ128" s="10">
        <f>Мясо!CJ128</f>
        <v>10004.750000000022</v>
      </c>
      <c r="CK128" s="10">
        <f>Мясо!CK128</f>
        <v>9858.5000000000218</v>
      </c>
      <c r="CO128" s="10">
        <f>Q128</f>
        <v>19861.000000000015</v>
      </c>
      <c r="CP128" s="10">
        <f ca="1">OFFSET($Q128,0,12)</f>
        <v>18633.500000000022</v>
      </c>
      <c r="CQ128" s="10">
        <f ca="1">OFFSET($Q128,0,24)</f>
        <v>16878.500000000022</v>
      </c>
      <c r="CR128" s="10">
        <f ca="1">OFFSET($Q128,0,36)</f>
        <v>15123.500000000022</v>
      </c>
      <c r="CS128" s="10">
        <f ca="1">OFFSET($Q128,0,48)</f>
        <v>13368.500000000022</v>
      </c>
      <c r="CT128" s="10">
        <f t="shared" ca="1" si="478"/>
        <v>13368.500000000022</v>
      </c>
      <c r="CU128" s="10">
        <f t="shared" ca="1" si="478"/>
        <v>13368.500000000022</v>
      </c>
      <c r="CV128" s="8"/>
      <c r="CW128" s="8"/>
      <c r="CX128" s="8"/>
    </row>
    <row r="129" spans="2:102" ht="15" x14ac:dyDescent="0.25">
      <c r="B129" s="321" t="s">
        <v>384</v>
      </c>
      <c r="C129" s="89" t="s">
        <v>4</v>
      </c>
      <c r="D129" s="86"/>
      <c r="E129" s="86"/>
      <c r="F129" s="14"/>
      <c r="G129" s="14"/>
      <c r="H129" s="14"/>
      <c r="I129" s="14"/>
      <c r="J129" s="14"/>
      <c r="K129" s="14"/>
      <c r="L129" s="14"/>
      <c r="M129" s="14"/>
      <c r="N129" s="14"/>
      <c r="O129" s="14"/>
      <c r="P129" s="14"/>
      <c r="Q129" s="14"/>
      <c r="R129" s="14">
        <f t="shared" ref="R129:BR129" si="479">SUM(R130:R131)</f>
        <v>187.66666666666669</v>
      </c>
      <c r="S129" s="14">
        <f t="shared" si="479"/>
        <v>187.66666666666669</v>
      </c>
      <c r="T129" s="14">
        <f t="shared" si="479"/>
        <v>187.66666666666669</v>
      </c>
      <c r="U129" s="14">
        <f t="shared" si="479"/>
        <v>187.66666666666669</v>
      </c>
      <c r="V129" s="14">
        <f t="shared" si="479"/>
        <v>187.66666666666669</v>
      </c>
      <c r="W129" s="14">
        <f t="shared" si="479"/>
        <v>187.66666666666669</v>
      </c>
      <c r="X129" s="14">
        <f t="shared" si="479"/>
        <v>187.66666666666669</v>
      </c>
      <c r="Y129" s="14">
        <f t="shared" si="479"/>
        <v>187.66666666666669</v>
      </c>
      <c r="Z129" s="14">
        <f t="shared" si="479"/>
        <v>187.66666666666669</v>
      </c>
      <c r="AA129" s="14">
        <f t="shared" si="479"/>
        <v>187.66666666666669</v>
      </c>
      <c r="AB129" s="14">
        <f t="shared" si="479"/>
        <v>187.66666666666669</v>
      </c>
      <c r="AC129" s="14">
        <f t="shared" si="479"/>
        <v>187.66666666666669</v>
      </c>
      <c r="AD129" s="14">
        <f t="shared" si="479"/>
        <v>166.31828703703701</v>
      </c>
      <c r="AE129" s="14">
        <f t="shared" si="479"/>
        <v>165.41841242283948</v>
      </c>
      <c r="AF129" s="14">
        <f t="shared" si="479"/>
        <v>172.55844417116768</v>
      </c>
      <c r="AG129" s="14">
        <f t="shared" si="479"/>
        <v>207.18874417344497</v>
      </c>
      <c r="AH129" s="14">
        <f t="shared" si="479"/>
        <v>307.63809723125883</v>
      </c>
      <c r="AI129" s="14">
        <f t="shared" si="479"/>
        <v>391.28972419877613</v>
      </c>
      <c r="AJ129" s="14">
        <f t="shared" si="479"/>
        <v>2314.5220320526751</v>
      </c>
      <c r="AK129" s="14">
        <f t="shared" si="479"/>
        <v>2355.4079595633475</v>
      </c>
      <c r="AL129" s="14">
        <f t="shared" si="479"/>
        <v>2355.4439117521715</v>
      </c>
      <c r="AM129" s="14">
        <f t="shared" si="479"/>
        <v>2339.5652124875701</v>
      </c>
      <c r="AN129" s="14">
        <f t="shared" si="479"/>
        <v>2323.8188357168401</v>
      </c>
      <c r="AO129" s="14">
        <f t="shared" si="479"/>
        <v>2308.2036787525331</v>
      </c>
      <c r="AP129" s="14">
        <f t="shared" si="479"/>
        <v>2292.7186480962623</v>
      </c>
      <c r="AQ129" s="14">
        <f t="shared" si="479"/>
        <v>2277.3626593621266</v>
      </c>
      <c r="AR129" s="14">
        <f t="shared" si="479"/>
        <v>2262.1346372007756</v>
      </c>
      <c r="AS129" s="14">
        <f t="shared" si="479"/>
        <v>2247.0335152241023</v>
      </c>
      <c r="AT129" s="14">
        <f t="shared" si="479"/>
        <v>2232.0582359305686</v>
      </c>
      <c r="AU129" s="14">
        <f t="shared" si="479"/>
        <v>2217.2077506311471</v>
      </c>
      <c r="AV129" s="14">
        <f t="shared" si="479"/>
        <v>2202.4810193758876</v>
      </c>
      <c r="AW129" s="14">
        <f t="shared" si="479"/>
        <v>2187.8770108810886</v>
      </c>
      <c r="AX129" s="14">
        <f t="shared" si="479"/>
        <v>2173.3947024570793</v>
      </c>
      <c r="AY129" s="14">
        <f t="shared" si="479"/>
        <v>2159.0330799366038</v>
      </c>
      <c r="AZ129" s="14">
        <f t="shared" si="479"/>
        <v>2144.7911376037987</v>
      </c>
      <c r="BA129" s="14">
        <f t="shared" si="479"/>
        <v>2130.6678781237674</v>
      </c>
      <c r="BB129" s="14">
        <f t="shared" si="479"/>
        <v>2116.6623124727357</v>
      </c>
      <c r="BC129" s="14">
        <f t="shared" si="479"/>
        <v>2102.7734598687962</v>
      </c>
      <c r="BD129" s="14">
        <f t="shared" si="479"/>
        <v>2089.0003477032228</v>
      </c>
      <c r="BE129" s="14">
        <f t="shared" si="479"/>
        <v>2075.3420114723626</v>
      </c>
      <c r="BF129" s="14">
        <f t="shared" si="479"/>
        <v>2061.7974947100929</v>
      </c>
      <c r="BG129" s="14">
        <f t="shared" si="479"/>
        <v>2048.3658489208419</v>
      </c>
      <c r="BH129" s="14">
        <f t="shared" si="479"/>
        <v>2035.0461335131681</v>
      </c>
      <c r="BI129" s="14">
        <f t="shared" si="479"/>
        <v>2021.8374157338919</v>
      </c>
      <c r="BJ129" s="14">
        <f t="shared" si="479"/>
        <v>2008.7387706027762</v>
      </c>
      <c r="BK129" s="14">
        <f t="shared" si="479"/>
        <v>1995.749280847753</v>
      </c>
      <c r="BL129" s="14">
        <f t="shared" si="479"/>
        <v>1982.8680368406881</v>
      </c>
      <c r="BM129" s="14">
        <f t="shared" si="479"/>
        <v>1970.0941365336823</v>
      </c>
      <c r="BN129" s="14">
        <f t="shared" si="479"/>
        <v>1957.4266853959016</v>
      </c>
      <c r="BO129" s="14">
        <f t="shared" si="479"/>
        <v>1944.8647963509356</v>
      </c>
      <c r="BP129" s="14">
        <f t="shared" si="479"/>
        <v>1932.4075897146779</v>
      </c>
      <c r="BQ129" s="14">
        <f t="shared" si="479"/>
        <v>1920.0541931337223</v>
      </c>
      <c r="BR129" s="14">
        <f t="shared" si="479"/>
        <v>1907.8037415242745</v>
      </c>
      <c r="BS129" s="14">
        <f t="shared" ref="BS129:BX129" si="480">SUM(BS130:BS131)</f>
        <v>1895.6553770115722</v>
      </c>
      <c r="BT129" s="14">
        <f t="shared" si="480"/>
        <v>1883.6082488698091</v>
      </c>
      <c r="BU129" s="14">
        <f t="shared" si="480"/>
        <v>1871.6615134625608</v>
      </c>
      <c r="BV129" s="14">
        <f t="shared" si="480"/>
        <v>1859.814334183706</v>
      </c>
      <c r="BW129" s="14">
        <f t="shared" si="480"/>
        <v>1848.0658813988418</v>
      </c>
      <c r="BX129" s="14">
        <f t="shared" si="480"/>
        <v>1836.4153323871849</v>
      </c>
      <c r="BY129" s="14">
        <f t="shared" ref="BY129:CK129" si="481">SUM(BY130:BY131)</f>
        <v>1824.8618712839582</v>
      </c>
      <c r="BZ129" s="14">
        <f t="shared" si="481"/>
        <v>1813.4046890232587</v>
      </c>
      <c r="CA129" s="14">
        <f t="shared" si="481"/>
        <v>1802.0429832813982</v>
      </c>
      <c r="CB129" s="14">
        <f t="shared" si="481"/>
        <v>1790.7759584207199</v>
      </c>
      <c r="CC129" s="14">
        <f t="shared" si="481"/>
        <v>1779.6028254338805</v>
      </c>
      <c r="CD129" s="14">
        <f t="shared" si="481"/>
        <v>1768.5228018885982</v>
      </c>
      <c r="CE129" s="14">
        <f t="shared" si="481"/>
        <v>1757.5351118728599</v>
      </c>
      <c r="CF129" s="14">
        <f t="shared" si="481"/>
        <v>1746.6389859405863</v>
      </c>
      <c r="CG129" s="14">
        <f t="shared" si="481"/>
        <v>1735.833661057748</v>
      </c>
      <c r="CH129" s="14">
        <f t="shared" si="481"/>
        <v>1725.1183805489334</v>
      </c>
      <c r="CI129" s="14">
        <f t="shared" si="481"/>
        <v>1714.4923940443589</v>
      </c>
      <c r="CJ129" s="14">
        <f t="shared" si="481"/>
        <v>1703.9549574273226</v>
      </c>
      <c r="CK129" s="14">
        <f t="shared" si="481"/>
        <v>1693.5053327820951</v>
      </c>
      <c r="CO129" s="14">
        <f t="shared" ref="CO129:CS131" si="482">SUMIF($L$2:$CK$2,CO$3,$L129:$CK129)</f>
        <v>0</v>
      </c>
      <c r="CP129" s="14">
        <f t="shared" si="482"/>
        <v>2252.0000000000005</v>
      </c>
      <c r="CQ129" s="14">
        <f t="shared" si="482"/>
        <v>15407.373339559661</v>
      </c>
      <c r="CR129" s="14">
        <f t="shared" si="482"/>
        <v>26526.760274823209</v>
      </c>
      <c r="CS129" s="14">
        <f t="shared" si="482"/>
        <v>24508.27524922002</v>
      </c>
      <c r="CT129" s="14">
        <f t="shared" ref="CT129:CU131" si="483">SUMIF($L$2:$CK$2,CT$3,$L129:$CK129)</f>
        <v>22682.639564717145</v>
      </c>
      <c r="CU129" s="14">
        <f t="shared" si="483"/>
        <v>21031.428081721759</v>
      </c>
      <c r="CV129" s="8"/>
      <c r="CW129" s="8"/>
      <c r="CX129" s="8"/>
    </row>
    <row r="130" spans="2:102" ht="15" x14ac:dyDescent="0.25">
      <c r="B130" s="322" t="str">
        <f t="shared" ref="B130:B131" si="484">B127</f>
        <v>Материальные внеоборотные активы</v>
      </c>
      <c r="C130" s="97" t="s">
        <v>4</v>
      </c>
      <c r="D130" s="86"/>
      <c r="E130" s="86"/>
      <c r="F130" s="10"/>
      <c r="G130" s="10"/>
      <c r="H130" s="10"/>
      <c r="I130" s="10"/>
      <c r="J130" s="10"/>
      <c r="K130" s="10"/>
      <c r="L130" s="10"/>
      <c r="M130" s="10"/>
      <c r="N130" s="10"/>
      <c r="O130" s="10"/>
      <c r="P130" s="10"/>
      <c r="Q130" s="10"/>
      <c r="R130" s="10">
        <v>129.33333333333334</v>
      </c>
      <c r="S130" s="10">
        <f>R130</f>
        <v>129.33333333333334</v>
      </c>
      <c r="T130" s="10">
        <f t="shared" ref="T130:AI131" si="485">S130</f>
        <v>129.33333333333334</v>
      </c>
      <c r="U130" s="10">
        <f t="shared" si="485"/>
        <v>129.33333333333334</v>
      </c>
      <c r="V130" s="10">
        <f t="shared" si="485"/>
        <v>129.33333333333334</v>
      </c>
      <c r="W130" s="10">
        <f t="shared" si="485"/>
        <v>129.33333333333334</v>
      </c>
      <c r="X130" s="10">
        <f t="shared" si="485"/>
        <v>129.33333333333334</v>
      </c>
      <c r="Y130" s="10">
        <f t="shared" si="485"/>
        <v>129.33333333333334</v>
      </c>
      <c r="Z130" s="10">
        <f t="shared" si="485"/>
        <v>129.33333333333334</v>
      </c>
      <c r="AA130" s="10">
        <f t="shared" si="485"/>
        <v>129.33333333333334</v>
      </c>
      <c r="AB130" s="10">
        <f t="shared" si="485"/>
        <v>129.33333333333334</v>
      </c>
      <c r="AC130" s="10">
        <f t="shared" si="485"/>
        <v>129.33333333333334</v>
      </c>
      <c r="AD130" s="10">
        <f>AC127/(12*12)</f>
        <v>107.98495370370368</v>
      </c>
      <c r="AE130" s="10">
        <f t="shared" ref="AE130:BX130" si="486">AD127/(12*12)</f>
        <v>107.08507908950615</v>
      </c>
      <c r="AF130" s="10">
        <f t="shared" si="486"/>
        <v>114.22511083783434</v>
      </c>
      <c r="AG130" s="10">
        <f t="shared" si="486"/>
        <v>148.85541084011163</v>
      </c>
      <c r="AH130" s="10">
        <f t="shared" si="486"/>
        <v>249.30476389792551</v>
      </c>
      <c r="AI130" s="10">
        <f t="shared" si="486"/>
        <v>332.95639086544281</v>
      </c>
      <c r="AJ130" s="10">
        <f t="shared" si="486"/>
        <v>2256.1886987193416</v>
      </c>
      <c r="AK130" s="10">
        <f t="shared" si="486"/>
        <v>2297.074626230014</v>
      </c>
      <c r="AL130" s="10">
        <f t="shared" si="486"/>
        <v>2297.110578418838</v>
      </c>
      <c r="AM130" s="10">
        <f t="shared" si="486"/>
        <v>2281.2318791542366</v>
      </c>
      <c r="AN130" s="10">
        <f t="shared" si="486"/>
        <v>2265.4855023835066</v>
      </c>
      <c r="AO130" s="10">
        <f t="shared" si="486"/>
        <v>2249.8703454191996</v>
      </c>
      <c r="AP130" s="10">
        <f t="shared" si="486"/>
        <v>2234.3853147629288</v>
      </c>
      <c r="AQ130" s="10">
        <f t="shared" si="486"/>
        <v>2219.0293260287931</v>
      </c>
      <c r="AR130" s="10">
        <f t="shared" si="486"/>
        <v>2203.8013038674421</v>
      </c>
      <c r="AS130" s="10">
        <f t="shared" si="486"/>
        <v>2188.7001818907688</v>
      </c>
      <c r="AT130" s="10">
        <f t="shared" si="486"/>
        <v>2173.7249025972351</v>
      </c>
      <c r="AU130" s="10">
        <f t="shared" si="486"/>
        <v>2158.8744172978136</v>
      </c>
      <c r="AV130" s="10">
        <f t="shared" si="486"/>
        <v>2144.1476860425541</v>
      </c>
      <c r="AW130" s="10">
        <f t="shared" si="486"/>
        <v>2129.5436775477551</v>
      </c>
      <c r="AX130" s="10">
        <f t="shared" si="486"/>
        <v>2115.0613691237459</v>
      </c>
      <c r="AY130" s="10">
        <f t="shared" si="486"/>
        <v>2100.6997466032703</v>
      </c>
      <c r="AZ130" s="10">
        <f t="shared" si="486"/>
        <v>2086.4578042704652</v>
      </c>
      <c r="BA130" s="10">
        <f t="shared" si="486"/>
        <v>2072.3345447904339</v>
      </c>
      <c r="BB130" s="10">
        <f t="shared" si="486"/>
        <v>2058.3289791394022</v>
      </c>
      <c r="BC130" s="10">
        <f t="shared" si="486"/>
        <v>2044.4401265354629</v>
      </c>
      <c r="BD130" s="10">
        <f t="shared" si="486"/>
        <v>2030.6670143698893</v>
      </c>
      <c r="BE130" s="10">
        <f t="shared" si="486"/>
        <v>2017.0086781390294</v>
      </c>
      <c r="BF130" s="10">
        <f t="shared" si="486"/>
        <v>2003.4641613767594</v>
      </c>
      <c r="BG130" s="10">
        <f t="shared" si="486"/>
        <v>1990.0325155875087</v>
      </c>
      <c r="BH130" s="10">
        <f t="shared" si="486"/>
        <v>1976.7128001798349</v>
      </c>
      <c r="BI130" s="10">
        <f t="shared" si="486"/>
        <v>1963.5040824005587</v>
      </c>
      <c r="BJ130" s="10">
        <f t="shared" si="486"/>
        <v>1950.4054372694429</v>
      </c>
      <c r="BK130" s="10">
        <f t="shared" si="486"/>
        <v>1937.4159475144197</v>
      </c>
      <c r="BL130" s="10">
        <f t="shared" si="486"/>
        <v>1924.5347035073548</v>
      </c>
      <c r="BM130" s="10">
        <f t="shared" si="486"/>
        <v>1911.7608032003491</v>
      </c>
      <c r="BN130" s="10">
        <f t="shared" si="486"/>
        <v>1899.0933520625683</v>
      </c>
      <c r="BO130" s="10">
        <f t="shared" si="486"/>
        <v>1886.5314630176024</v>
      </c>
      <c r="BP130" s="10">
        <f t="shared" si="486"/>
        <v>1874.0742563813446</v>
      </c>
      <c r="BQ130" s="10">
        <f t="shared" si="486"/>
        <v>1861.720859800389</v>
      </c>
      <c r="BR130" s="10">
        <f t="shared" si="486"/>
        <v>1849.4704081909413</v>
      </c>
      <c r="BS130" s="10">
        <f t="shared" si="486"/>
        <v>1837.322043678239</v>
      </c>
      <c r="BT130" s="10">
        <f t="shared" si="486"/>
        <v>1825.2749155364759</v>
      </c>
      <c r="BU130" s="10">
        <f t="shared" si="486"/>
        <v>1813.3281801292276</v>
      </c>
      <c r="BV130" s="10">
        <f t="shared" si="486"/>
        <v>1801.4810008503728</v>
      </c>
      <c r="BW130" s="10">
        <f t="shared" si="486"/>
        <v>1789.7325480655086</v>
      </c>
      <c r="BX130" s="10">
        <f t="shared" si="486"/>
        <v>1778.0819990538516</v>
      </c>
      <c r="BY130" s="10">
        <f t="shared" ref="BY130" si="487">BX127/(12*12)</f>
        <v>1766.5285379506249</v>
      </c>
      <c r="BZ130" s="10">
        <f t="shared" ref="BZ130" si="488">BY127/(12*12)</f>
        <v>1755.0713556899254</v>
      </c>
      <c r="CA130" s="10">
        <f t="shared" ref="CA130" si="489">BZ127/(12*12)</f>
        <v>1743.7096499480649</v>
      </c>
      <c r="CB130" s="10">
        <f t="shared" ref="CB130" si="490">CA127/(12*12)</f>
        <v>1732.4426250873867</v>
      </c>
      <c r="CC130" s="10">
        <f t="shared" ref="CC130" si="491">CB127/(12*12)</f>
        <v>1721.2694921005473</v>
      </c>
      <c r="CD130" s="10">
        <f t="shared" ref="CD130" si="492">CC127/(12*12)</f>
        <v>1710.189468555265</v>
      </c>
      <c r="CE130" s="10">
        <f t="shared" ref="CE130" si="493">CD127/(12*12)</f>
        <v>1699.2017785395267</v>
      </c>
      <c r="CF130" s="10">
        <f t="shared" ref="CF130" si="494">CE127/(12*12)</f>
        <v>1688.305652607253</v>
      </c>
      <c r="CG130" s="10">
        <f t="shared" ref="CG130" si="495">CF127/(12*12)</f>
        <v>1677.5003277244148</v>
      </c>
      <c r="CH130" s="10">
        <f t="shared" ref="CH130" si="496">CG127/(12*12)</f>
        <v>1666.7850472156001</v>
      </c>
      <c r="CI130" s="10">
        <f t="shared" ref="CI130" si="497">CH127/(12*12)</f>
        <v>1656.1590607110256</v>
      </c>
      <c r="CJ130" s="10">
        <f t="shared" ref="CJ130" si="498">CI127/(12*12)</f>
        <v>1645.6216240939893</v>
      </c>
      <c r="CK130" s="10">
        <f t="shared" ref="CK130" si="499">CJ127/(12*12)</f>
        <v>1635.1719994487619</v>
      </c>
      <c r="CL130" s="10"/>
      <c r="CO130" s="10">
        <f t="shared" si="482"/>
        <v>0</v>
      </c>
      <c r="CP130" s="10">
        <f t="shared" si="482"/>
        <v>1551.9999999999998</v>
      </c>
      <c r="CQ130" s="10">
        <f t="shared" si="482"/>
        <v>14707.373339559661</v>
      </c>
      <c r="CR130" s="10">
        <f t="shared" si="482"/>
        <v>25826.760274823202</v>
      </c>
      <c r="CS130" s="10">
        <f t="shared" si="482"/>
        <v>23808.275249220012</v>
      </c>
      <c r="CT130" s="10">
        <f t="shared" si="483"/>
        <v>21982.639564717145</v>
      </c>
      <c r="CU130" s="10">
        <f t="shared" si="483"/>
        <v>20331.428081721762</v>
      </c>
      <c r="CV130" s="8"/>
      <c r="CW130" s="8"/>
      <c r="CX130" s="8"/>
    </row>
    <row r="131" spans="2:102" ht="15" x14ac:dyDescent="0.25">
      <c r="B131" s="322" t="str">
        <f t="shared" si="484"/>
        <v>Нематериальные, финансовые и другие внеоборотные активы</v>
      </c>
      <c r="C131" s="97" t="s">
        <v>4</v>
      </c>
      <c r="D131" s="86"/>
      <c r="E131" s="86"/>
      <c r="F131" s="10"/>
      <c r="G131" s="10"/>
      <c r="H131" s="10"/>
      <c r="I131" s="10"/>
      <c r="J131" s="10"/>
      <c r="K131" s="10"/>
      <c r="L131" s="10"/>
      <c r="M131" s="10"/>
      <c r="N131" s="10"/>
      <c r="O131" s="10"/>
      <c r="P131" s="10"/>
      <c r="Q131" s="10"/>
      <c r="R131" s="10">
        <v>58.333333333333336</v>
      </c>
      <c r="S131" s="10">
        <f>R131</f>
        <v>58.333333333333336</v>
      </c>
      <c r="T131" s="10">
        <f t="shared" si="485"/>
        <v>58.333333333333336</v>
      </c>
      <c r="U131" s="10">
        <f t="shared" si="485"/>
        <v>58.333333333333336</v>
      </c>
      <c r="V131" s="10">
        <f t="shared" si="485"/>
        <v>58.333333333333336</v>
      </c>
      <c r="W131" s="10">
        <f t="shared" si="485"/>
        <v>58.333333333333336</v>
      </c>
      <c r="X131" s="10">
        <f t="shared" si="485"/>
        <v>58.333333333333336</v>
      </c>
      <c r="Y131" s="10">
        <f t="shared" si="485"/>
        <v>58.333333333333336</v>
      </c>
      <c r="Z131" s="10">
        <f t="shared" si="485"/>
        <v>58.333333333333336</v>
      </c>
      <c r="AA131" s="10">
        <f t="shared" si="485"/>
        <v>58.333333333333336</v>
      </c>
      <c r="AB131" s="10">
        <f t="shared" si="485"/>
        <v>58.333333333333336</v>
      </c>
      <c r="AC131" s="10">
        <f t="shared" si="485"/>
        <v>58.333333333333336</v>
      </c>
      <c r="AD131" s="10">
        <f t="shared" si="485"/>
        <v>58.333333333333336</v>
      </c>
      <c r="AE131" s="10">
        <f t="shared" si="485"/>
        <v>58.333333333333336</v>
      </c>
      <c r="AF131" s="10">
        <f t="shared" si="485"/>
        <v>58.333333333333336</v>
      </c>
      <c r="AG131" s="10">
        <f t="shared" si="485"/>
        <v>58.333333333333336</v>
      </c>
      <c r="AH131" s="10">
        <f t="shared" si="485"/>
        <v>58.333333333333336</v>
      </c>
      <c r="AI131" s="10">
        <f t="shared" si="485"/>
        <v>58.333333333333336</v>
      </c>
      <c r="AJ131" s="10">
        <f t="shared" ref="AJ131:BX131" si="500">AI131</f>
        <v>58.333333333333336</v>
      </c>
      <c r="AK131" s="10">
        <f t="shared" si="500"/>
        <v>58.333333333333336</v>
      </c>
      <c r="AL131" s="10">
        <f t="shared" si="500"/>
        <v>58.333333333333336</v>
      </c>
      <c r="AM131" s="10">
        <f t="shared" si="500"/>
        <v>58.333333333333336</v>
      </c>
      <c r="AN131" s="10">
        <f t="shared" si="500"/>
        <v>58.333333333333336</v>
      </c>
      <c r="AO131" s="10">
        <f t="shared" si="500"/>
        <v>58.333333333333336</v>
      </c>
      <c r="AP131" s="10">
        <f t="shared" si="500"/>
        <v>58.333333333333336</v>
      </c>
      <c r="AQ131" s="10">
        <f t="shared" si="500"/>
        <v>58.333333333333336</v>
      </c>
      <c r="AR131" s="10">
        <f t="shared" si="500"/>
        <v>58.333333333333336</v>
      </c>
      <c r="AS131" s="10">
        <f t="shared" si="500"/>
        <v>58.333333333333336</v>
      </c>
      <c r="AT131" s="10">
        <f t="shared" si="500"/>
        <v>58.333333333333336</v>
      </c>
      <c r="AU131" s="10">
        <f t="shared" si="500"/>
        <v>58.333333333333336</v>
      </c>
      <c r="AV131" s="10">
        <f t="shared" si="500"/>
        <v>58.333333333333336</v>
      </c>
      <c r="AW131" s="10">
        <f t="shared" si="500"/>
        <v>58.333333333333336</v>
      </c>
      <c r="AX131" s="10">
        <f t="shared" si="500"/>
        <v>58.333333333333336</v>
      </c>
      <c r="AY131" s="10">
        <f t="shared" si="500"/>
        <v>58.333333333333336</v>
      </c>
      <c r="AZ131" s="10">
        <f t="shared" si="500"/>
        <v>58.333333333333336</v>
      </c>
      <c r="BA131" s="10">
        <f t="shared" si="500"/>
        <v>58.333333333333336</v>
      </c>
      <c r="BB131" s="10">
        <f t="shared" si="500"/>
        <v>58.333333333333336</v>
      </c>
      <c r="BC131" s="10">
        <f t="shared" si="500"/>
        <v>58.333333333333336</v>
      </c>
      <c r="BD131" s="10">
        <f t="shared" si="500"/>
        <v>58.333333333333336</v>
      </c>
      <c r="BE131" s="10">
        <f t="shared" si="500"/>
        <v>58.333333333333336</v>
      </c>
      <c r="BF131" s="10">
        <f t="shared" si="500"/>
        <v>58.333333333333336</v>
      </c>
      <c r="BG131" s="10">
        <f t="shared" si="500"/>
        <v>58.333333333333336</v>
      </c>
      <c r="BH131" s="10">
        <f t="shared" si="500"/>
        <v>58.333333333333336</v>
      </c>
      <c r="BI131" s="10">
        <f t="shared" si="500"/>
        <v>58.333333333333336</v>
      </c>
      <c r="BJ131" s="10">
        <f t="shared" si="500"/>
        <v>58.333333333333336</v>
      </c>
      <c r="BK131" s="10">
        <f t="shared" si="500"/>
        <v>58.333333333333336</v>
      </c>
      <c r="BL131" s="10">
        <f t="shared" si="500"/>
        <v>58.333333333333336</v>
      </c>
      <c r="BM131" s="10">
        <f t="shared" si="500"/>
        <v>58.333333333333336</v>
      </c>
      <c r="BN131" s="10">
        <f t="shared" si="500"/>
        <v>58.333333333333336</v>
      </c>
      <c r="BO131" s="10">
        <f t="shared" si="500"/>
        <v>58.333333333333336</v>
      </c>
      <c r="BP131" s="10">
        <f t="shared" si="500"/>
        <v>58.333333333333336</v>
      </c>
      <c r="BQ131" s="10">
        <f t="shared" si="500"/>
        <v>58.333333333333336</v>
      </c>
      <c r="BR131" s="10">
        <f t="shared" si="500"/>
        <v>58.333333333333336</v>
      </c>
      <c r="BS131" s="10">
        <f t="shared" si="500"/>
        <v>58.333333333333336</v>
      </c>
      <c r="BT131" s="10">
        <f t="shared" si="500"/>
        <v>58.333333333333336</v>
      </c>
      <c r="BU131" s="10">
        <f t="shared" si="500"/>
        <v>58.333333333333336</v>
      </c>
      <c r="BV131" s="10">
        <f t="shared" si="500"/>
        <v>58.333333333333336</v>
      </c>
      <c r="BW131" s="10">
        <f t="shared" si="500"/>
        <v>58.333333333333336</v>
      </c>
      <c r="BX131" s="10">
        <f t="shared" si="500"/>
        <v>58.333333333333336</v>
      </c>
      <c r="BY131" s="10">
        <f t="shared" ref="BY131" si="501">BX131</f>
        <v>58.333333333333336</v>
      </c>
      <c r="BZ131" s="10">
        <f t="shared" ref="BZ131" si="502">BY131</f>
        <v>58.333333333333336</v>
      </c>
      <c r="CA131" s="10">
        <f t="shared" ref="CA131" si="503">BZ131</f>
        <v>58.333333333333336</v>
      </c>
      <c r="CB131" s="10">
        <f t="shared" ref="CB131" si="504">CA131</f>
        <v>58.333333333333336</v>
      </c>
      <c r="CC131" s="10">
        <f t="shared" ref="CC131" si="505">CB131</f>
        <v>58.333333333333336</v>
      </c>
      <c r="CD131" s="10">
        <f t="shared" ref="CD131" si="506">CC131</f>
        <v>58.333333333333336</v>
      </c>
      <c r="CE131" s="10">
        <f t="shared" ref="CE131" si="507">CD131</f>
        <v>58.333333333333336</v>
      </c>
      <c r="CF131" s="10">
        <f t="shared" ref="CF131" si="508">CE131</f>
        <v>58.333333333333336</v>
      </c>
      <c r="CG131" s="10">
        <f t="shared" ref="CG131" si="509">CF131</f>
        <v>58.333333333333336</v>
      </c>
      <c r="CH131" s="10">
        <f t="shared" ref="CH131" si="510">CG131</f>
        <v>58.333333333333336</v>
      </c>
      <c r="CI131" s="10">
        <f t="shared" ref="CI131" si="511">CH131</f>
        <v>58.333333333333336</v>
      </c>
      <c r="CJ131" s="10">
        <f t="shared" ref="CJ131" si="512">CI131</f>
        <v>58.333333333333336</v>
      </c>
      <c r="CK131" s="10">
        <f t="shared" ref="CK131" si="513">CJ131</f>
        <v>58.333333333333336</v>
      </c>
      <c r="CL131" s="10"/>
      <c r="CO131" s="10">
        <f t="shared" si="482"/>
        <v>0</v>
      </c>
      <c r="CP131" s="10">
        <f t="shared" si="482"/>
        <v>700.00000000000011</v>
      </c>
      <c r="CQ131" s="10">
        <f t="shared" si="482"/>
        <v>700.00000000000011</v>
      </c>
      <c r="CR131" s="10">
        <f t="shared" si="482"/>
        <v>700.00000000000011</v>
      </c>
      <c r="CS131" s="10">
        <f t="shared" si="482"/>
        <v>700.00000000000011</v>
      </c>
      <c r="CT131" s="10">
        <f t="shared" si="483"/>
        <v>700.00000000000011</v>
      </c>
      <c r="CU131" s="10">
        <f t="shared" si="483"/>
        <v>700.00000000000011</v>
      </c>
      <c r="CV131" s="8"/>
      <c r="CW131" s="8"/>
      <c r="CX131" s="8"/>
    </row>
    <row r="132" spans="2:102" ht="15" x14ac:dyDescent="0.25">
      <c r="B132" s="358"/>
      <c r="C132" s="359"/>
      <c r="D132" s="86"/>
      <c r="E132" s="86"/>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O132" s="10"/>
      <c r="CP132" s="10"/>
      <c r="CQ132" s="10"/>
      <c r="CR132" s="10"/>
      <c r="CS132" s="10"/>
      <c r="CT132" s="10"/>
      <c r="CU132" s="10"/>
      <c r="CV132" s="8"/>
      <c r="CW132" s="8"/>
      <c r="CX132" s="8"/>
    </row>
    <row r="133" spans="2:102" ht="15" x14ac:dyDescent="0.25">
      <c r="B133" s="358"/>
      <c r="C133" s="359"/>
      <c r="D133" s="86"/>
      <c r="E133" s="86"/>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O133" s="10"/>
      <c r="CP133" s="10"/>
      <c r="CQ133" s="10"/>
      <c r="CR133" s="10"/>
      <c r="CS133" s="10"/>
      <c r="CT133" s="10"/>
      <c r="CU133" s="10"/>
      <c r="CV133" s="8"/>
      <c r="CW133" s="8"/>
      <c r="CX133" s="8"/>
    </row>
    <row r="134" spans="2:102" x14ac:dyDescent="0.2">
      <c r="B134" s="12" t="s">
        <v>158</v>
      </c>
    </row>
    <row r="135" spans="2:102" ht="25.5" x14ac:dyDescent="0.2">
      <c r="B135" s="194" t="s">
        <v>163</v>
      </c>
      <c r="C135" s="194" t="s">
        <v>161</v>
      </c>
      <c r="D135" s="194" t="s">
        <v>162</v>
      </c>
      <c r="E135" s="195"/>
      <c r="F135" s="196">
        <f t="shared" ref="F135:AK135" si="514">F104</f>
        <v>45292</v>
      </c>
      <c r="G135" s="196">
        <f t="shared" si="514"/>
        <v>45323</v>
      </c>
      <c r="H135" s="196">
        <f t="shared" si="514"/>
        <v>45352</v>
      </c>
      <c r="I135" s="196">
        <f t="shared" si="514"/>
        <v>45383</v>
      </c>
      <c r="J135" s="196">
        <f t="shared" si="514"/>
        <v>45413</v>
      </c>
      <c r="K135" s="196">
        <f t="shared" si="514"/>
        <v>45444</v>
      </c>
      <c r="L135" s="196">
        <f t="shared" si="514"/>
        <v>45474</v>
      </c>
      <c r="M135" s="196">
        <f t="shared" si="514"/>
        <v>45505</v>
      </c>
      <c r="N135" s="196">
        <f t="shared" si="514"/>
        <v>45536</v>
      </c>
      <c r="O135" s="196">
        <f t="shared" si="514"/>
        <v>45566</v>
      </c>
      <c r="P135" s="196">
        <f t="shared" si="514"/>
        <v>45597</v>
      </c>
      <c r="Q135" s="196">
        <f t="shared" si="514"/>
        <v>45627</v>
      </c>
      <c r="R135" s="196">
        <f t="shared" si="514"/>
        <v>45658</v>
      </c>
      <c r="S135" s="196">
        <f t="shared" si="514"/>
        <v>45689</v>
      </c>
      <c r="T135" s="196">
        <f t="shared" si="514"/>
        <v>45717</v>
      </c>
      <c r="U135" s="196">
        <f t="shared" si="514"/>
        <v>45748</v>
      </c>
      <c r="V135" s="196">
        <f t="shared" si="514"/>
        <v>45778</v>
      </c>
      <c r="W135" s="196">
        <f t="shared" si="514"/>
        <v>45809</v>
      </c>
      <c r="X135" s="196">
        <f t="shared" si="514"/>
        <v>45839</v>
      </c>
      <c r="Y135" s="196">
        <f t="shared" si="514"/>
        <v>45870</v>
      </c>
      <c r="Z135" s="196">
        <f t="shared" si="514"/>
        <v>45901</v>
      </c>
      <c r="AA135" s="196">
        <f t="shared" si="514"/>
        <v>45931</v>
      </c>
      <c r="AB135" s="196">
        <f t="shared" si="514"/>
        <v>45962</v>
      </c>
      <c r="AC135" s="196">
        <f t="shared" si="514"/>
        <v>45992</v>
      </c>
      <c r="AD135" s="196">
        <f t="shared" si="514"/>
        <v>46023</v>
      </c>
      <c r="AE135" s="196">
        <f t="shared" si="514"/>
        <v>46054</v>
      </c>
      <c r="AF135" s="196">
        <f t="shared" si="514"/>
        <v>46082</v>
      </c>
      <c r="AG135" s="196">
        <f t="shared" si="514"/>
        <v>46113</v>
      </c>
      <c r="AH135" s="196">
        <f t="shared" si="514"/>
        <v>46143</v>
      </c>
      <c r="AI135" s="196">
        <f t="shared" si="514"/>
        <v>46174</v>
      </c>
      <c r="AJ135" s="196">
        <f t="shared" si="514"/>
        <v>46204</v>
      </c>
      <c r="AK135" s="196">
        <f t="shared" si="514"/>
        <v>46235</v>
      </c>
      <c r="AL135" s="196">
        <f t="shared" ref="AL135:BQ135" si="515">AL104</f>
        <v>46266</v>
      </c>
      <c r="AM135" s="196">
        <f t="shared" si="515"/>
        <v>46296</v>
      </c>
      <c r="AN135" s="196">
        <f t="shared" si="515"/>
        <v>46327</v>
      </c>
      <c r="AO135" s="196">
        <f t="shared" si="515"/>
        <v>46357</v>
      </c>
      <c r="AP135" s="196">
        <f t="shared" si="515"/>
        <v>46388</v>
      </c>
      <c r="AQ135" s="196">
        <f t="shared" si="515"/>
        <v>46419</v>
      </c>
      <c r="AR135" s="196">
        <f t="shared" si="515"/>
        <v>46447</v>
      </c>
      <c r="AS135" s="196">
        <f t="shared" si="515"/>
        <v>46478</v>
      </c>
      <c r="AT135" s="196">
        <f t="shared" si="515"/>
        <v>46508</v>
      </c>
      <c r="AU135" s="196">
        <f t="shared" si="515"/>
        <v>46539</v>
      </c>
      <c r="AV135" s="196">
        <f t="shared" si="515"/>
        <v>46569</v>
      </c>
      <c r="AW135" s="196">
        <f t="shared" si="515"/>
        <v>46600</v>
      </c>
      <c r="AX135" s="196">
        <f t="shared" si="515"/>
        <v>46631</v>
      </c>
      <c r="AY135" s="196">
        <f t="shared" si="515"/>
        <v>46661</v>
      </c>
      <c r="AZ135" s="196">
        <f t="shared" si="515"/>
        <v>46692</v>
      </c>
      <c r="BA135" s="196">
        <f t="shared" si="515"/>
        <v>46722</v>
      </c>
      <c r="BB135" s="196">
        <f t="shared" si="515"/>
        <v>46753</v>
      </c>
      <c r="BC135" s="196">
        <f t="shared" si="515"/>
        <v>46784</v>
      </c>
      <c r="BD135" s="196">
        <f t="shared" si="515"/>
        <v>46813</v>
      </c>
      <c r="BE135" s="196">
        <f t="shared" si="515"/>
        <v>46844</v>
      </c>
      <c r="BF135" s="196">
        <f t="shared" si="515"/>
        <v>46874</v>
      </c>
      <c r="BG135" s="196">
        <f t="shared" si="515"/>
        <v>46905</v>
      </c>
      <c r="BH135" s="196">
        <f t="shared" si="515"/>
        <v>46935</v>
      </c>
      <c r="BI135" s="196">
        <f t="shared" si="515"/>
        <v>46966</v>
      </c>
      <c r="BJ135" s="196">
        <f t="shared" si="515"/>
        <v>46997</v>
      </c>
      <c r="BK135" s="196">
        <f t="shared" si="515"/>
        <v>47027</v>
      </c>
      <c r="BL135" s="196">
        <f t="shared" si="515"/>
        <v>47058</v>
      </c>
      <c r="BM135" s="196">
        <f t="shared" si="515"/>
        <v>47088</v>
      </c>
      <c r="BN135" s="196">
        <f t="shared" si="515"/>
        <v>47119</v>
      </c>
      <c r="BO135" s="196">
        <f t="shared" si="515"/>
        <v>47150</v>
      </c>
      <c r="BP135" s="196">
        <f t="shared" si="515"/>
        <v>47178</v>
      </c>
      <c r="BQ135" s="196">
        <f t="shared" si="515"/>
        <v>47209</v>
      </c>
      <c r="BR135" s="196">
        <f t="shared" ref="BR135:BX135" si="516">BR104</f>
        <v>47239</v>
      </c>
      <c r="BS135" s="196">
        <f t="shared" si="516"/>
        <v>47270</v>
      </c>
      <c r="BT135" s="196">
        <f t="shared" si="516"/>
        <v>47300</v>
      </c>
      <c r="BU135" s="196">
        <f t="shared" si="516"/>
        <v>47331</v>
      </c>
      <c r="BV135" s="196">
        <f t="shared" si="516"/>
        <v>47362</v>
      </c>
      <c r="BW135" s="196">
        <f t="shared" si="516"/>
        <v>47392</v>
      </c>
      <c r="BX135" s="196">
        <f t="shared" si="516"/>
        <v>47423</v>
      </c>
      <c r="BY135" s="196">
        <f t="shared" ref="BY135:CK135" si="517">BY104</f>
        <v>47453</v>
      </c>
      <c r="BZ135" s="196">
        <f t="shared" si="517"/>
        <v>47484</v>
      </c>
      <c r="CA135" s="196">
        <f t="shared" si="517"/>
        <v>47515</v>
      </c>
      <c r="CB135" s="196">
        <f t="shared" si="517"/>
        <v>47543</v>
      </c>
      <c r="CC135" s="196">
        <f t="shared" si="517"/>
        <v>47574</v>
      </c>
      <c r="CD135" s="196">
        <f t="shared" si="517"/>
        <v>47604</v>
      </c>
      <c r="CE135" s="196">
        <f t="shared" si="517"/>
        <v>47635</v>
      </c>
      <c r="CF135" s="196">
        <f t="shared" si="517"/>
        <v>47665</v>
      </c>
      <c r="CG135" s="196">
        <f t="shared" si="517"/>
        <v>47696</v>
      </c>
      <c r="CH135" s="196">
        <f t="shared" si="517"/>
        <v>47727</v>
      </c>
      <c r="CI135" s="196">
        <f t="shared" si="517"/>
        <v>47757</v>
      </c>
      <c r="CJ135" s="196">
        <f t="shared" si="517"/>
        <v>47788</v>
      </c>
      <c r="CK135" s="196">
        <f t="shared" si="517"/>
        <v>47818</v>
      </c>
      <c r="CL135" s="197"/>
      <c r="CM135" s="197"/>
      <c r="CN135" s="198"/>
      <c r="CO135" s="199">
        <v>2024</v>
      </c>
      <c r="CP135" s="199">
        <f t="shared" ref="CP135" si="518">CO135+1</f>
        <v>2025</v>
      </c>
      <c r="CQ135" s="199">
        <f t="shared" ref="CQ135" si="519">CP135+1</f>
        <v>2026</v>
      </c>
      <c r="CR135" s="199">
        <f t="shared" ref="CR135" si="520">CQ135+1</f>
        <v>2027</v>
      </c>
      <c r="CS135" s="199">
        <f t="shared" ref="CS135" si="521">CR135+1</f>
        <v>2028</v>
      </c>
      <c r="CT135" s="199">
        <f t="shared" ref="CT135" si="522">CS135+1</f>
        <v>2029</v>
      </c>
      <c r="CU135" s="199">
        <f t="shared" ref="CU135" si="523">CT135+1</f>
        <v>2030</v>
      </c>
    </row>
    <row r="136" spans="2:102" ht="15" x14ac:dyDescent="0.25">
      <c r="B136" s="327" t="s">
        <v>398</v>
      </c>
      <c r="C136" s="97"/>
      <c r="D136" s="97"/>
      <c r="E136" s="325"/>
      <c r="F136" s="325"/>
      <c r="G136" s="325"/>
      <c r="H136" s="325"/>
      <c r="R136" s="4">
        <f>SUM(R137:R140)</f>
        <v>10547.113810000001</v>
      </c>
      <c r="S136" s="4">
        <f t="shared" ref="S136" si="524">SUM(S137:S140)</f>
        <v>7033.7498900000001</v>
      </c>
      <c r="T136" s="4">
        <f t="shared" ref="T136" si="525">SUM(T137:T140)</f>
        <v>9868.3435399999998</v>
      </c>
      <c r="U136" s="4">
        <f t="shared" ref="U136" si="526">SUM(U137:U140)</f>
        <v>10928.97831</v>
      </c>
      <c r="V136" s="4">
        <f t="shared" ref="V136" si="527">SUM(V137:V140)</f>
        <v>17521.013849999999</v>
      </c>
      <c r="W136" s="4">
        <f t="shared" ref="W136" si="528">SUM(W137:W140)</f>
        <v>58161.206610000001</v>
      </c>
      <c r="X136" s="4">
        <f t="shared" ref="X136" si="529">SUM(X137:X140)</f>
        <v>14732.578</v>
      </c>
      <c r="Y136" s="4">
        <f t="shared" ref="Y136" si="530">SUM(Y137:Y140)</f>
        <v>6381</v>
      </c>
      <c r="Z136" s="4">
        <f t="shared" ref="Z136" si="531">SUM(Z137:Z140)</f>
        <v>7122</v>
      </c>
      <c r="AA136" s="4">
        <f t="shared" ref="AA136" si="532">SUM(AA137:AA140)</f>
        <v>9896</v>
      </c>
      <c r="AB136" s="4">
        <f t="shared" ref="AB136" si="533">SUM(AB137:AB140)</f>
        <v>5000</v>
      </c>
      <c r="AC136" s="4">
        <f t="shared" ref="AC136" si="534">SUM(AC137:AC140)</f>
        <v>6044</v>
      </c>
      <c r="AD136" s="4">
        <f t="shared" ref="AD136" si="535">SUM(AD137:AD140)</f>
        <v>5000</v>
      </c>
      <c r="AE136" s="4">
        <f t="shared" ref="AE136" si="536">SUM(AE137:AE140)</f>
        <v>5000</v>
      </c>
      <c r="AF136" s="4">
        <f t="shared" ref="AF136" si="537">SUM(AF137:AF140)</f>
        <v>8796</v>
      </c>
      <c r="AG136" s="4">
        <f t="shared" ref="AG136" si="538">SUM(AG137:AG140)</f>
        <v>2500</v>
      </c>
      <c r="AH136" s="4">
        <f t="shared" ref="AH136" si="539">SUM(AH137:AH140)</f>
        <v>2500</v>
      </c>
      <c r="AI136" s="4">
        <f t="shared" ref="AI136" si="540">SUM(AI137:AI140)</f>
        <v>0</v>
      </c>
      <c r="AJ136" s="4">
        <f t="shared" ref="AJ136" si="541">SUM(AJ137:AJ140)</f>
        <v>0</v>
      </c>
      <c r="AK136" s="4">
        <f t="shared" ref="AK136" si="542">SUM(AK137:AK140)</f>
        <v>0</v>
      </c>
      <c r="AL136" s="4">
        <f t="shared" ref="AL136" si="543">SUM(AL137:AL140)</f>
        <v>0</v>
      </c>
      <c r="AM136" s="4">
        <f t="shared" ref="AM136" si="544">SUM(AM137:AM140)</f>
        <v>0</v>
      </c>
      <c r="AN136" s="4">
        <f t="shared" ref="AN136" si="545">SUM(AN137:AN140)</f>
        <v>0</v>
      </c>
      <c r="AO136" s="4">
        <f t="shared" ref="AO136" si="546">SUM(AO137:AO140)</f>
        <v>0</v>
      </c>
      <c r="AP136" s="4">
        <f t="shared" ref="AP136" si="547">SUM(AP137:AP140)</f>
        <v>0</v>
      </c>
      <c r="AQ136" s="4">
        <f t="shared" ref="AQ136" si="548">SUM(AQ137:AQ140)</f>
        <v>0</v>
      </c>
      <c r="AR136" s="4">
        <f t="shared" ref="AR136" si="549">SUM(AR137:AR140)</f>
        <v>0</v>
      </c>
      <c r="AS136" s="4">
        <f t="shared" ref="AS136" si="550">SUM(AS137:AS140)</f>
        <v>0</v>
      </c>
      <c r="AT136" s="4">
        <f t="shared" ref="AT136" si="551">SUM(AT137:AT140)</f>
        <v>0</v>
      </c>
      <c r="AU136" s="4">
        <f t="shared" ref="AU136" si="552">SUM(AU137:AU140)</f>
        <v>0</v>
      </c>
      <c r="AV136" s="4">
        <f t="shared" ref="AV136" si="553">SUM(AV137:AV140)</f>
        <v>0</v>
      </c>
      <c r="AW136" s="4">
        <f t="shared" ref="AW136" si="554">SUM(AW137:AW140)</f>
        <v>0</v>
      </c>
      <c r="AX136" s="4">
        <f t="shared" ref="AX136" si="555">SUM(AX137:AX140)</f>
        <v>0</v>
      </c>
      <c r="AY136" s="4">
        <f t="shared" ref="AY136" si="556">SUM(AY137:AY140)</f>
        <v>0</v>
      </c>
      <c r="AZ136" s="4">
        <f t="shared" ref="AZ136" si="557">SUM(AZ137:AZ140)</f>
        <v>0</v>
      </c>
      <c r="BA136" s="4">
        <f t="shared" ref="BA136" si="558">SUM(BA137:BA140)</f>
        <v>0</v>
      </c>
      <c r="BB136" s="4">
        <f t="shared" ref="BB136" si="559">SUM(BB137:BB140)</f>
        <v>0</v>
      </c>
      <c r="BC136" s="4">
        <f t="shared" ref="BC136" si="560">SUM(BC137:BC140)</f>
        <v>0</v>
      </c>
      <c r="BD136" s="4">
        <f t="shared" ref="BD136" si="561">SUM(BD137:BD140)</f>
        <v>0</v>
      </c>
      <c r="BE136" s="4">
        <f t="shared" ref="BE136" si="562">SUM(BE137:BE140)</f>
        <v>0</v>
      </c>
      <c r="BF136" s="4">
        <f t="shared" ref="BF136" si="563">SUM(BF137:BF140)</f>
        <v>0</v>
      </c>
      <c r="BG136" s="4">
        <f t="shared" ref="BG136" si="564">SUM(BG137:BG140)</f>
        <v>0</v>
      </c>
      <c r="BH136" s="4">
        <f t="shared" ref="BH136" si="565">SUM(BH137:BH140)</f>
        <v>0</v>
      </c>
      <c r="BI136" s="4">
        <f t="shared" ref="BI136" si="566">SUM(BI137:BI140)</f>
        <v>0</v>
      </c>
      <c r="BJ136" s="4">
        <f t="shared" ref="BJ136" si="567">SUM(BJ137:BJ140)</f>
        <v>0</v>
      </c>
      <c r="BK136" s="4">
        <f t="shared" ref="BK136" si="568">SUM(BK137:BK140)</f>
        <v>0</v>
      </c>
      <c r="BL136" s="4">
        <f t="shared" ref="BL136" si="569">SUM(BL137:BL140)</f>
        <v>0</v>
      </c>
      <c r="BM136" s="4">
        <f t="shared" ref="BM136" si="570">SUM(BM137:BM140)</f>
        <v>0</v>
      </c>
      <c r="BN136" s="4">
        <f t="shared" ref="BN136" si="571">SUM(BN137:BN140)</f>
        <v>0</v>
      </c>
      <c r="BO136" s="4">
        <f t="shared" ref="BO136" si="572">SUM(BO137:BO140)</f>
        <v>0</v>
      </c>
      <c r="BP136" s="4">
        <f t="shared" ref="BP136" si="573">SUM(BP137:BP140)</f>
        <v>0</v>
      </c>
      <c r="BQ136" s="4">
        <f t="shared" ref="BQ136" si="574">SUM(BQ137:BQ140)</f>
        <v>0</v>
      </c>
      <c r="BR136" s="4">
        <f t="shared" ref="BR136" si="575">SUM(BR137:BR140)</f>
        <v>0</v>
      </c>
      <c r="BS136" s="4">
        <f t="shared" ref="BS136" si="576">SUM(BS137:BS140)</f>
        <v>0</v>
      </c>
      <c r="BT136" s="4">
        <f t="shared" ref="BT136" si="577">SUM(BT137:BT140)</f>
        <v>0</v>
      </c>
      <c r="BU136" s="4">
        <f t="shared" ref="BU136" si="578">SUM(BU137:BU140)</f>
        <v>0</v>
      </c>
      <c r="BV136" s="4">
        <f t="shared" ref="BV136" si="579">SUM(BV137:BV140)</f>
        <v>0</v>
      </c>
      <c r="BW136" s="4">
        <f t="shared" ref="BW136" si="580">SUM(BW137:BW140)</f>
        <v>0</v>
      </c>
      <c r="BX136" s="4">
        <f t="shared" ref="BX136:CK136" si="581">SUM(BX137:BX140)</f>
        <v>0</v>
      </c>
      <c r="BY136" s="4">
        <f t="shared" si="581"/>
        <v>0</v>
      </c>
      <c r="BZ136" s="4">
        <f t="shared" si="581"/>
        <v>0</v>
      </c>
      <c r="CA136" s="4">
        <f t="shared" si="581"/>
        <v>0</v>
      </c>
      <c r="CB136" s="4">
        <f t="shared" si="581"/>
        <v>0</v>
      </c>
      <c r="CC136" s="4">
        <f t="shared" si="581"/>
        <v>0</v>
      </c>
      <c r="CD136" s="4">
        <f t="shared" si="581"/>
        <v>0</v>
      </c>
      <c r="CE136" s="4">
        <f t="shared" si="581"/>
        <v>0</v>
      </c>
      <c r="CF136" s="4">
        <f t="shared" si="581"/>
        <v>0</v>
      </c>
      <c r="CG136" s="4">
        <f t="shared" si="581"/>
        <v>0</v>
      </c>
      <c r="CH136" s="4">
        <f t="shared" si="581"/>
        <v>0</v>
      </c>
      <c r="CI136" s="4">
        <f t="shared" si="581"/>
        <v>0</v>
      </c>
      <c r="CJ136" s="4">
        <f t="shared" si="581"/>
        <v>0</v>
      </c>
      <c r="CK136" s="4">
        <f t="shared" si="581"/>
        <v>0</v>
      </c>
      <c r="CO136" s="14">
        <f t="shared" ref="CO136:CS137" si="582">SUMIF($L$2:$CK$2,CO$3,$L136:$CK136)</f>
        <v>0</v>
      </c>
      <c r="CP136" s="14">
        <f t="shared" si="582"/>
        <v>163235.98401000001</v>
      </c>
      <c r="CQ136" s="14">
        <f t="shared" si="582"/>
        <v>23796</v>
      </c>
      <c r="CR136" s="14">
        <f t="shared" si="582"/>
        <v>0</v>
      </c>
      <c r="CS136" s="14">
        <f t="shared" si="582"/>
        <v>0</v>
      </c>
      <c r="CT136" s="14">
        <f t="shared" ref="CT136:CU137" si="583">SUMIF($L$2:$CK$2,CT$3,$L136:$CK136)</f>
        <v>0</v>
      </c>
      <c r="CU136" s="14">
        <f t="shared" si="583"/>
        <v>0</v>
      </c>
    </row>
    <row r="137" spans="2:102" ht="15" x14ac:dyDescent="0.25">
      <c r="B137" s="326" t="s">
        <v>391</v>
      </c>
      <c r="C137" s="97" t="s">
        <v>392</v>
      </c>
      <c r="D137" s="97"/>
      <c r="R137" s="2">
        <v>10547.113810000001</v>
      </c>
      <c r="S137" s="2">
        <v>7033.7498900000001</v>
      </c>
      <c r="T137" s="2">
        <v>9868.3435399999998</v>
      </c>
      <c r="U137" s="2">
        <v>10928.97831</v>
      </c>
      <c r="V137" s="2">
        <v>14901.29585</v>
      </c>
      <c r="W137" s="2">
        <v>9410.3027200000015</v>
      </c>
      <c r="X137" s="2">
        <v>5560</v>
      </c>
      <c r="Y137" s="2">
        <v>5200</v>
      </c>
      <c r="Z137" s="2">
        <f>7000-3393</f>
        <v>3607</v>
      </c>
      <c r="AA137" s="2">
        <v>5000</v>
      </c>
      <c r="AB137" s="2">
        <f t="shared" ref="AB137:AF137" si="584">AA137</f>
        <v>5000</v>
      </c>
      <c r="AC137" s="2">
        <f t="shared" si="584"/>
        <v>5000</v>
      </c>
      <c r="AD137" s="2">
        <f t="shared" si="584"/>
        <v>5000</v>
      </c>
      <c r="AE137" s="2">
        <f t="shared" si="584"/>
        <v>5000</v>
      </c>
      <c r="AF137" s="2">
        <f t="shared" si="584"/>
        <v>5000</v>
      </c>
      <c r="AG137" s="2">
        <v>2500</v>
      </c>
      <c r="AH137" s="2">
        <f>AG137</f>
        <v>2500</v>
      </c>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O137" s="10">
        <f t="shared" si="582"/>
        <v>0</v>
      </c>
      <c r="CP137" s="10">
        <f t="shared" si="582"/>
        <v>92056.784119999997</v>
      </c>
      <c r="CQ137" s="10">
        <f t="shared" si="582"/>
        <v>20000</v>
      </c>
      <c r="CR137" s="10">
        <f t="shared" si="582"/>
        <v>0</v>
      </c>
      <c r="CS137" s="10">
        <f t="shared" si="582"/>
        <v>0</v>
      </c>
      <c r="CT137" s="10">
        <f t="shared" si="583"/>
        <v>0</v>
      </c>
      <c r="CU137" s="10">
        <f t="shared" si="583"/>
        <v>0</v>
      </c>
    </row>
    <row r="138" spans="2:102" ht="15" x14ac:dyDescent="0.25">
      <c r="B138" s="326" t="s">
        <v>391</v>
      </c>
      <c r="C138" s="97" t="s">
        <v>392</v>
      </c>
      <c r="D138" s="97"/>
      <c r="R138" s="2"/>
      <c r="S138" s="2"/>
      <c r="T138" s="2"/>
      <c r="U138" s="2"/>
      <c r="V138" s="2"/>
      <c r="W138" s="2"/>
      <c r="X138" s="2"/>
      <c r="Y138" s="2"/>
      <c r="Z138" s="2"/>
      <c r="AA138" s="2">
        <v>4896</v>
      </c>
      <c r="AB138" s="2"/>
      <c r="AC138" s="2"/>
      <c r="AD138" s="2"/>
      <c r="AE138" s="2"/>
      <c r="AF138" s="2">
        <f>8692-4896</f>
        <v>3796</v>
      </c>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O138" s="10"/>
      <c r="CP138" s="10"/>
      <c r="CQ138" s="10"/>
      <c r="CR138" s="10"/>
      <c r="CS138" s="10"/>
      <c r="CT138" s="10"/>
      <c r="CU138" s="10"/>
    </row>
    <row r="139" spans="2:102" ht="15" x14ac:dyDescent="0.25">
      <c r="B139" s="326" t="s">
        <v>386</v>
      </c>
      <c r="C139" s="97" t="s">
        <v>403</v>
      </c>
      <c r="D139" s="97"/>
      <c r="R139" s="2">
        <v>0</v>
      </c>
      <c r="S139" s="2">
        <v>0</v>
      </c>
      <c r="T139" s="2">
        <v>0</v>
      </c>
      <c r="U139" s="2">
        <v>0</v>
      </c>
      <c r="V139" s="2">
        <v>2619.7179999999998</v>
      </c>
      <c r="W139" s="2">
        <v>48750.903890000001</v>
      </c>
      <c r="X139" s="2">
        <f>14732.578-5560</f>
        <v>9172.5779999999995</v>
      </c>
      <c r="Y139" s="2">
        <v>1181</v>
      </c>
      <c r="Z139" s="2">
        <v>3515</v>
      </c>
      <c r="AA139" s="2"/>
      <c r="AB139" s="2"/>
      <c r="AC139" s="2">
        <f>52197-51153</f>
        <v>1044</v>
      </c>
      <c r="AG139" s="2"/>
      <c r="CO139" s="10">
        <f t="shared" ref="CO139:CS140" si="585">SUMIF($L$2:$CK$2,CO$3,$L139:$CK139)</f>
        <v>0</v>
      </c>
      <c r="CP139" s="10">
        <f t="shared" si="585"/>
        <v>66283.199890000004</v>
      </c>
      <c r="CQ139" s="10">
        <f t="shared" si="585"/>
        <v>0</v>
      </c>
      <c r="CR139" s="10">
        <f t="shared" si="585"/>
        <v>0</v>
      </c>
      <c r="CS139" s="10">
        <f t="shared" si="585"/>
        <v>0</v>
      </c>
      <c r="CT139" s="10">
        <f t="shared" ref="CT139:CU140" si="586">SUMIF($L$2:$CK$2,CT$3,$L139:$CK139)</f>
        <v>0</v>
      </c>
      <c r="CU139" s="10">
        <f t="shared" si="586"/>
        <v>0</v>
      </c>
    </row>
    <row r="140" spans="2:102" ht="15" x14ac:dyDescent="0.25">
      <c r="B140" s="326" t="s">
        <v>159</v>
      </c>
      <c r="C140" s="97" t="s">
        <v>403</v>
      </c>
      <c r="D140" s="97"/>
      <c r="R140" s="2">
        <v>0</v>
      </c>
      <c r="S140" s="2">
        <v>0</v>
      </c>
      <c r="T140" s="2">
        <v>0</v>
      </c>
      <c r="U140" s="2">
        <v>0</v>
      </c>
      <c r="V140" s="2">
        <v>0</v>
      </c>
      <c r="W140" s="2">
        <v>0</v>
      </c>
      <c r="CO140" s="10">
        <f t="shared" si="585"/>
        <v>0</v>
      </c>
      <c r="CP140" s="10">
        <f t="shared" si="585"/>
        <v>0</v>
      </c>
      <c r="CQ140" s="10">
        <f t="shared" si="585"/>
        <v>0</v>
      </c>
      <c r="CR140" s="10">
        <f t="shared" si="585"/>
        <v>0</v>
      </c>
      <c r="CS140" s="10">
        <f t="shared" si="585"/>
        <v>0</v>
      </c>
      <c r="CT140" s="10">
        <f t="shared" si="586"/>
        <v>0</v>
      </c>
      <c r="CU140" s="10">
        <f t="shared" si="586"/>
        <v>0</v>
      </c>
    </row>
    <row r="141" spans="2:102" ht="15" x14ac:dyDescent="0.25">
      <c r="B141" s="327" t="s">
        <v>399</v>
      </c>
      <c r="C141" s="97"/>
      <c r="D141" s="97"/>
      <c r="R141" s="4">
        <f>SUM(R142:R145)</f>
        <v>39145.66936</v>
      </c>
      <c r="S141" s="4">
        <f t="shared" ref="S141" si="587">SUM(S142:S145)</f>
        <v>39346.867680000003</v>
      </c>
      <c r="T141" s="4">
        <f t="shared" ref="T141" si="588">SUM(T142:T145)</f>
        <v>38111.830020000009</v>
      </c>
      <c r="U141" s="4">
        <f t="shared" ref="U141" si="589">SUM(U142:U145)</f>
        <v>38634.474860000002</v>
      </c>
      <c r="V141" s="4">
        <f t="shared" ref="V141" si="590">SUM(V142:V145)</f>
        <v>41007.696500000005</v>
      </c>
      <c r="W141" s="4">
        <f t="shared" ref="W141" si="591">SUM(W142:W145)</f>
        <v>69103.755510000017</v>
      </c>
      <c r="X141" s="4">
        <f t="shared" ref="X141" si="592">SUM(X142:X145)</f>
        <v>74720.556510000009</v>
      </c>
      <c r="Y141" s="4">
        <f t="shared" ref="Y141" si="593">SUM(Y142:Y145)</f>
        <v>73289.432510000013</v>
      </c>
      <c r="Z141" s="4">
        <f t="shared" ref="Z141" si="594">SUM(Z142:Z145)</f>
        <v>73993.399907272746</v>
      </c>
      <c r="AA141" s="4">
        <f t="shared" ref="AA141" si="595">SUM(AA142:AA145)</f>
        <v>81284.399907272746</v>
      </c>
      <c r="AB141" s="4">
        <f t="shared" ref="AB141" si="596">SUM(AB142:AB145)</f>
        <v>80834.899907272746</v>
      </c>
      <c r="AC141" s="4">
        <f t="shared" ref="AC141" si="597">SUM(AC142:AC145)</f>
        <v>77092.899907272746</v>
      </c>
      <c r="AD141" s="4">
        <f t="shared" ref="AD141" si="598">SUM(AD142:AD145)</f>
        <v>79592.899907272746</v>
      </c>
      <c r="AE141" s="4">
        <f t="shared" ref="AE141" si="599">SUM(AE142:AE145)</f>
        <v>82092.899907272746</v>
      </c>
      <c r="AF141" s="4">
        <f t="shared" ref="AF141" si="600">SUM(AF142:AF145)</f>
        <v>85888.899907272746</v>
      </c>
      <c r="AG141" s="4">
        <f t="shared" ref="AG141" si="601">SUM(AG142:AG145)</f>
        <v>77446.899907272746</v>
      </c>
      <c r="AH141" s="4">
        <f t="shared" ref="AH141" si="602">SUM(AH142:AH145)</f>
        <v>76324.899907272746</v>
      </c>
      <c r="AI141" s="4">
        <f t="shared" ref="AI141" si="603">SUM(AI142:AI145)</f>
        <v>72702.899907272746</v>
      </c>
      <c r="AJ141" s="4">
        <f t="shared" ref="AJ141" si="604">SUM(AJ142:AJ145)</f>
        <v>69080.899907272746</v>
      </c>
      <c r="AK141" s="4">
        <f t="shared" ref="AK141" si="605">SUM(AK142:AK145)</f>
        <v>65458.899907272738</v>
      </c>
      <c r="AL141" s="4">
        <f t="shared" ref="AL141" si="606">SUM(AL142:AL145)</f>
        <v>61836.899907272738</v>
      </c>
      <c r="AM141" s="4">
        <f t="shared" ref="AM141" si="607">SUM(AM142:AM145)</f>
        <v>58214.899907272738</v>
      </c>
      <c r="AN141" s="4">
        <f t="shared" ref="AN141" si="608">SUM(AN142:AN145)</f>
        <v>57092.899907272738</v>
      </c>
      <c r="AO141" s="4">
        <f t="shared" ref="AO141" si="609">SUM(AO142:AO145)</f>
        <v>55970.899907272738</v>
      </c>
      <c r="AP141" s="4">
        <f t="shared" ref="AP141" si="610">SUM(AP142:AP145)</f>
        <v>54848.899907272738</v>
      </c>
      <c r="AQ141" s="4">
        <f t="shared" ref="AQ141" si="611">SUM(AQ142:AQ145)</f>
        <v>53726.899907272738</v>
      </c>
      <c r="AR141" s="4">
        <f t="shared" ref="AR141" si="612">SUM(AR142:AR145)</f>
        <v>52604.899907272738</v>
      </c>
      <c r="AS141" s="4">
        <f t="shared" ref="AS141" si="613">SUM(AS142:AS145)</f>
        <v>50034.233240606074</v>
      </c>
      <c r="AT141" s="4">
        <f t="shared" ref="AT141" si="614">SUM(AT142:AT145)</f>
        <v>47463.566573939403</v>
      </c>
      <c r="AU141" s="4">
        <f t="shared" ref="AU141" si="615">SUM(AU142:AU145)</f>
        <v>44892.899907272738</v>
      </c>
      <c r="AV141" s="4">
        <f t="shared" ref="AV141" si="616">SUM(AV142:AV145)</f>
        <v>42322.233240606074</v>
      </c>
      <c r="AW141" s="4">
        <f t="shared" ref="AW141" si="617">SUM(AW142:AW145)</f>
        <v>39751.566573939403</v>
      </c>
      <c r="AX141" s="4">
        <f t="shared" ref="AX141" si="618">SUM(AX142:AX145)</f>
        <v>37180.899907272738</v>
      </c>
      <c r="AY141" s="4">
        <f t="shared" ref="AY141" si="619">SUM(AY142:AY145)</f>
        <v>36058.899907272738</v>
      </c>
      <c r="AZ141" s="4">
        <f t="shared" ref="AZ141" si="620">SUM(AZ142:AZ145)</f>
        <v>34936.899907272738</v>
      </c>
      <c r="BA141" s="4">
        <f t="shared" ref="BA141" si="621">SUM(BA142:BA145)</f>
        <v>33814.899907272738</v>
      </c>
      <c r="BB141" s="4">
        <f t="shared" ref="BB141" si="622">SUM(BB142:BB145)</f>
        <v>28087.991249818187</v>
      </c>
      <c r="BC141" s="4">
        <f t="shared" ref="BC141" si="623">SUM(BC142:BC145)</f>
        <v>22361.08259236364</v>
      </c>
      <c r="BD141" s="4">
        <f t="shared" ref="BD141" si="624">SUM(BD142:BD145)</f>
        <v>16634.173934909093</v>
      </c>
      <c r="BE141" s="4">
        <f t="shared" ref="BE141" si="625">SUM(BE142:BE145)</f>
        <v>10907.265277454546</v>
      </c>
      <c r="BF141" s="4">
        <f t="shared" ref="BF141" si="626">SUM(BF142:BF145)</f>
        <v>5180.3566200000032</v>
      </c>
      <c r="BG141" s="4">
        <f t="shared" ref="BG141" si="627">SUM(BG142:BG145)</f>
        <v>5180.3566200000032</v>
      </c>
      <c r="BH141" s="4">
        <f t="shared" ref="BH141" si="628">SUM(BH142:BH145)</f>
        <v>5180.3566200000032</v>
      </c>
      <c r="BI141" s="4">
        <f t="shared" ref="BI141" si="629">SUM(BI142:BI145)</f>
        <v>5180.3566200000032</v>
      </c>
      <c r="BJ141" s="4">
        <f t="shared" ref="BJ141" si="630">SUM(BJ142:BJ145)</f>
        <v>5180.3566200000032</v>
      </c>
      <c r="BK141" s="4">
        <f t="shared" ref="BK141" si="631">SUM(BK142:BK145)</f>
        <v>5180.3566200000032</v>
      </c>
      <c r="BL141" s="4">
        <f t="shared" ref="BL141" si="632">SUM(BL142:BL145)</f>
        <v>5180.3566200000032</v>
      </c>
      <c r="BM141" s="4">
        <f t="shared" ref="BM141" si="633">SUM(BM142:BM145)</f>
        <v>5180.3566200000032</v>
      </c>
      <c r="BN141" s="4">
        <f t="shared" ref="BN141" si="634">SUM(BN142:BN145)</f>
        <v>5180.3566200000032</v>
      </c>
      <c r="BO141" s="4">
        <f t="shared" ref="BO141" si="635">SUM(BO142:BO145)</f>
        <v>5180.3566200000032</v>
      </c>
      <c r="BP141" s="4">
        <f t="shared" ref="BP141" si="636">SUM(BP142:BP145)</f>
        <v>5180.3566200000032</v>
      </c>
      <c r="BQ141" s="4">
        <f t="shared" ref="BQ141" si="637">SUM(BQ142:BQ145)</f>
        <v>5180.3566200000032</v>
      </c>
      <c r="BR141" s="4">
        <f t="shared" ref="BR141" si="638">SUM(BR142:BR145)</f>
        <v>5180.3566200000032</v>
      </c>
      <c r="BS141" s="4">
        <f t="shared" ref="BS141" si="639">SUM(BS142:BS145)</f>
        <v>5180.3566200000032</v>
      </c>
      <c r="BT141" s="4">
        <f t="shared" ref="BT141" si="640">SUM(BT142:BT145)</f>
        <v>5180.3566200000032</v>
      </c>
      <c r="BU141" s="4">
        <f t="shared" ref="BU141" si="641">SUM(BU142:BU145)</f>
        <v>5180.3566200000032</v>
      </c>
      <c r="BV141" s="4">
        <f t="shared" ref="BV141" si="642">SUM(BV142:BV145)</f>
        <v>5180.3566200000032</v>
      </c>
      <c r="BW141" s="4">
        <f t="shared" ref="BW141" si="643">SUM(BW142:BW145)</f>
        <v>5180.3566200000032</v>
      </c>
      <c r="BX141" s="4">
        <f t="shared" ref="BX141:CK141" si="644">SUM(BX142:BX145)</f>
        <v>5180.3566200000032</v>
      </c>
      <c r="BY141" s="4">
        <f t="shared" si="644"/>
        <v>5180.3566200000032</v>
      </c>
      <c r="BZ141" s="4">
        <f t="shared" si="644"/>
        <v>5180.3566200000032</v>
      </c>
      <c r="CA141" s="4">
        <f t="shared" si="644"/>
        <v>5180.3566200000032</v>
      </c>
      <c r="CB141" s="4">
        <f t="shared" si="644"/>
        <v>5180.3566200000032</v>
      </c>
      <c r="CC141" s="4">
        <f t="shared" si="644"/>
        <v>5180.3566200000032</v>
      </c>
      <c r="CD141" s="4">
        <f t="shared" si="644"/>
        <v>5180.3566200000032</v>
      </c>
      <c r="CE141" s="4">
        <f t="shared" si="644"/>
        <v>5180.3566200000032</v>
      </c>
      <c r="CF141" s="4">
        <f t="shared" si="644"/>
        <v>5180.3566200000032</v>
      </c>
      <c r="CG141" s="4">
        <f t="shared" si="644"/>
        <v>5180.3566200000032</v>
      </c>
      <c r="CH141" s="4">
        <f t="shared" si="644"/>
        <v>5180.3566200000032</v>
      </c>
      <c r="CI141" s="4">
        <f t="shared" si="644"/>
        <v>5180.3566200000032</v>
      </c>
      <c r="CJ141" s="4">
        <f t="shared" si="644"/>
        <v>5180.3566200000032</v>
      </c>
      <c r="CK141" s="4">
        <f t="shared" si="644"/>
        <v>5180.3566200000032</v>
      </c>
      <c r="CO141" s="14">
        <f>SUM(CO142:CO144)</f>
        <v>0</v>
      </c>
      <c r="CP141" s="14">
        <f t="shared" ref="CP141" ca="1" si="645">SUM(CP142:CP144)</f>
        <v>72196.676807272743</v>
      </c>
      <c r="CQ141" s="14">
        <f t="shared" ref="CQ141" ca="1" si="646">SUM(CQ142:CQ144)</f>
        <v>47278.676807272735</v>
      </c>
      <c r="CR141" s="14">
        <f t="shared" ref="CR141" ca="1" si="647">SUM(CR142:CR144)</f>
        <v>33814.676807272735</v>
      </c>
      <c r="CS141" s="14">
        <f t="shared" ref="CS141:CU141" ca="1" si="648">SUM(CS142:CS144)</f>
        <v>5180.133520000003</v>
      </c>
      <c r="CT141" s="14">
        <f t="shared" ca="1" si="648"/>
        <v>5180.133520000003</v>
      </c>
      <c r="CU141" s="14">
        <f t="shared" ca="1" si="648"/>
        <v>5180.133520000003</v>
      </c>
    </row>
    <row r="142" spans="2:102" ht="15" x14ac:dyDescent="0.25">
      <c r="B142" s="326" t="s">
        <v>391</v>
      </c>
      <c r="C142" s="97" t="s">
        <v>392</v>
      </c>
      <c r="D142" s="97"/>
      <c r="R142" s="2">
        <f>R137+8660+18105</f>
        <v>37312.113810000003</v>
      </c>
      <c r="S142" s="2">
        <f t="shared" ref="S142:AX142" si="649">R142+S137-S152</f>
        <v>37957.756460000004</v>
      </c>
      <c r="T142" s="2">
        <f t="shared" si="649"/>
        <v>37000.496580000006</v>
      </c>
      <c r="U142" s="2">
        <f t="shared" si="649"/>
        <v>37800.919200000004</v>
      </c>
      <c r="V142" s="2">
        <f t="shared" si="649"/>
        <v>37832.200620000003</v>
      </c>
      <c r="W142" s="2">
        <f t="shared" si="649"/>
        <v>18105.133520000003</v>
      </c>
      <c r="X142" s="2">
        <f t="shared" si="649"/>
        <v>19189.133520000003</v>
      </c>
      <c r="Y142" s="2">
        <f t="shared" si="649"/>
        <v>20389.133520000003</v>
      </c>
      <c r="Z142" s="399">
        <f t="shared" si="649"/>
        <v>19996.133520000003</v>
      </c>
      <c r="AA142" s="2">
        <f t="shared" si="649"/>
        <v>22391.133520000003</v>
      </c>
      <c r="AB142" s="2">
        <f t="shared" si="649"/>
        <v>24786.133520000003</v>
      </c>
      <c r="AC142" s="398">
        <f t="shared" si="649"/>
        <v>20000.133520000003</v>
      </c>
      <c r="AD142" s="2">
        <f t="shared" si="649"/>
        <v>22500.133520000003</v>
      </c>
      <c r="AE142" s="2">
        <f t="shared" si="649"/>
        <v>25000.133520000003</v>
      </c>
      <c r="AF142" s="2">
        <f>AE142+AF137-AF152</f>
        <v>25000.133520000003</v>
      </c>
      <c r="AG142" s="2">
        <f t="shared" si="649"/>
        <v>17680.133520000003</v>
      </c>
      <c r="AH142" s="2">
        <f t="shared" si="649"/>
        <v>17680.133520000003</v>
      </c>
      <c r="AI142" s="2">
        <f t="shared" si="649"/>
        <v>15180.133520000003</v>
      </c>
      <c r="AJ142" s="2">
        <f t="shared" si="649"/>
        <v>12680.133520000003</v>
      </c>
      <c r="AK142" s="2">
        <f t="shared" si="649"/>
        <v>10180.133520000003</v>
      </c>
      <c r="AL142" s="2">
        <f t="shared" si="649"/>
        <v>7680.133520000003</v>
      </c>
      <c r="AM142" s="2">
        <f t="shared" si="649"/>
        <v>5180.133520000003</v>
      </c>
      <c r="AN142" s="2">
        <f t="shared" si="649"/>
        <v>5180.133520000003</v>
      </c>
      <c r="AO142" s="2">
        <f t="shared" si="649"/>
        <v>5180.133520000003</v>
      </c>
      <c r="AP142" s="2">
        <f t="shared" si="649"/>
        <v>5180.133520000003</v>
      </c>
      <c r="AQ142" s="2">
        <f t="shared" si="649"/>
        <v>5180.133520000003</v>
      </c>
      <c r="AR142" s="2">
        <f t="shared" si="649"/>
        <v>5180.133520000003</v>
      </c>
      <c r="AS142" s="2">
        <f t="shared" si="649"/>
        <v>5180.133520000003</v>
      </c>
      <c r="AT142" s="2">
        <f t="shared" si="649"/>
        <v>5180.133520000003</v>
      </c>
      <c r="AU142" s="2">
        <f t="shared" si="649"/>
        <v>5180.133520000003</v>
      </c>
      <c r="AV142" s="2">
        <f t="shared" si="649"/>
        <v>5180.133520000003</v>
      </c>
      <c r="AW142" s="2">
        <f t="shared" si="649"/>
        <v>5180.133520000003</v>
      </c>
      <c r="AX142" s="2">
        <f t="shared" si="649"/>
        <v>5180.133520000003</v>
      </c>
      <c r="AY142" s="2">
        <f t="shared" ref="AY142:BX142" si="650">AX142+AY137-AY152</f>
        <v>5180.133520000003</v>
      </c>
      <c r="AZ142" s="2">
        <f t="shared" si="650"/>
        <v>5180.133520000003</v>
      </c>
      <c r="BA142" s="2">
        <f t="shared" si="650"/>
        <v>5180.133520000003</v>
      </c>
      <c r="BB142" s="2">
        <f t="shared" si="650"/>
        <v>5180.133520000003</v>
      </c>
      <c r="BC142" s="2">
        <f t="shared" si="650"/>
        <v>5180.133520000003</v>
      </c>
      <c r="BD142" s="2">
        <f t="shared" si="650"/>
        <v>5180.133520000003</v>
      </c>
      <c r="BE142" s="2">
        <f t="shared" si="650"/>
        <v>5180.133520000003</v>
      </c>
      <c r="BF142" s="2">
        <f t="shared" si="650"/>
        <v>5180.133520000003</v>
      </c>
      <c r="BG142" s="2">
        <f t="shared" si="650"/>
        <v>5180.133520000003</v>
      </c>
      <c r="BH142" s="2">
        <f t="shared" si="650"/>
        <v>5180.133520000003</v>
      </c>
      <c r="BI142" s="2">
        <f t="shared" si="650"/>
        <v>5180.133520000003</v>
      </c>
      <c r="BJ142" s="2">
        <f t="shared" si="650"/>
        <v>5180.133520000003</v>
      </c>
      <c r="BK142" s="2">
        <f t="shared" si="650"/>
        <v>5180.133520000003</v>
      </c>
      <c r="BL142" s="2">
        <f t="shared" si="650"/>
        <v>5180.133520000003</v>
      </c>
      <c r="BM142" s="2">
        <f t="shared" si="650"/>
        <v>5180.133520000003</v>
      </c>
      <c r="BN142" s="2">
        <f t="shared" si="650"/>
        <v>5180.133520000003</v>
      </c>
      <c r="BO142" s="2">
        <f t="shared" si="650"/>
        <v>5180.133520000003</v>
      </c>
      <c r="BP142" s="2">
        <f t="shared" si="650"/>
        <v>5180.133520000003</v>
      </c>
      <c r="BQ142" s="2">
        <f t="shared" si="650"/>
        <v>5180.133520000003</v>
      </c>
      <c r="BR142" s="2">
        <f t="shared" si="650"/>
        <v>5180.133520000003</v>
      </c>
      <c r="BS142" s="2">
        <f t="shared" si="650"/>
        <v>5180.133520000003</v>
      </c>
      <c r="BT142" s="2">
        <f t="shared" si="650"/>
        <v>5180.133520000003</v>
      </c>
      <c r="BU142" s="2">
        <f t="shared" si="650"/>
        <v>5180.133520000003</v>
      </c>
      <c r="BV142" s="2">
        <f t="shared" si="650"/>
        <v>5180.133520000003</v>
      </c>
      <c r="BW142" s="2">
        <f t="shared" si="650"/>
        <v>5180.133520000003</v>
      </c>
      <c r="BX142" s="2">
        <f t="shared" si="650"/>
        <v>5180.133520000003</v>
      </c>
      <c r="BY142" s="2">
        <f t="shared" ref="BY142:BY145" si="651">BX142+BY137-BY152</f>
        <v>5180.133520000003</v>
      </c>
      <c r="BZ142" s="2">
        <f t="shared" ref="BZ142:BZ145" si="652">BY142+BZ137-BZ152</f>
        <v>5180.133520000003</v>
      </c>
      <c r="CA142" s="2">
        <f t="shared" ref="CA142:CA145" si="653">BZ142+CA137-CA152</f>
        <v>5180.133520000003</v>
      </c>
      <c r="CB142" s="2">
        <f t="shared" ref="CB142:CB145" si="654">CA142+CB137-CB152</f>
        <v>5180.133520000003</v>
      </c>
      <c r="CC142" s="2">
        <f t="shared" ref="CC142:CC145" si="655">CB142+CC137-CC152</f>
        <v>5180.133520000003</v>
      </c>
      <c r="CD142" s="2">
        <f t="shared" ref="CD142:CD145" si="656">CC142+CD137-CD152</f>
        <v>5180.133520000003</v>
      </c>
      <c r="CE142" s="2">
        <f t="shared" ref="CE142:CE145" si="657">CD142+CE137-CE152</f>
        <v>5180.133520000003</v>
      </c>
      <c r="CF142" s="2">
        <f t="shared" ref="CF142:CF145" si="658">CE142+CF137-CF152</f>
        <v>5180.133520000003</v>
      </c>
      <c r="CG142" s="2">
        <f t="shared" ref="CG142:CG145" si="659">CF142+CG137-CG152</f>
        <v>5180.133520000003</v>
      </c>
      <c r="CH142" s="2">
        <f t="shared" ref="CH142:CH145" si="660">CG142+CH137-CH152</f>
        <v>5180.133520000003</v>
      </c>
      <c r="CI142" s="2">
        <f t="shared" ref="CI142:CI145" si="661">CH142+CI137-CI152</f>
        <v>5180.133520000003</v>
      </c>
      <c r="CJ142" s="2">
        <f t="shared" ref="CJ142:CJ145" si="662">CI142+CJ137-CJ152</f>
        <v>5180.133520000003</v>
      </c>
      <c r="CK142" s="2">
        <f t="shared" ref="CK142:CK145" si="663">CJ142+CK137-CK152</f>
        <v>5180.133520000003</v>
      </c>
      <c r="CO142" s="10">
        <f>Q142</f>
        <v>0</v>
      </c>
      <c r="CP142" s="10">
        <f ca="1">OFFSET($Q142,0,12)</f>
        <v>20000.133520000003</v>
      </c>
      <c r="CQ142" s="10">
        <f ca="1">OFFSET($Q142,0,24)</f>
        <v>5180.133520000003</v>
      </c>
      <c r="CR142" s="10">
        <f ca="1">OFFSET($Q142,0,36)</f>
        <v>5180.133520000003</v>
      </c>
      <c r="CS142" s="10">
        <f ca="1">OFFSET($Q142,0,48)</f>
        <v>5180.133520000003</v>
      </c>
      <c r="CT142" s="10">
        <f t="shared" ref="CT142:CU142" ca="1" si="664">OFFSET($Q142,0,48)</f>
        <v>5180.133520000003</v>
      </c>
      <c r="CU142" s="10">
        <f t="shared" ca="1" si="664"/>
        <v>5180.133520000003</v>
      </c>
    </row>
    <row r="143" spans="2:102" ht="15" x14ac:dyDescent="0.25">
      <c r="B143" s="326" t="s">
        <v>391</v>
      </c>
      <c r="C143" s="97" t="s">
        <v>392</v>
      </c>
      <c r="D143" s="97"/>
      <c r="R143" s="2"/>
      <c r="S143" s="2"/>
      <c r="T143" s="2"/>
      <c r="U143" s="2"/>
      <c r="V143" s="2"/>
      <c r="W143" s="2"/>
      <c r="X143" s="2"/>
      <c r="Y143" s="2"/>
      <c r="Z143" s="2"/>
      <c r="AA143" s="2">
        <f t="shared" ref="AA143:AC143" si="665">Z143+AA138-AA153</f>
        <v>4896</v>
      </c>
      <c r="AB143" s="2">
        <f t="shared" si="665"/>
        <v>4896</v>
      </c>
      <c r="AC143" s="398">
        <f t="shared" si="665"/>
        <v>4896</v>
      </c>
      <c r="AD143" s="2">
        <f>AC143+AD138-AD153</f>
        <v>4896</v>
      </c>
      <c r="AE143" s="2">
        <f t="shared" ref="AE143:BX143" si="666">AD143+AE138-AE153</f>
        <v>4896</v>
      </c>
      <c r="AF143" s="2">
        <f t="shared" si="666"/>
        <v>8692</v>
      </c>
      <c r="AG143" s="2">
        <f t="shared" si="666"/>
        <v>8692</v>
      </c>
      <c r="AH143" s="2">
        <f t="shared" si="666"/>
        <v>8692</v>
      </c>
      <c r="AI143" s="2">
        <f t="shared" si="666"/>
        <v>8692</v>
      </c>
      <c r="AJ143" s="2">
        <f t="shared" si="666"/>
        <v>8692</v>
      </c>
      <c r="AK143" s="2">
        <f t="shared" si="666"/>
        <v>8692</v>
      </c>
      <c r="AL143" s="2">
        <f t="shared" si="666"/>
        <v>8692</v>
      </c>
      <c r="AM143" s="2">
        <f t="shared" si="666"/>
        <v>8692</v>
      </c>
      <c r="AN143" s="2">
        <f t="shared" si="666"/>
        <v>8692</v>
      </c>
      <c r="AO143" s="2">
        <f t="shared" si="666"/>
        <v>8692</v>
      </c>
      <c r="AP143" s="2">
        <f t="shared" si="666"/>
        <v>8692</v>
      </c>
      <c r="AQ143" s="2">
        <f t="shared" si="666"/>
        <v>8692</v>
      </c>
      <c r="AR143" s="2">
        <f t="shared" si="666"/>
        <v>8692</v>
      </c>
      <c r="AS143" s="2">
        <f t="shared" si="666"/>
        <v>7243.333333333333</v>
      </c>
      <c r="AT143" s="2">
        <f t="shared" si="666"/>
        <v>5794.6666666666661</v>
      </c>
      <c r="AU143" s="2">
        <f t="shared" si="666"/>
        <v>4345.9999999999991</v>
      </c>
      <c r="AV143" s="2">
        <f t="shared" si="666"/>
        <v>2897.3333333333321</v>
      </c>
      <c r="AW143" s="2">
        <f t="shared" si="666"/>
        <v>1448.6666666666654</v>
      </c>
      <c r="AX143" s="2">
        <f t="shared" si="666"/>
        <v>0</v>
      </c>
      <c r="AY143" s="2">
        <f t="shared" si="666"/>
        <v>0</v>
      </c>
      <c r="AZ143" s="2">
        <f t="shared" si="666"/>
        <v>0</v>
      </c>
      <c r="BA143" s="2">
        <f t="shared" si="666"/>
        <v>0</v>
      </c>
      <c r="BB143" s="2">
        <f t="shared" si="666"/>
        <v>0</v>
      </c>
      <c r="BC143" s="2">
        <f t="shared" si="666"/>
        <v>0</v>
      </c>
      <c r="BD143" s="2">
        <f t="shared" si="666"/>
        <v>0</v>
      </c>
      <c r="BE143" s="2">
        <f t="shared" si="666"/>
        <v>0</v>
      </c>
      <c r="BF143" s="2">
        <f t="shared" si="666"/>
        <v>0</v>
      </c>
      <c r="BG143" s="2">
        <f t="shared" si="666"/>
        <v>0</v>
      </c>
      <c r="BH143" s="2">
        <f t="shared" si="666"/>
        <v>0</v>
      </c>
      <c r="BI143" s="2">
        <f t="shared" si="666"/>
        <v>0</v>
      </c>
      <c r="BJ143" s="2">
        <f t="shared" si="666"/>
        <v>0</v>
      </c>
      <c r="BK143" s="2">
        <f t="shared" si="666"/>
        <v>0</v>
      </c>
      <c r="BL143" s="2">
        <f t="shared" si="666"/>
        <v>0</v>
      </c>
      <c r="BM143" s="2">
        <f t="shared" si="666"/>
        <v>0</v>
      </c>
      <c r="BN143" s="2">
        <f t="shared" si="666"/>
        <v>0</v>
      </c>
      <c r="BO143" s="2">
        <f t="shared" si="666"/>
        <v>0</v>
      </c>
      <c r="BP143" s="2">
        <f t="shared" si="666"/>
        <v>0</v>
      </c>
      <c r="BQ143" s="2">
        <f t="shared" si="666"/>
        <v>0</v>
      </c>
      <c r="BR143" s="2">
        <f t="shared" si="666"/>
        <v>0</v>
      </c>
      <c r="BS143" s="2">
        <f t="shared" si="666"/>
        <v>0</v>
      </c>
      <c r="BT143" s="2">
        <f t="shared" si="666"/>
        <v>0</v>
      </c>
      <c r="BU143" s="2">
        <f t="shared" si="666"/>
        <v>0</v>
      </c>
      <c r="BV143" s="2">
        <f t="shared" si="666"/>
        <v>0</v>
      </c>
      <c r="BW143" s="2">
        <f t="shared" si="666"/>
        <v>0</v>
      </c>
      <c r="BX143" s="2">
        <f t="shared" si="666"/>
        <v>0</v>
      </c>
      <c r="BY143" s="2">
        <f t="shared" si="651"/>
        <v>0</v>
      </c>
      <c r="BZ143" s="2">
        <f t="shared" si="652"/>
        <v>0</v>
      </c>
      <c r="CA143" s="2">
        <f t="shared" si="653"/>
        <v>0</v>
      </c>
      <c r="CB143" s="2">
        <f t="shared" si="654"/>
        <v>0</v>
      </c>
      <c r="CC143" s="2">
        <f t="shared" si="655"/>
        <v>0</v>
      </c>
      <c r="CD143" s="2">
        <f t="shared" si="656"/>
        <v>0</v>
      </c>
      <c r="CE143" s="2">
        <f t="shared" si="657"/>
        <v>0</v>
      </c>
      <c r="CF143" s="2">
        <f t="shared" si="658"/>
        <v>0</v>
      </c>
      <c r="CG143" s="2">
        <f t="shared" si="659"/>
        <v>0</v>
      </c>
      <c r="CH143" s="2">
        <f t="shared" si="660"/>
        <v>0</v>
      </c>
      <c r="CI143" s="2">
        <f t="shared" si="661"/>
        <v>0</v>
      </c>
      <c r="CJ143" s="2">
        <f t="shared" si="662"/>
        <v>0</v>
      </c>
      <c r="CK143" s="2">
        <f t="shared" si="663"/>
        <v>0</v>
      </c>
      <c r="CO143" s="10"/>
      <c r="CP143" s="10"/>
      <c r="CQ143" s="10"/>
      <c r="CR143" s="10"/>
      <c r="CS143" s="10"/>
      <c r="CT143" s="10"/>
      <c r="CU143" s="10"/>
    </row>
    <row r="144" spans="2:102" ht="15" x14ac:dyDescent="0.25">
      <c r="B144" s="326" t="s">
        <v>386</v>
      </c>
      <c r="C144" s="97" t="s">
        <v>403</v>
      </c>
      <c r="D144" s="97"/>
      <c r="R144" s="2">
        <v>0</v>
      </c>
      <c r="S144" s="2">
        <f t="shared" ref="S144:AC144" si="667">R144+S139-S154</f>
        <v>0</v>
      </c>
      <c r="T144" s="2">
        <f t="shared" si="667"/>
        <v>0</v>
      </c>
      <c r="U144" s="2">
        <f t="shared" si="667"/>
        <v>0</v>
      </c>
      <c r="V144" s="2">
        <f t="shared" si="667"/>
        <v>2619.7179999999998</v>
      </c>
      <c r="W144" s="2">
        <f t="shared" si="667"/>
        <v>50720.621890000002</v>
      </c>
      <c r="X144" s="2">
        <f t="shared" si="667"/>
        <v>55531.199890000004</v>
      </c>
      <c r="Y144" s="2">
        <f t="shared" si="667"/>
        <v>52900.075890000007</v>
      </c>
      <c r="Z144" s="399">
        <f t="shared" si="667"/>
        <v>53997.043287272732</v>
      </c>
      <c r="AA144" s="2">
        <f t="shared" si="667"/>
        <v>53997.043287272732</v>
      </c>
      <c r="AB144" s="2">
        <f t="shared" si="667"/>
        <v>51152.543287272732</v>
      </c>
      <c r="AC144" s="2">
        <f t="shared" si="667"/>
        <v>52196.543287272732</v>
      </c>
      <c r="AD144" s="2">
        <f>AC144+AD139-AD154</f>
        <v>52196.543287272732</v>
      </c>
      <c r="AE144" s="2">
        <f t="shared" ref="AE144:BX144" si="668">AD144+AE139-AE154</f>
        <v>52196.543287272732</v>
      </c>
      <c r="AF144" s="2">
        <f t="shared" si="668"/>
        <v>52196.543287272732</v>
      </c>
      <c r="AG144" s="2">
        <f t="shared" si="668"/>
        <v>51074.543287272732</v>
      </c>
      <c r="AH144" s="2">
        <f t="shared" si="668"/>
        <v>49952.543287272732</v>
      </c>
      <c r="AI144" s="2">
        <f t="shared" si="668"/>
        <v>48830.543287272732</v>
      </c>
      <c r="AJ144" s="2">
        <f t="shared" si="668"/>
        <v>47708.543287272732</v>
      </c>
      <c r="AK144" s="2">
        <f t="shared" si="668"/>
        <v>46586.543287272732</v>
      </c>
      <c r="AL144" s="2">
        <f t="shared" si="668"/>
        <v>45464.543287272732</v>
      </c>
      <c r="AM144" s="2">
        <f t="shared" si="668"/>
        <v>44342.543287272732</v>
      </c>
      <c r="AN144" s="2">
        <f t="shared" si="668"/>
        <v>43220.543287272732</v>
      </c>
      <c r="AO144" s="2">
        <f t="shared" si="668"/>
        <v>42098.543287272732</v>
      </c>
      <c r="AP144" s="2">
        <f t="shared" si="668"/>
        <v>40976.543287272732</v>
      </c>
      <c r="AQ144" s="2">
        <f t="shared" si="668"/>
        <v>39854.543287272732</v>
      </c>
      <c r="AR144" s="2">
        <f t="shared" si="668"/>
        <v>38732.543287272732</v>
      </c>
      <c r="AS144" s="2">
        <f t="shared" si="668"/>
        <v>37610.543287272732</v>
      </c>
      <c r="AT144" s="2">
        <f t="shared" si="668"/>
        <v>36488.543287272732</v>
      </c>
      <c r="AU144" s="2">
        <f t="shared" si="668"/>
        <v>35366.543287272732</v>
      </c>
      <c r="AV144" s="2">
        <f t="shared" si="668"/>
        <v>34244.543287272732</v>
      </c>
      <c r="AW144" s="2">
        <f t="shared" si="668"/>
        <v>33122.543287272732</v>
      </c>
      <c r="AX144" s="2">
        <f t="shared" si="668"/>
        <v>32000.543287272732</v>
      </c>
      <c r="AY144" s="2">
        <f t="shared" si="668"/>
        <v>30878.543287272732</v>
      </c>
      <c r="AZ144" s="2">
        <f t="shared" si="668"/>
        <v>29756.543287272732</v>
      </c>
      <c r="BA144" s="2">
        <f t="shared" si="668"/>
        <v>28634.543287272732</v>
      </c>
      <c r="BB144" s="2">
        <f t="shared" si="668"/>
        <v>22907.634629818185</v>
      </c>
      <c r="BC144" s="2">
        <f t="shared" si="668"/>
        <v>17180.725972363638</v>
      </c>
      <c r="BD144" s="2">
        <f t="shared" si="668"/>
        <v>11453.817314909091</v>
      </c>
      <c r="BE144" s="2">
        <f t="shared" si="668"/>
        <v>5726.9086574545445</v>
      </c>
      <c r="BF144" s="2">
        <f t="shared" si="668"/>
        <v>0</v>
      </c>
      <c r="BG144" s="2">
        <f t="shared" si="668"/>
        <v>0</v>
      </c>
      <c r="BH144" s="2">
        <f t="shared" si="668"/>
        <v>0</v>
      </c>
      <c r="BI144" s="2">
        <f t="shared" si="668"/>
        <v>0</v>
      </c>
      <c r="BJ144" s="2">
        <f t="shared" si="668"/>
        <v>0</v>
      </c>
      <c r="BK144" s="2">
        <f t="shared" si="668"/>
        <v>0</v>
      </c>
      <c r="BL144" s="2">
        <f t="shared" si="668"/>
        <v>0</v>
      </c>
      <c r="BM144" s="2">
        <f t="shared" si="668"/>
        <v>0</v>
      </c>
      <c r="BN144" s="2">
        <f t="shared" si="668"/>
        <v>0</v>
      </c>
      <c r="BO144" s="2">
        <f t="shared" si="668"/>
        <v>0</v>
      </c>
      <c r="BP144" s="2">
        <f t="shared" si="668"/>
        <v>0</v>
      </c>
      <c r="BQ144" s="2">
        <f t="shared" si="668"/>
        <v>0</v>
      </c>
      <c r="BR144" s="2">
        <f t="shared" si="668"/>
        <v>0</v>
      </c>
      <c r="BS144" s="2">
        <f t="shared" si="668"/>
        <v>0</v>
      </c>
      <c r="BT144" s="2">
        <f t="shared" si="668"/>
        <v>0</v>
      </c>
      <c r="BU144" s="2">
        <f t="shared" si="668"/>
        <v>0</v>
      </c>
      <c r="BV144" s="2">
        <f t="shared" si="668"/>
        <v>0</v>
      </c>
      <c r="BW144" s="2">
        <f t="shared" si="668"/>
        <v>0</v>
      </c>
      <c r="BX144" s="2">
        <f t="shared" si="668"/>
        <v>0</v>
      </c>
      <c r="BY144" s="2">
        <f t="shared" si="651"/>
        <v>0</v>
      </c>
      <c r="BZ144" s="2">
        <f t="shared" si="652"/>
        <v>0</v>
      </c>
      <c r="CA144" s="2">
        <f t="shared" si="653"/>
        <v>0</v>
      </c>
      <c r="CB144" s="2">
        <f t="shared" si="654"/>
        <v>0</v>
      </c>
      <c r="CC144" s="2">
        <f t="shared" si="655"/>
        <v>0</v>
      </c>
      <c r="CD144" s="2">
        <f t="shared" si="656"/>
        <v>0</v>
      </c>
      <c r="CE144" s="2">
        <f t="shared" si="657"/>
        <v>0</v>
      </c>
      <c r="CF144" s="2">
        <f t="shared" si="658"/>
        <v>0</v>
      </c>
      <c r="CG144" s="2">
        <f t="shared" si="659"/>
        <v>0</v>
      </c>
      <c r="CH144" s="2">
        <f t="shared" si="660"/>
        <v>0</v>
      </c>
      <c r="CI144" s="2">
        <f t="shared" si="661"/>
        <v>0</v>
      </c>
      <c r="CJ144" s="2">
        <f t="shared" si="662"/>
        <v>0</v>
      </c>
      <c r="CK144" s="2">
        <f t="shared" si="663"/>
        <v>0</v>
      </c>
      <c r="CO144" s="10">
        <f>Q144</f>
        <v>0</v>
      </c>
      <c r="CP144" s="10">
        <f ca="1">OFFSET($Q144,0,12)</f>
        <v>52196.543287272732</v>
      </c>
      <c r="CQ144" s="10">
        <f ca="1">OFFSET($Q144,0,24)</f>
        <v>42098.543287272732</v>
      </c>
      <c r="CR144" s="10">
        <f ca="1">OFFSET($Q144,0,36)</f>
        <v>28634.543287272732</v>
      </c>
      <c r="CS144" s="10">
        <f ca="1">OFFSET($Q144,0,48)</f>
        <v>0</v>
      </c>
      <c r="CT144" s="10">
        <f t="shared" ref="CT144:CU145" ca="1" si="669">OFFSET($Q144,0,48)</f>
        <v>0</v>
      </c>
      <c r="CU144" s="10">
        <f t="shared" ca="1" si="669"/>
        <v>0</v>
      </c>
    </row>
    <row r="145" spans="1:99" ht="15" x14ac:dyDescent="0.25">
      <c r="B145" s="326" t="s">
        <v>159</v>
      </c>
      <c r="C145" s="97" t="s">
        <v>403</v>
      </c>
      <c r="D145" s="97"/>
      <c r="R145" s="2">
        <f>2278-R155</f>
        <v>1833.55555</v>
      </c>
      <c r="S145" s="2">
        <f t="shared" ref="S145:AC145" si="670">R145+S140-S155</f>
        <v>1389.11122</v>
      </c>
      <c r="T145" s="2">
        <f t="shared" si="670"/>
        <v>1111.3334399999999</v>
      </c>
      <c r="U145" s="2">
        <f t="shared" si="670"/>
        <v>833.55565999999988</v>
      </c>
      <c r="V145" s="2">
        <f t="shared" si="670"/>
        <v>555.77787999999987</v>
      </c>
      <c r="W145" s="2">
        <f t="shared" si="670"/>
        <v>278.00009999999986</v>
      </c>
      <c r="X145" s="2">
        <f t="shared" si="670"/>
        <v>0.2230999999998744</v>
      </c>
      <c r="Y145" s="2">
        <f t="shared" si="670"/>
        <v>0.2230999999998744</v>
      </c>
      <c r="Z145" s="2">
        <f t="shared" si="670"/>
        <v>0.2230999999998744</v>
      </c>
      <c r="AA145" s="2">
        <f t="shared" si="670"/>
        <v>0.2230999999998744</v>
      </c>
      <c r="AB145" s="2">
        <f t="shared" si="670"/>
        <v>0.2230999999998744</v>
      </c>
      <c r="AC145" s="2">
        <f t="shared" si="670"/>
        <v>0.2230999999998744</v>
      </c>
      <c r="AD145" s="2">
        <f>AC145+AD140-AD155</f>
        <v>0.2230999999998744</v>
      </c>
      <c r="AE145" s="2">
        <f t="shared" ref="AE145:BX145" si="671">AD145+AE140-AE155</f>
        <v>0.2230999999998744</v>
      </c>
      <c r="AF145" s="2">
        <f t="shared" si="671"/>
        <v>0.2230999999998744</v>
      </c>
      <c r="AG145" s="2">
        <f t="shared" si="671"/>
        <v>0.2230999999998744</v>
      </c>
      <c r="AH145" s="2">
        <f t="shared" si="671"/>
        <v>0.2230999999998744</v>
      </c>
      <c r="AI145" s="2">
        <f t="shared" si="671"/>
        <v>0.2230999999998744</v>
      </c>
      <c r="AJ145" s="2">
        <f t="shared" si="671"/>
        <v>0.2230999999998744</v>
      </c>
      <c r="AK145" s="2">
        <f t="shared" si="671"/>
        <v>0.2230999999998744</v>
      </c>
      <c r="AL145" s="2">
        <f t="shared" si="671"/>
        <v>0.2230999999998744</v>
      </c>
      <c r="AM145" s="2">
        <f t="shared" si="671"/>
        <v>0.2230999999998744</v>
      </c>
      <c r="AN145" s="2">
        <f t="shared" si="671"/>
        <v>0.2230999999998744</v>
      </c>
      <c r="AO145" s="2">
        <f t="shared" si="671"/>
        <v>0.2230999999998744</v>
      </c>
      <c r="AP145" s="2">
        <f t="shared" si="671"/>
        <v>0.2230999999998744</v>
      </c>
      <c r="AQ145" s="2">
        <f t="shared" si="671"/>
        <v>0.2230999999998744</v>
      </c>
      <c r="AR145" s="2">
        <f t="shared" si="671"/>
        <v>0.2230999999998744</v>
      </c>
      <c r="AS145" s="2">
        <f t="shared" si="671"/>
        <v>0.2230999999998744</v>
      </c>
      <c r="AT145" s="2">
        <f t="shared" si="671"/>
        <v>0.2230999999998744</v>
      </c>
      <c r="AU145" s="2">
        <f t="shared" si="671"/>
        <v>0.2230999999998744</v>
      </c>
      <c r="AV145" s="2">
        <f t="shared" si="671"/>
        <v>0.2230999999998744</v>
      </c>
      <c r="AW145" s="2">
        <f t="shared" si="671"/>
        <v>0.2230999999998744</v>
      </c>
      <c r="AX145" s="2">
        <f t="shared" si="671"/>
        <v>0.2230999999998744</v>
      </c>
      <c r="AY145" s="2">
        <f t="shared" si="671"/>
        <v>0.2230999999998744</v>
      </c>
      <c r="AZ145" s="2">
        <f t="shared" si="671"/>
        <v>0.2230999999998744</v>
      </c>
      <c r="BA145" s="2">
        <f t="shared" si="671"/>
        <v>0.2230999999998744</v>
      </c>
      <c r="BB145" s="2">
        <f t="shared" si="671"/>
        <v>0.2230999999998744</v>
      </c>
      <c r="BC145" s="2">
        <f t="shared" si="671"/>
        <v>0.2230999999998744</v>
      </c>
      <c r="BD145" s="2">
        <f t="shared" si="671"/>
        <v>0.2230999999998744</v>
      </c>
      <c r="BE145" s="2">
        <f t="shared" si="671"/>
        <v>0.2230999999998744</v>
      </c>
      <c r="BF145" s="2">
        <f t="shared" si="671"/>
        <v>0.2230999999998744</v>
      </c>
      <c r="BG145" s="2">
        <f t="shared" si="671"/>
        <v>0.2230999999998744</v>
      </c>
      <c r="BH145" s="2">
        <f t="shared" si="671"/>
        <v>0.2230999999998744</v>
      </c>
      <c r="BI145" s="2">
        <f t="shared" si="671"/>
        <v>0.2230999999998744</v>
      </c>
      <c r="BJ145" s="2">
        <f t="shared" si="671"/>
        <v>0.2230999999998744</v>
      </c>
      <c r="BK145" s="2">
        <f t="shared" si="671"/>
        <v>0.2230999999998744</v>
      </c>
      <c r="BL145" s="2">
        <f t="shared" si="671"/>
        <v>0.2230999999998744</v>
      </c>
      <c r="BM145" s="2">
        <f t="shared" si="671"/>
        <v>0.2230999999998744</v>
      </c>
      <c r="BN145" s="2">
        <f t="shared" si="671"/>
        <v>0.2230999999998744</v>
      </c>
      <c r="BO145" s="2">
        <f t="shared" si="671"/>
        <v>0.2230999999998744</v>
      </c>
      <c r="BP145" s="2">
        <f t="shared" si="671"/>
        <v>0.2230999999998744</v>
      </c>
      <c r="BQ145" s="2">
        <f t="shared" si="671"/>
        <v>0.2230999999998744</v>
      </c>
      <c r="BR145" s="2">
        <f t="shared" si="671"/>
        <v>0.2230999999998744</v>
      </c>
      <c r="BS145" s="2">
        <f t="shared" si="671"/>
        <v>0.2230999999998744</v>
      </c>
      <c r="BT145" s="2">
        <f t="shared" si="671"/>
        <v>0.2230999999998744</v>
      </c>
      <c r="BU145" s="2">
        <f t="shared" si="671"/>
        <v>0.2230999999998744</v>
      </c>
      <c r="BV145" s="2">
        <f t="shared" si="671"/>
        <v>0.2230999999998744</v>
      </c>
      <c r="BW145" s="2">
        <f t="shared" si="671"/>
        <v>0.2230999999998744</v>
      </c>
      <c r="BX145" s="2">
        <f t="shared" si="671"/>
        <v>0.2230999999998744</v>
      </c>
      <c r="BY145" s="2">
        <f t="shared" si="651"/>
        <v>0.2230999999998744</v>
      </c>
      <c r="BZ145" s="2">
        <f t="shared" si="652"/>
        <v>0.2230999999998744</v>
      </c>
      <c r="CA145" s="2">
        <f t="shared" si="653"/>
        <v>0.2230999999998744</v>
      </c>
      <c r="CB145" s="2">
        <f t="shared" si="654"/>
        <v>0.2230999999998744</v>
      </c>
      <c r="CC145" s="2">
        <f t="shared" si="655"/>
        <v>0.2230999999998744</v>
      </c>
      <c r="CD145" s="2">
        <f t="shared" si="656"/>
        <v>0.2230999999998744</v>
      </c>
      <c r="CE145" s="2">
        <f t="shared" si="657"/>
        <v>0.2230999999998744</v>
      </c>
      <c r="CF145" s="2">
        <f t="shared" si="658"/>
        <v>0.2230999999998744</v>
      </c>
      <c r="CG145" s="2">
        <f t="shared" si="659"/>
        <v>0.2230999999998744</v>
      </c>
      <c r="CH145" s="2">
        <f t="shared" si="660"/>
        <v>0.2230999999998744</v>
      </c>
      <c r="CI145" s="2">
        <f t="shared" si="661"/>
        <v>0.2230999999998744</v>
      </c>
      <c r="CJ145" s="2">
        <f t="shared" si="662"/>
        <v>0.2230999999998744</v>
      </c>
      <c r="CK145" s="2">
        <f t="shared" si="663"/>
        <v>0.2230999999998744</v>
      </c>
      <c r="CO145" s="10">
        <f>Q145</f>
        <v>0</v>
      </c>
      <c r="CP145" s="10">
        <f ca="1">OFFSET($Q145,0,12)</f>
        <v>0.2230999999998744</v>
      </c>
      <c r="CQ145" s="10">
        <f ca="1">OFFSET($Q145,0,24)</f>
        <v>0.2230999999998744</v>
      </c>
      <c r="CR145" s="10">
        <f ca="1">OFFSET($Q145,0,36)</f>
        <v>0.2230999999998744</v>
      </c>
      <c r="CS145" s="10">
        <f ca="1">OFFSET($Q145,0,48)</f>
        <v>0.2230999999998744</v>
      </c>
      <c r="CT145" s="10">
        <f t="shared" ca="1" si="669"/>
        <v>0.2230999999998744</v>
      </c>
      <c r="CU145" s="10">
        <f t="shared" ca="1" si="669"/>
        <v>0.2230999999998744</v>
      </c>
    </row>
    <row r="146" spans="1:99" ht="15" x14ac:dyDescent="0.25">
      <c r="B146" s="327" t="s">
        <v>103</v>
      </c>
      <c r="C146" s="97"/>
      <c r="D146" s="97"/>
      <c r="R146" s="4">
        <f>SUM(R147:R150)</f>
        <v>691.30499000000009</v>
      </c>
      <c r="S146" s="4">
        <f t="shared" ref="S146:BX146" si="672">SUM(S147:S150)</f>
        <v>716.09235000000012</v>
      </c>
      <c r="T146" s="4">
        <f t="shared" si="672"/>
        <v>633.68142999999986</v>
      </c>
      <c r="U146" s="4">
        <f t="shared" si="672"/>
        <v>707.04636999999991</v>
      </c>
      <c r="V146" s="4">
        <f t="shared" si="672"/>
        <v>664.43412999999998</v>
      </c>
      <c r="W146" s="4">
        <f t="shared" si="672"/>
        <v>1259.25035</v>
      </c>
      <c r="X146" s="4">
        <f t="shared" si="672"/>
        <v>1340.77</v>
      </c>
      <c r="Y146" s="4">
        <f t="shared" si="672"/>
        <v>1378.5070000000001</v>
      </c>
      <c r="Z146" s="4">
        <f t="shared" si="672"/>
        <v>1669.6325530236363</v>
      </c>
      <c r="AA146" s="4">
        <f t="shared" si="672"/>
        <v>1568.1746363569698</v>
      </c>
      <c r="AB146" s="4">
        <f t="shared" si="672"/>
        <v>1558.8978446903031</v>
      </c>
      <c r="AC146" s="4">
        <f>SUM(AC147:AC150)</f>
        <v>1485.7910113569699</v>
      </c>
      <c r="AD146" s="4">
        <f t="shared" si="672"/>
        <v>1515.9992334236365</v>
      </c>
      <c r="AE146" s="4">
        <f t="shared" si="672"/>
        <v>1552.4575111236363</v>
      </c>
      <c r="AF146" s="4">
        <f t="shared" si="672"/>
        <v>1591.0724554903031</v>
      </c>
      <c r="AG146" s="4">
        <f t="shared" si="672"/>
        <v>1423.0295108903031</v>
      </c>
      <c r="AH146" s="4">
        <f t="shared" si="672"/>
        <v>1393.5032885903031</v>
      </c>
      <c r="AI146" s="4">
        <f t="shared" si="672"/>
        <v>1323.3520662903031</v>
      </c>
      <c r="AJ146" s="4">
        <f t="shared" si="672"/>
        <v>1250.0007883569697</v>
      </c>
      <c r="AK146" s="4">
        <f t="shared" si="672"/>
        <v>1189.2996216903032</v>
      </c>
      <c r="AL146" s="4">
        <f t="shared" si="672"/>
        <v>1128.5984550236365</v>
      </c>
      <c r="AM146" s="4">
        <f t="shared" si="672"/>
        <v>1067.8972883569697</v>
      </c>
      <c r="AN146" s="4">
        <f t="shared" si="672"/>
        <v>1045.7377883569698</v>
      </c>
      <c r="AO146" s="4">
        <f t="shared" si="672"/>
        <v>1023.5782883569698</v>
      </c>
      <c r="AP146" s="4">
        <f t="shared" si="672"/>
        <v>984.15167662363638</v>
      </c>
      <c r="AQ146" s="4">
        <f t="shared" si="672"/>
        <v>961.99217662363651</v>
      </c>
      <c r="AR146" s="4">
        <f t="shared" si="672"/>
        <v>939.83267662363642</v>
      </c>
      <c r="AS146" s="4">
        <f t="shared" si="672"/>
        <v>898.96123217919217</v>
      </c>
      <c r="AT146" s="4">
        <f t="shared" si="672"/>
        <v>858.08978773474757</v>
      </c>
      <c r="AU146" s="4">
        <f t="shared" si="672"/>
        <v>817.21834329030298</v>
      </c>
      <c r="AV146" s="4">
        <f t="shared" si="672"/>
        <v>776.34689884585862</v>
      </c>
      <c r="AW146" s="4">
        <f t="shared" si="672"/>
        <v>735.47545440141425</v>
      </c>
      <c r="AX146" s="4">
        <f t="shared" si="672"/>
        <v>694.60400995696978</v>
      </c>
      <c r="AY146" s="4">
        <f t="shared" si="672"/>
        <v>672.4445099569698</v>
      </c>
      <c r="AZ146" s="4">
        <f t="shared" si="672"/>
        <v>650.28500995696982</v>
      </c>
      <c r="BA146" s="4">
        <f t="shared" si="672"/>
        <v>628.12550995696984</v>
      </c>
      <c r="BB146" s="4">
        <f t="shared" si="672"/>
        <v>515.01906397224252</v>
      </c>
      <c r="BC146" s="4">
        <f t="shared" si="672"/>
        <v>401.9126179875152</v>
      </c>
      <c r="BD146" s="4">
        <f t="shared" si="672"/>
        <v>288.80617200278789</v>
      </c>
      <c r="BE146" s="4">
        <f t="shared" si="672"/>
        <v>175.69972601806063</v>
      </c>
      <c r="BF146" s="4">
        <f t="shared" si="672"/>
        <v>62.593280033333379</v>
      </c>
      <c r="BG146" s="4">
        <f t="shared" si="672"/>
        <v>62.593280033333379</v>
      </c>
      <c r="BH146" s="4">
        <f t="shared" si="672"/>
        <v>62.593280033333379</v>
      </c>
      <c r="BI146" s="4">
        <f t="shared" si="672"/>
        <v>62.593280033333379</v>
      </c>
      <c r="BJ146" s="4">
        <f t="shared" si="672"/>
        <v>62.593280033333379</v>
      </c>
      <c r="BK146" s="4">
        <f t="shared" si="672"/>
        <v>62.593280033333379</v>
      </c>
      <c r="BL146" s="4">
        <f t="shared" si="672"/>
        <v>62.593280033333379</v>
      </c>
      <c r="BM146" s="4">
        <f t="shared" si="672"/>
        <v>62.593280033333379</v>
      </c>
      <c r="BN146" s="4">
        <f t="shared" si="672"/>
        <v>62.593280033333379</v>
      </c>
      <c r="BO146" s="4">
        <f t="shared" si="672"/>
        <v>62.593280033333379</v>
      </c>
      <c r="BP146" s="4">
        <f t="shared" si="672"/>
        <v>62.593280033333379</v>
      </c>
      <c r="BQ146" s="4">
        <f t="shared" si="672"/>
        <v>62.593280033333379</v>
      </c>
      <c r="BR146" s="4">
        <f t="shared" si="672"/>
        <v>62.593280033333379</v>
      </c>
      <c r="BS146" s="4">
        <f t="shared" si="672"/>
        <v>62.593280033333379</v>
      </c>
      <c r="BT146" s="4">
        <f t="shared" si="672"/>
        <v>62.593280033333379</v>
      </c>
      <c r="BU146" s="4">
        <f t="shared" si="672"/>
        <v>62.593280033333379</v>
      </c>
      <c r="BV146" s="4">
        <f t="shared" si="672"/>
        <v>62.593280033333379</v>
      </c>
      <c r="BW146" s="4">
        <f t="shared" si="672"/>
        <v>62.593280033333379</v>
      </c>
      <c r="BX146" s="4">
        <f t="shared" si="672"/>
        <v>62.593280033333379</v>
      </c>
      <c r="BY146" s="4">
        <f t="shared" ref="BY146:CK146" si="673">SUM(BY147:BY150)</f>
        <v>62.593280033333379</v>
      </c>
      <c r="BZ146" s="4">
        <f t="shared" si="673"/>
        <v>62.593280033333379</v>
      </c>
      <c r="CA146" s="4">
        <f t="shared" si="673"/>
        <v>62.593280033333379</v>
      </c>
      <c r="CB146" s="4">
        <f t="shared" si="673"/>
        <v>62.593280033333379</v>
      </c>
      <c r="CC146" s="4">
        <f t="shared" si="673"/>
        <v>62.593280033333379</v>
      </c>
      <c r="CD146" s="4">
        <f t="shared" si="673"/>
        <v>62.593280033333379</v>
      </c>
      <c r="CE146" s="4">
        <f t="shared" si="673"/>
        <v>62.593280033333379</v>
      </c>
      <c r="CF146" s="4">
        <f t="shared" si="673"/>
        <v>62.593280033333379</v>
      </c>
      <c r="CG146" s="4">
        <f t="shared" si="673"/>
        <v>62.593280033333379</v>
      </c>
      <c r="CH146" s="4">
        <f t="shared" si="673"/>
        <v>62.593280033333379</v>
      </c>
      <c r="CI146" s="4">
        <f t="shared" si="673"/>
        <v>62.593280033333379</v>
      </c>
      <c r="CJ146" s="4">
        <f t="shared" si="673"/>
        <v>62.593280033333379</v>
      </c>
      <c r="CK146" s="4">
        <f t="shared" si="673"/>
        <v>62.593280033333379</v>
      </c>
      <c r="CO146" s="14">
        <f t="shared" ref="CO146:CS147" si="674">SUMIF($L$2:$CK$2,CO$3,$L146:$CK146)</f>
        <v>0</v>
      </c>
      <c r="CP146" s="14">
        <f t="shared" si="674"/>
        <v>13673.582665427881</v>
      </c>
      <c r="CQ146" s="14">
        <f t="shared" si="674"/>
        <v>15504.526295950303</v>
      </c>
      <c r="CR146" s="14">
        <f t="shared" si="674"/>
        <v>9617.5272861503054</v>
      </c>
      <c r="CS146" s="14">
        <f t="shared" si="674"/>
        <v>1882.1838202472741</v>
      </c>
      <c r="CT146" s="14">
        <f t="shared" ref="CT146:CU147" si="675">SUMIF($L$2:$CK$2,CT$3,$L146:$CK146)</f>
        <v>751.11936040000057</v>
      </c>
      <c r="CU146" s="14">
        <f t="shared" si="675"/>
        <v>751.11936040000057</v>
      </c>
    </row>
    <row r="147" spans="1:99" ht="15" x14ac:dyDescent="0.25">
      <c r="B147" s="326" t="s">
        <v>391</v>
      </c>
      <c r="C147" s="97" t="s">
        <v>392</v>
      </c>
      <c r="D147" s="97" t="s">
        <v>402</v>
      </c>
      <c r="R147" s="2">
        <v>666.04716000000008</v>
      </c>
      <c r="S147" s="2">
        <v>694.24555000000009</v>
      </c>
      <c r="T147" s="2">
        <v>619.83058999999992</v>
      </c>
      <c r="U147" s="2">
        <v>695.56995999999992</v>
      </c>
      <c r="V147" s="2">
        <v>655.53002000000004</v>
      </c>
      <c r="W147" s="2">
        <v>609.89498000000003</v>
      </c>
      <c r="X147" s="2">
        <v>275</v>
      </c>
      <c r="Y147" s="2">
        <v>261.25900000000001</v>
      </c>
      <c r="Z147" s="2">
        <f t="shared" ref="Z147:BX147" si="676">Z142*Z160/12</f>
        <v>391.59094810000011</v>
      </c>
      <c r="AA147" s="2">
        <f t="shared" si="676"/>
        <v>438.49303143333344</v>
      </c>
      <c r="AB147" s="2">
        <f t="shared" si="676"/>
        <v>485.39511476666672</v>
      </c>
      <c r="AC147" s="2">
        <f t="shared" si="676"/>
        <v>391.66928143333342</v>
      </c>
      <c r="AD147" s="2">
        <f t="shared" si="676"/>
        <v>421.8775035000001</v>
      </c>
      <c r="AE147" s="2">
        <f t="shared" si="676"/>
        <v>458.3357812000001</v>
      </c>
      <c r="AF147" s="2">
        <f t="shared" si="676"/>
        <v>447.91905890000004</v>
      </c>
      <c r="AG147" s="2">
        <f t="shared" si="676"/>
        <v>302.03561430000008</v>
      </c>
      <c r="AH147" s="2">
        <f t="shared" si="676"/>
        <v>294.66889200000008</v>
      </c>
      <c r="AI147" s="2">
        <f t="shared" si="676"/>
        <v>246.67716970000006</v>
      </c>
      <c r="AJ147" s="2">
        <f t="shared" si="676"/>
        <v>195.48539176666671</v>
      </c>
      <c r="AK147" s="2">
        <f t="shared" si="676"/>
        <v>156.94372510000005</v>
      </c>
      <c r="AL147" s="2">
        <f t="shared" si="676"/>
        <v>118.40205843333338</v>
      </c>
      <c r="AM147" s="2">
        <f t="shared" si="676"/>
        <v>79.860391766666709</v>
      </c>
      <c r="AN147" s="2">
        <f t="shared" si="676"/>
        <v>79.860391766666709</v>
      </c>
      <c r="AO147" s="2">
        <f t="shared" si="676"/>
        <v>79.860391766666709</v>
      </c>
      <c r="AP147" s="2">
        <f t="shared" si="676"/>
        <v>62.593280033333379</v>
      </c>
      <c r="AQ147" s="2">
        <f t="shared" si="676"/>
        <v>62.593280033333379</v>
      </c>
      <c r="AR147" s="2">
        <f t="shared" si="676"/>
        <v>62.593280033333379</v>
      </c>
      <c r="AS147" s="2">
        <f t="shared" si="676"/>
        <v>62.593280033333379</v>
      </c>
      <c r="AT147" s="2">
        <f t="shared" si="676"/>
        <v>62.593280033333379</v>
      </c>
      <c r="AU147" s="2">
        <f t="shared" si="676"/>
        <v>62.593280033333379</v>
      </c>
      <c r="AV147" s="2">
        <f t="shared" si="676"/>
        <v>62.593280033333379</v>
      </c>
      <c r="AW147" s="2">
        <f t="shared" si="676"/>
        <v>62.593280033333379</v>
      </c>
      <c r="AX147" s="2">
        <f t="shared" si="676"/>
        <v>62.593280033333379</v>
      </c>
      <c r="AY147" s="2">
        <f t="shared" si="676"/>
        <v>62.593280033333379</v>
      </c>
      <c r="AZ147" s="2">
        <f t="shared" si="676"/>
        <v>62.593280033333379</v>
      </c>
      <c r="BA147" s="2">
        <f t="shared" si="676"/>
        <v>62.593280033333379</v>
      </c>
      <c r="BB147" s="2">
        <f t="shared" si="676"/>
        <v>62.593280033333379</v>
      </c>
      <c r="BC147" s="2">
        <f t="shared" si="676"/>
        <v>62.593280033333379</v>
      </c>
      <c r="BD147" s="2">
        <f t="shared" si="676"/>
        <v>62.593280033333379</v>
      </c>
      <c r="BE147" s="2">
        <f t="shared" si="676"/>
        <v>62.593280033333379</v>
      </c>
      <c r="BF147" s="2">
        <f t="shared" si="676"/>
        <v>62.593280033333379</v>
      </c>
      <c r="BG147" s="2">
        <f t="shared" si="676"/>
        <v>62.593280033333379</v>
      </c>
      <c r="BH147" s="2">
        <f t="shared" si="676"/>
        <v>62.593280033333379</v>
      </c>
      <c r="BI147" s="2">
        <f t="shared" si="676"/>
        <v>62.593280033333379</v>
      </c>
      <c r="BJ147" s="2">
        <f t="shared" si="676"/>
        <v>62.593280033333379</v>
      </c>
      <c r="BK147" s="2">
        <f t="shared" si="676"/>
        <v>62.593280033333379</v>
      </c>
      <c r="BL147" s="2">
        <f t="shared" si="676"/>
        <v>62.593280033333379</v>
      </c>
      <c r="BM147" s="2">
        <f t="shared" si="676"/>
        <v>62.593280033333379</v>
      </c>
      <c r="BN147" s="2">
        <f t="shared" si="676"/>
        <v>62.593280033333379</v>
      </c>
      <c r="BO147" s="2">
        <f t="shared" si="676"/>
        <v>62.593280033333379</v>
      </c>
      <c r="BP147" s="2">
        <f t="shared" si="676"/>
        <v>62.593280033333379</v>
      </c>
      <c r="BQ147" s="2">
        <f t="shared" si="676"/>
        <v>62.593280033333379</v>
      </c>
      <c r="BR147" s="2">
        <f t="shared" si="676"/>
        <v>62.593280033333379</v>
      </c>
      <c r="BS147" s="2">
        <f t="shared" si="676"/>
        <v>62.593280033333379</v>
      </c>
      <c r="BT147" s="2">
        <f t="shared" si="676"/>
        <v>62.593280033333379</v>
      </c>
      <c r="BU147" s="2">
        <f t="shared" si="676"/>
        <v>62.593280033333379</v>
      </c>
      <c r="BV147" s="2">
        <f t="shared" si="676"/>
        <v>62.593280033333379</v>
      </c>
      <c r="BW147" s="2">
        <f t="shared" si="676"/>
        <v>62.593280033333379</v>
      </c>
      <c r="BX147" s="2">
        <f t="shared" si="676"/>
        <v>62.593280033333379</v>
      </c>
      <c r="BY147" s="2">
        <f t="shared" ref="BY147:CK147" si="677">BY142*BY160/12</f>
        <v>62.593280033333379</v>
      </c>
      <c r="BZ147" s="2">
        <f t="shared" si="677"/>
        <v>62.593280033333379</v>
      </c>
      <c r="CA147" s="2">
        <f t="shared" si="677"/>
        <v>62.593280033333379</v>
      </c>
      <c r="CB147" s="2">
        <f t="shared" si="677"/>
        <v>62.593280033333379</v>
      </c>
      <c r="CC147" s="2">
        <f t="shared" si="677"/>
        <v>62.593280033333379</v>
      </c>
      <c r="CD147" s="2">
        <f t="shared" si="677"/>
        <v>62.593280033333379</v>
      </c>
      <c r="CE147" s="2">
        <f t="shared" si="677"/>
        <v>62.593280033333379</v>
      </c>
      <c r="CF147" s="2">
        <f t="shared" si="677"/>
        <v>62.593280033333379</v>
      </c>
      <c r="CG147" s="2">
        <f t="shared" si="677"/>
        <v>62.593280033333379</v>
      </c>
      <c r="CH147" s="2">
        <f t="shared" si="677"/>
        <v>62.593280033333379</v>
      </c>
      <c r="CI147" s="2">
        <f t="shared" si="677"/>
        <v>62.593280033333379</v>
      </c>
      <c r="CJ147" s="2">
        <f t="shared" si="677"/>
        <v>62.593280033333379</v>
      </c>
      <c r="CK147" s="2">
        <f t="shared" si="677"/>
        <v>62.593280033333379</v>
      </c>
      <c r="CO147" s="10">
        <f t="shared" si="674"/>
        <v>0</v>
      </c>
      <c r="CP147" s="10">
        <f t="shared" si="674"/>
        <v>6184.5256357333337</v>
      </c>
      <c r="CQ147" s="10">
        <f t="shared" si="674"/>
        <v>2881.9263702000017</v>
      </c>
      <c r="CR147" s="10">
        <f t="shared" si="674"/>
        <v>751.11936040000057</v>
      </c>
      <c r="CS147" s="10">
        <f t="shared" si="674"/>
        <v>751.11936040000057</v>
      </c>
      <c r="CT147" s="10">
        <f t="shared" si="675"/>
        <v>751.11936040000057</v>
      </c>
      <c r="CU147" s="10">
        <f t="shared" si="675"/>
        <v>751.11936040000057</v>
      </c>
    </row>
    <row r="148" spans="1:99" ht="15" x14ac:dyDescent="0.25">
      <c r="B148" s="326" t="s">
        <v>391</v>
      </c>
      <c r="C148" s="97" t="s">
        <v>392</v>
      </c>
      <c r="D148" s="229">
        <v>0.155</v>
      </c>
      <c r="R148" s="2"/>
      <c r="S148" s="2"/>
      <c r="T148" s="2"/>
      <c r="U148" s="2"/>
      <c r="V148" s="2">
        <f t="shared" ref="V148:AB148" si="678">V143*$D148/12</f>
        <v>0</v>
      </c>
      <c r="W148" s="2">
        <f t="shared" si="678"/>
        <v>0</v>
      </c>
      <c r="X148" s="2">
        <f t="shared" si="678"/>
        <v>0</v>
      </c>
      <c r="Y148" s="2">
        <f t="shared" si="678"/>
        <v>0</v>
      </c>
      <c r="Z148" s="2">
        <f t="shared" si="678"/>
        <v>0</v>
      </c>
      <c r="AA148" s="2">
        <f t="shared" si="678"/>
        <v>63.24</v>
      </c>
      <c r="AB148" s="2">
        <f t="shared" si="678"/>
        <v>63.24</v>
      </c>
      <c r="AC148" s="2">
        <f>AC143*$D148/12</f>
        <v>63.24</v>
      </c>
      <c r="AD148" s="2">
        <f t="shared" ref="AD148:BX148" si="679">AD143*$D148/12</f>
        <v>63.24</v>
      </c>
      <c r="AE148" s="2">
        <f t="shared" si="679"/>
        <v>63.24</v>
      </c>
      <c r="AF148" s="2">
        <f t="shared" si="679"/>
        <v>112.27166666666666</v>
      </c>
      <c r="AG148" s="2">
        <f t="shared" si="679"/>
        <v>112.27166666666666</v>
      </c>
      <c r="AH148" s="2">
        <f t="shared" si="679"/>
        <v>112.27166666666666</v>
      </c>
      <c r="AI148" s="2">
        <f t="shared" si="679"/>
        <v>112.27166666666666</v>
      </c>
      <c r="AJ148" s="2">
        <f t="shared" si="679"/>
        <v>112.27166666666666</v>
      </c>
      <c r="AK148" s="2">
        <f t="shared" si="679"/>
        <v>112.27166666666666</v>
      </c>
      <c r="AL148" s="2">
        <f t="shared" si="679"/>
        <v>112.27166666666666</v>
      </c>
      <c r="AM148" s="2">
        <f t="shared" si="679"/>
        <v>112.27166666666666</v>
      </c>
      <c r="AN148" s="2">
        <f t="shared" si="679"/>
        <v>112.27166666666666</v>
      </c>
      <c r="AO148" s="2">
        <f t="shared" si="679"/>
        <v>112.27166666666666</v>
      </c>
      <c r="AP148" s="2">
        <f t="shared" si="679"/>
        <v>112.27166666666666</v>
      </c>
      <c r="AQ148" s="2">
        <f t="shared" si="679"/>
        <v>112.27166666666666</v>
      </c>
      <c r="AR148" s="2">
        <f t="shared" si="679"/>
        <v>112.27166666666666</v>
      </c>
      <c r="AS148" s="2">
        <f t="shared" si="679"/>
        <v>93.55972222222222</v>
      </c>
      <c r="AT148" s="2">
        <f t="shared" si="679"/>
        <v>74.847777777777779</v>
      </c>
      <c r="AU148" s="2">
        <f t="shared" si="679"/>
        <v>56.135833333333323</v>
      </c>
      <c r="AV148" s="2">
        <f t="shared" si="679"/>
        <v>37.423888888888875</v>
      </c>
      <c r="AW148" s="2">
        <f t="shared" si="679"/>
        <v>18.711944444444427</v>
      </c>
      <c r="AX148" s="2">
        <f t="shared" si="679"/>
        <v>0</v>
      </c>
      <c r="AY148" s="2">
        <f t="shared" si="679"/>
        <v>0</v>
      </c>
      <c r="AZ148" s="2">
        <f t="shared" si="679"/>
        <v>0</v>
      </c>
      <c r="BA148" s="2">
        <f t="shared" si="679"/>
        <v>0</v>
      </c>
      <c r="BB148" s="2">
        <f t="shared" si="679"/>
        <v>0</v>
      </c>
      <c r="BC148" s="2">
        <f t="shared" si="679"/>
        <v>0</v>
      </c>
      <c r="BD148" s="2">
        <f t="shared" si="679"/>
        <v>0</v>
      </c>
      <c r="BE148" s="2">
        <f t="shared" si="679"/>
        <v>0</v>
      </c>
      <c r="BF148" s="2">
        <f t="shared" si="679"/>
        <v>0</v>
      </c>
      <c r="BG148" s="2">
        <f t="shared" si="679"/>
        <v>0</v>
      </c>
      <c r="BH148" s="2">
        <f t="shared" si="679"/>
        <v>0</v>
      </c>
      <c r="BI148" s="2">
        <f t="shared" si="679"/>
        <v>0</v>
      </c>
      <c r="BJ148" s="2">
        <f t="shared" si="679"/>
        <v>0</v>
      </c>
      <c r="BK148" s="2">
        <f t="shared" si="679"/>
        <v>0</v>
      </c>
      <c r="BL148" s="2">
        <f t="shared" si="679"/>
        <v>0</v>
      </c>
      <c r="BM148" s="2">
        <f t="shared" si="679"/>
        <v>0</v>
      </c>
      <c r="BN148" s="2">
        <f t="shared" si="679"/>
        <v>0</v>
      </c>
      <c r="BO148" s="2">
        <f t="shared" si="679"/>
        <v>0</v>
      </c>
      <c r="BP148" s="2">
        <f t="shared" si="679"/>
        <v>0</v>
      </c>
      <c r="BQ148" s="2">
        <f t="shared" si="679"/>
        <v>0</v>
      </c>
      <c r="BR148" s="2">
        <f t="shared" si="679"/>
        <v>0</v>
      </c>
      <c r="BS148" s="2">
        <f t="shared" si="679"/>
        <v>0</v>
      </c>
      <c r="BT148" s="2">
        <f t="shared" si="679"/>
        <v>0</v>
      </c>
      <c r="BU148" s="2">
        <f t="shared" si="679"/>
        <v>0</v>
      </c>
      <c r="BV148" s="2">
        <f t="shared" si="679"/>
        <v>0</v>
      </c>
      <c r="BW148" s="2">
        <f t="shared" si="679"/>
        <v>0</v>
      </c>
      <c r="BX148" s="2">
        <f t="shared" si="679"/>
        <v>0</v>
      </c>
      <c r="BY148" s="2">
        <f t="shared" ref="BY148:CK148" si="680">BY143*$D148/12</f>
        <v>0</v>
      </c>
      <c r="BZ148" s="2">
        <f t="shared" si="680"/>
        <v>0</v>
      </c>
      <c r="CA148" s="2">
        <f t="shared" si="680"/>
        <v>0</v>
      </c>
      <c r="CB148" s="2">
        <f t="shared" si="680"/>
        <v>0</v>
      </c>
      <c r="CC148" s="2">
        <f t="shared" si="680"/>
        <v>0</v>
      </c>
      <c r="CD148" s="2">
        <f t="shared" si="680"/>
        <v>0</v>
      </c>
      <c r="CE148" s="2">
        <f t="shared" si="680"/>
        <v>0</v>
      </c>
      <c r="CF148" s="2">
        <f t="shared" si="680"/>
        <v>0</v>
      </c>
      <c r="CG148" s="2">
        <f t="shared" si="680"/>
        <v>0</v>
      </c>
      <c r="CH148" s="2">
        <f t="shared" si="680"/>
        <v>0</v>
      </c>
      <c r="CI148" s="2">
        <f t="shared" si="680"/>
        <v>0</v>
      </c>
      <c r="CJ148" s="2">
        <f t="shared" si="680"/>
        <v>0</v>
      </c>
      <c r="CK148" s="2">
        <f t="shared" si="680"/>
        <v>0</v>
      </c>
      <c r="CO148" s="10"/>
      <c r="CP148" s="10"/>
      <c r="CQ148" s="10"/>
      <c r="CR148" s="10"/>
      <c r="CS148" s="10"/>
      <c r="CT148" s="10"/>
      <c r="CU148" s="10"/>
    </row>
    <row r="149" spans="1:99" ht="15" x14ac:dyDescent="0.25">
      <c r="B149" s="326" t="s">
        <v>386</v>
      </c>
      <c r="C149" s="97" t="s">
        <v>403</v>
      </c>
      <c r="D149" s="229">
        <v>0.23699999999999999</v>
      </c>
      <c r="R149" s="2">
        <v>0</v>
      </c>
      <c r="S149" s="2">
        <v>0</v>
      </c>
      <c r="T149" s="2">
        <v>0</v>
      </c>
      <c r="U149" s="2">
        <v>0</v>
      </c>
      <c r="V149" s="2">
        <v>0</v>
      </c>
      <c r="W149" s="2">
        <v>643.02356000000009</v>
      </c>
      <c r="X149" s="2">
        <v>1063</v>
      </c>
      <c r="Y149" s="2">
        <v>1117.248</v>
      </c>
      <c r="Z149" s="2">
        <f>Z144*$D149/12+211.6</f>
        <v>1278.0416049236362</v>
      </c>
      <c r="AA149" s="2">
        <f t="shared" ref="AA149:BX149" si="681">AA144*$D149/12</f>
        <v>1066.4416049236363</v>
      </c>
      <c r="AB149" s="2">
        <f t="shared" si="681"/>
        <v>1010.2627299236365</v>
      </c>
      <c r="AC149" s="2">
        <f t="shared" si="681"/>
        <v>1030.8817299236364</v>
      </c>
      <c r="AD149" s="2">
        <f t="shared" si="681"/>
        <v>1030.8817299236364</v>
      </c>
      <c r="AE149" s="2">
        <f t="shared" si="681"/>
        <v>1030.8817299236364</v>
      </c>
      <c r="AF149" s="2">
        <f t="shared" si="681"/>
        <v>1030.8817299236364</v>
      </c>
      <c r="AG149" s="2">
        <f t="shared" si="681"/>
        <v>1008.7222299236364</v>
      </c>
      <c r="AH149" s="2">
        <f t="shared" si="681"/>
        <v>986.56272992363631</v>
      </c>
      <c r="AI149" s="2">
        <f t="shared" si="681"/>
        <v>964.40322992363645</v>
      </c>
      <c r="AJ149" s="2">
        <f t="shared" si="681"/>
        <v>942.24372992363635</v>
      </c>
      <c r="AK149" s="2">
        <f t="shared" si="681"/>
        <v>920.08422992363649</v>
      </c>
      <c r="AL149" s="2">
        <f t="shared" si="681"/>
        <v>897.92472992363639</v>
      </c>
      <c r="AM149" s="2">
        <f t="shared" si="681"/>
        <v>875.76522992363641</v>
      </c>
      <c r="AN149" s="2">
        <f t="shared" si="681"/>
        <v>853.60572992363643</v>
      </c>
      <c r="AO149" s="2">
        <f t="shared" si="681"/>
        <v>831.44622992363645</v>
      </c>
      <c r="AP149" s="2">
        <f t="shared" si="681"/>
        <v>809.28672992363636</v>
      </c>
      <c r="AQ149" s="2">
        <f t="shared" si="681"/>
        <v>787.12722992363649</v>
      </c>
      <c r="AR149" s="2">
        <f t="shared" si="681"/>
        <v>764.9677299236364</v>
      </c>
      <c r="AS149" s="2">
        <f t="shared" si="681"/>
        <v>742.80822992363653</v>
      </c>
      <c r="AT149" s="2">
        <f t="shared" si="681"/>
        <v>720.64872992363644</v>
      </c>
      <c r="AU149" s="2">
        <f t="shared" si="681"/>
        <v>698.48922992363634</v>
      </c>
      <c r="AV149" s="2">
        <f t="shared" si="681"/>
        <v>676.32972992363636</v>
      </c>
      <c r="AW149" s="2">
        <f t="shared" si="681"/>
        <v>654.17022992363638</v>
      </c>
      <c r="AX149" s="2">
        <f t="shared" si="681"/>
        <v>632.0107299236364</v>
      </c>
      <c r="AY149" s="2">
        <f t="shared" si="681"/>
        <v>609.85122992363642</v>
      </c>
      <c r="AZ149" s="2">
        <f t="shared" si="681"/>
        <v>587.69172992363644</v>
      </c>
      <c r="BA149" s="2">
        <f t="shared" si="681"/>
        <v>565.53222992363646</v>
      </c>
      <c r="BB149" s="2">
        <f t="shared" si="681"/>
        <v>452.42578393890909</v>
      </c>
      <c r="BC149" s="2">
        <f t="shared" si="681"/>
        <v>339.31933795418183</v>
      </c>
      <c r="BD149" s="2">
        <f t="shared" si="681"/>
        <v>226.21289196945452</v>
      </c>
      <c r="BE149" s="2">
        <f t="shared" si="681"/>
        <v>113.10644598472724</v>
      </c>
      <c r="BF149" s="2">
        <f t="shared" si="681"/>
        <v>0</v>
      </c>
      <c r="BG149" s="2">
        <f t="shared" si="681"/>
        <v>0</v>
      </c>
      <c r="BH149" s="2">
        <f t="shared" si="681"/>
        <v>0</v>
      </c>
      <c r="BI149" s="2">
        <f t="shared" si="681"/>
        <v>0</v>
      </c>
      <c r="BJ149" s="2">
        <f t="shared" si="681"/>
        <v>0</v>
      </c>
      <c r="BK149" s="2">
        <f t="shared" si="681"/>
        <v>0</v>
      </c>
      <c r="BL149" s="2">
        <f t="shared" si="681"/>
        <v>0</v>
      </c>
      <c r="BM149" s="2">
        <f t="shared" si="681"/>
        <v>0</v>
      </c>
      <c r="BN149" s="2">
        <f t="shared" si="681"/>
        <v>0</v>
      </c>
      <c r="BO149" s="2">
        <f t="shared" si="681"/>
        <v>0</v>
      </c>
      <c r="BP149" s="2">
        <f t="shared" si="681"/>
        <v>0</v>
      </c>
      <c r="BQ149" s="2">
        <f t="shared" si="681"/>
        <v>0</v>
      </c>
      <c r="BR149" s="2">
        <f t="shared" si="681"/>
        <v>0</v>
      </c>
      <c r="BS149" s="2">
        <f t="shared" si="681"/>
        <v>0</v>
      </c>
      <c r="BT149" s="2">
        <f t="shared" si="681"/>
        <v>0</v>
      </c>
      <c r="BU149" s="2">
        <f t="shared" si="681"/>
        <v>0</v>
      </c>
      <c r="BV149" s="2">
        <f t="shared" si="681"/>
        <v>0</v>
      </c>
      <c r="BW149" s="2">
        <f t="shared" si="681"/>
        <v>0</v>
      </c>
      <c r="BX149" s="2">
        <f t="shared" si="681"/>
        <v>0</v>
      </c>
      <c r="BY149" s="2">
        <f t="shared" ref="BY149:CK149" si="682">BY144*$D149/12</f>
        <v>0</v>
      </c>
      <c r="BZ149" s="2">
        <f t="shared" si="682"/>
        <v>0</v>
      </c>
      <c r="CA149" s="2">
        <f t="shared" si="682"/>
        <v>0</v>
      </c>
      <c r="CB149" s="2">
        <f t="shared" si="682"/>
        <v>0</v>
      </c>
      <c r="CC149" s="2">
        <f t="shared" si="682"/>
        <v>0</v>
      </c>
      <c r="CD149" s="2">
        <f t="shared" si="682"/>
        <v>0</v>
      </c>
      <c r="CE149" s="2">
        <f t="shared" si="682"/>
        <v>0</v>
      </c>
      <c r="CF149" s="2">
        <f t="shared" si="682"/>
        <v>0</v>
      </c>
      <c r="CG149" s="2">
        <f t="shared" si="682"/>
        <v>0</v>
      </c>
      <c r="CH149" s="2">
        <f t="shared" si="682"/>
        <v>0</v>
      </c>
      <c r="CI149" s="2">
        <f t="shared" si="682"/>
        <v>0</v>
      </c>
      <c r="CJ149" s="2">
        <f t="shared" si="682"/>
        <v>0</v>
      </c>
      <c r="CK149" s="2">
        <f t="shared" si="682"/>
        <v>0</v>
      </c>
      <c r="CO149" s="10">
        <f t="shared" ref="CO149:CS152" si="683">SUMIF($L$2:$CK$2,CO$3,$L149:$CK149)</f>
        <v>0</v>
      </c>
      <c r="CP149" s="10">
        <f t="shared" si="683"/>
        <v>7208.8992296945453</v>
      </c>
      <c r="CQ149" s="10">
        <f t="shared" si="683"/>
        <v>11373.403259083636</v>
      </c>
      <c r="CR149" s="10">
        <f t="shared" si="683"/>
        <v>8248.9137590836381</v>
      </c>
      <c r="CS149" s="10">
        <f t="shared" si="683"/>
        <v>1131.0644598472727</v>
      </c>
      <c r="CT149" s="10">
        <f t="shared" ref="CT149:CU152" si="684">SUMIF($L$2:$CK$2,CT$3,$L149:$CK149)</f>
        <v>0</v>
      </c>
      <c r="CU149" s="10">
        <f t="shared" si="684"/>
        <v>0</v>
      </c>
    </row>
    <row r="150" spans="1:99" ht="15" x14ac:dyDescent="0.25">
      <c r="B150" s="326" t="s">
        <v>159</v>
      </c>
      <c r="C150" s="97" t="s">
        <v>403</v>
      </c>
      <c r="D150" s="97"/>
      <c r="R150" s="2">
        <v>25.257830000000002</v>
      </c>
      <c r="S150" s="2">
        <v>21.846799999999998</v>
      </c>
      <c r="T150" s="2">
        <v>13.85084</v>
      </c>
      <c r="U150" s="2">
        <v>11.47641</v>
      </c>
      <c r="V150" s="2">
        <v>8.9041100000000011</v>
      </c>
      <c r="W150" s="2">
        <v>6.3318100000000008</v>
      </c>
      <c r="X150" s="2">
        <v>2.77</v>
      </c>
      <c r="CO150" s="10">
        <f t="shared" si="683"/>
        <v>0</v>
      </c>
      <c r="CP150" s="10">
        <f t="shared" si="683"/>
        <v>90.437799999999996</v>
      </c>
      <c r="CQ150" s="10">
        <f t="shared" si="683"/>
        <v>0</v>
      </c>
      <c r="CR150" s="10">
        <f t="shared" si="683"/>
        <v>0</v>
      </c>
      <c r="CS150" s="10">
        <f t="shared" si="683"/>
        <v>0</v>
      </c>
      <c r="CT150" s="10">
        <f t="shared" si="684"/>
        <v>0</v>
      </c>
      <c r="CU150" s="10">
        <f t="shared" si="684"/>
        <v>0</v>
      </c>
    </row>
    <row r="151" spans="1:99" ht="15" x14ac:dyDescent="0.25">
      <c r="B151" s="327" t="s">
        <v>400</v>
      </c>
      <c r="C151" s="97"/>
      <c r="D151" s="97"/>
      <c r="R151" s="4">
        <f>SUM(R152:R155)</f>
        <v>11310.80169</v>
      </c>
      <c r="S151" s="4">
        <f t="shared" ref="S151" si="685">SUM(S152:S155)</f>
        <v>6832.5515700000005</v>
      </c>
      <c r="T151" s="4">
        <f t="shared" ref="T151" si="686">SUM(T152:T155)</f>
        <v>11103.3812</v>
      </c>
      <c r="U151" s="4">
        <f t="shared" ref="U151" si="687">SUM(U152:U155)</f>
        <v>10406.33347</v>
      </c>
      <c r="V151" s="4">
        <f t="shared" ref="V151" si="688">SUM(V152:V155)</f>
        <v>15147.79221</v>
      </c>
      <c r="W151" s="4">
        <f t="shared" ref="W151" si="689">SUM(W152:W155)</f>
        <v>30065.1476</v>
      </c>
      <c r="X151" s="4">
        <f t="shared" ref="X151" si="690">SUM(X152:X155)</f>
        <v>9115.777</v>
      </c>
      <c r="Y151" s="4">
        <f t="shared" ref="Y151" si="691">SUM(Y152:Y155)</f>
        <v>7812.1239999999998</v>
      </c>
      <c r="Z151" s="4">
        <f t="shared" ref="Z151" si="692">SUM(Z152:Z155)</f>
        <v>6418.0326027272731</v>
      </c>
      <c r="AA151" s="4">
        <f t="shared" ref="AA151" si="693">SUM(AA152:AA155)</f>
        <v>2605</v>
      </c>
      <c r="AB151" s="4">
        <f t="shared" ref="AB151" si="694">SUM(AB152:AB155)</f>
        <v>5449.5</v>
      </c>
      <c r="AC151" s="4">
        <f t="shared" ref="AC151" si="695">SUM(AC152:AC155)</f>
        <v>9786</v>
      </c>
      <c r="AD151" s="4">
        <f t="shared" ref="AD151" si="696">SUM(AD152:AD155)</f>
        <v>2500</v>
      </c>
      <c r="AE151" s="4">
        <f t="shared" ref="AE151" si="697">SUM(AE152:AE155)</f>
        <v>2500</v>
      </c>
      <c r="AF151" s="4">
        <f t="shared" ref="AF151" si="698">SUM(AF152:AF155)</f>
        <v>5000</v>
      </c>
      <c r="AG151" s="4">
        <f t="shared" ref="AG151" si="699">SUM(AG152:AG155)</f>
        <v>10942</v>
      </c>
      <c r="AH151" s="4">
        <f t="shared" ref="AH151" si="700">SUM(AH152:AH155)</f>
        <v>3622</v>
      </c>
      <c r="AI151" s="4">
        <f t="shared" ref="AI151" si="701">SUM(AI152:AI155)</f>
        <v>3622</v>
      </c>
      <c r="AJ151" s="4">
        <f t="shared" ref="AJ151" si="702">SUM(AJ152:AJ155)</f>
        <v>3622</v>
      </c>
      <c r="AK151" s="4">
        <f t="shared" ref="AK151" si="703">SUM(AK152:AK155)</f>
        <v>3622</v>
      </c>
      <c r="AL151" s="4">
        <f t="shared" ref="AL151" si="704">SUM(AL152:AL155)</f>
        <v>3622</v>
      </c>
      <c r="AM151" s="4">
        <f t="shared" ref="AM151" si="705">SUM(AM152:AM155)</f>
        <v>3622</v>
      </c>
      <c r="AN151" s="4">
        <f t="shared" ref="AN151" si="706">SUM(AN152:AN155)</f>
        <v>1122</v>
      </c>
      <c r="AO151" s="4">
        <f t="shared" ref="AO151" si="707">SUM(AO152:AO155)</f>
        <v>1122</v>
      </c>
      <c r="AP151" s="4">
        <f t="shared" ref="AP151" si="708">SUM(AP152:AP155)</f>
        <v>1122</v>
      </c>
      <c r="AQ151" s="4">
        <f t="shared" ref="AQ151" si="709">SUM(AQ152:AQ155)</f>
        <v>1122</v>
      </c>
      <c r="AR151" s="4">
        <f t="shared" ref="AR151" si="710">SUM(AR152:AR155)</f>
        <v>1122</v>
      </c>
      <c r="AS151" s="4">
        <f t="shared" ref="AS151" si="711">SUM(AS152:AS155)</f>
        <v>2570.666666666667</v>
      </c>
      <c r="AT151" s="4">
        <f t="shared" ref="AT151" si="712">SUM(AT152:AT155)</f>
        <v>2570.666666666667</v>
      </c>
      <c r="AU151" s="4">
        <f t="shared" ref="AU151" si="713">SUM(AU152:AU155)</f>
        <v>2570.666666666667</v>
      </c>
      <c r="AV151" s="4">
        <f t="shared" ref="AV151" si="714">SUM(AV152:AV155)</f>
        <v>2570.666666666667</v>
      </c>
      <c r="AW151" s="4">
        <f t="shared" ref="AW151" si="715">SUM(AW152:AW155)</f>
        <v>2570.666666666667</v>
      </c>
      <c r="AX151" s="4">
        <f t="shared" ref="AX151" si="716">SUM(AX152:AX155)</f>
        <v>2570.666666666667</v>
      </c>
      <c r="AY151" s="4">
        <f t="shared" ref="AY151" si="717">SUM(AY152:AY155)</f>
        <v>1122</v>
      </c>
      <c r="AZ151" s="4">
        <f t="shared" ref="AZ151" si="718">SUM(AZ152:AZ155)</f>
        <v>1122</v>
      </c>
      <c r="BA151" s="4">
        <f t="shared" ref="BA151" si="719">SUM(BA152:BA155)</f>
        <v>1122</v>
      </c>
      <c r="BB151" s="4">
        <f t="shared" ref="BB151" si="720">SUM(BB152:BB155)</f>
        <v>5726.9086574545463</v>
      </c>
      <c r="BC151" s="4">
        <f t="shared" ref="BC151" si="721">SUM(BC152:BC155)</f>
        <v>5726.9086574545463</v>
      </c>
      <c r="BD151" s="4">
        <f t="shared" ref="BD151" si="722">SUM(BD152:BD155)</f>
        <v>5726.9086574545463</v>
      </c>
      <c r="BE151" s="4">
        <f t="shared" ref="BE151" si="723">SUM(BE152:BE155)</f>
        <v>5726.9086574545463</v>
      </c>
      <c r="BF151" s="4">
        <f t="shared" ref="BF151" si="724">SUM(BF152:BF155)</f>
        <v>5726.9086574545463</v>
      </c>
      <c r="BG151" s="4">
        <f t="shared" ref="BG151" si="725">SUM(BG152:BG155)</f>
        <v>0</v>
      </c>
      <c r="BH151" s="4">
        <f t="shared" ref="BH151" si="726">SUM(BH152:BH155)</f>
        <v>0</v>
      </c>
      <c r="BI151" s="4">
        <f t="shared" ref="BI151" si="727">SUM(BI152:BI155)</f>
        <v>0</v>
      </c>
      <c r="BJ151" s="4">
        <f t="shared" ref="BJ151" si="728">SUM(BJ152:BJ155)</f>
        <v>0</v>
      </c>
      <c r="BK151" s="4">
        <f t="shared" ref="BK151" si="729">SUM(BK152:BK155)</f>
        <v>0</v>
      </c>
      <c r="BL151" s="4">
        <f t="shared" ref="BL151" si="730">SUM(BL152:BL155)</f>
        <v>0</v>
      </c>
      <c r="BM151" s="4">
        <f t="shared" ref="BM151" si="731">SUM(BM152:BM155)</f>
        <v>0</v>
      </c>
      <c r="BN151" s="4">
        <f t="shared" ref="BN151" si="732">SUM(BN152:BN155)</f>
        <v>0</v>
      </c>
      <c r="BO151" s="4">
        <f t="shared" ref="BO151" si="733">SUM(BO152:BO155)</f>
        <v>0</v>
      </c>
      <c r="BP151" s="4">
        <f t="shared" ref="BP151" si="734">SUM(BP152:BP155)</f>
        <v>0</v>
      </c>
      <c r="BQ151" s="4">
        <f t="shared" ref="BQ151" si="735">SUM(BQ152:BQ155)</f>
        <v>0</v>
      </c>
      <c r="BR151" s="4">
        <f t="shared" ref="BR151" si="736">SUM(BR152:BR155)</f>
        <v>0</v>
      </c>
      <c r="BS151" s="4">
        <f t="shared" ref="BS151" si="737">SUM(BS152:BS155)</f>
        <v>0</v>
      </c>
      <c r="BT151" s="4">
        <f t="shared" ref="BT151" si="738">SUM(BT152:BT155)</f>
        <v>0</v>
      </c>
      <c r="BU151" s="4">
        <f t="shared" ref="BU151" si="739">SUM(BU152:BU155)</f>
        <v>0</v>
      </c>
      <c r="BV151" s="4">
        <f t="shared" ref="BV151" si="740">SUM(BV152:BV155)</f>
        <v>0</v>
      </c>
      <c r="BW151" s="4">
        <f t="shared" ref="BW151" si="741">SUM(BW152:BW155)</f>
        <v>0</v>
      </c>
      <c r="BX151" s="4">
        <f t="shared" ref="BX151:CK151" si="742">SUM(BX152:BX155)</f>
        <v>0</v>
      </c>
      <c r="BY151" s="4">
        <f t="shared" si="742"/>
        <v>0</v>
      </c>
      <c r="BZ151" s="4">
        <f t="shared" si="742"/>
        <v>0</v>
      </c>
      <c r="CA151" s="4">
        <f t="shared" si="742"/>
        <v>0</v>
      </c>
      <c r="CB151" s="4">
        <f t="shared" si="742"/>
        <v>0</v>
      </c>
      <c r="CC151" s="4">
        <f t="shared" si="742"/>
        <v>0</v>
      </c>
      <c r="CD151" s="4">
        <f t="shared" si="742"/>
        <v>0</v>
      </c>
      <c r="CE151" s="4">
        <f t="shared" si="742"/>
        <v>0</v>
      </c>
      <c r="CF151" s="4">
        <f t="shared" si="742"/>
        <v>0</v>
      </c>
      <c r="CG151" s="4">
        <f t="shared" si="742"/>
        <v>0</v>
      </c>
      <c r="CH151" s="4">
        <f t="shared" si="742"/>
        <v>0</v>
      </c>
      <c r="CI151" s="4">
        <f t="shared" si="742"/>
        <v>0</v>
      </c>
      <c r="CJ151" s="4">
        <f t="shared" si="742"/>
        <v>0</v>
      </c>
      <c r="CK151" s="4">
        <f t="shared" si="742"/>
        <v>0</v>
      </c>
      <c r="CO151" s="14">
        <f t="shared" si="683"/>
        <v>0</v>
      </c>
      <c r="CP151" s="14">
        <f t="shared" si="683"/>
        <v>126052.44134272727</v>
      </c>
      <c r="CQ151" s="14">
        <f t="shared" si="683"/>
        <v>44918</v>
      </c>
      <c r="CR151" s="14">
        <f t="shared" si="683"/>
        <v>22156.000000000004</v>
      </c>
      <c r="CS151" s="14">
        <f t="shared" si="683"/>
        <v>28634.543287272732</v>
      </c>
      <c r="CT151" s="14">
        <f t="shared" si="684"/>
        <v>0</v>
      </c>
      <c r="CU151" s="14">
        <f t="shared" si="684"/>
        <v>0</v>
      </c>
    </row>
    <row r="152" spans="1:99" ht="15" x14ac:dyDescent="0.25">
      <c r="B152" s="326" t="s">
        <v>391</v>
      </c>
      <c r="C152" s="97" t="s">
        <v>392</v>
      </c>
      <c r="D152" s="97"/>
      <c r="R152" s="2">
        <v>10866.357239999999</v>
      </c>
      <c r="S152" s="2">
        <v>6388.1072400000003</v>
      </c>
      <c r="T152" s="2">
        <v>10825.603419999999</v>
      </c>
      <c r="U152" s="2">
        <v>10128.555689999999</v>
      </c>
      <c r="V152" s="2">
        <v>14870.014429999999</v>
      </c>
      <c r="W152" s="2">
        <v>29137.36982</v>
      </c>
      <c r="X152" s="2">
        <v>4476</v>
      </c>
      <c r="Y152" s="2">
        <v>4000</v>
      </c>
      <c r="Z152" s="2">
        <f>Y152</f>
        <v>4000</v>
      </c>
      <c r="AA152" s="2">
        <f>Z152-1367-28</f>
        <v>2605</v>
      </c>
      <c r="AB152" s="2">
        <f t="shared" ref="AB152" si="743">AA152</f>
        <v>2605</v>
      </c>
      <c r="AC152" s="2">
        <f>6996+2790</f>
        <v>9786</v>
      </c>
      <c r="AD152" s="2">
        <v>2500</v>
      </c>
      <c r="AE152" s="2">
        <f t="shared" ref="AE152" si="744">AD152</f>
        <v>2500</v>
      </c>
      <c r="AF152" s="2">
        <v>5000</v>
      </c>
      <c r="AG152" s="2">
        <f>10000-180</f>
        <v>9820</v>
      </c>
      <c r="AH152" s="2">
        <v>2500</v>
      </c>
      <c r="AI152" s="2">
        <v>2500</v>
      </c>
      <c r="AJ152" s="2">
        <f>AI152</f>
        <v>2500</v>
      </c>
      <c r="AK152" s="2">
        <f t="shared" ref="AK152:AL152" si="745">AJ152</f>
        <v>2500</v>
      </c>
      <c r="AL152" s="2">
        <f t="shared" si="745"/>
        <v>2500</v>
      </c>
      <c r="AM152" s="2">
        <f t="shared" ref="AM152" si="746">AL152</f>
        <v>2500</v>
      </c>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O152" s="10">
        <f t="shared" si="683"/>
        <v>0</v>
      </c>
      <c r="CP152" s="10">
        <f t="shared" si="683"/>
        <v>109688.00784000001</v>
      </c>
      <c r="CQ152" s="10">
        <f t="shared" si="683"/>
        <v>34820</v>
      </c>
      <c r="CR152" s="10">
        <f t="shared" si="683"/>
        <v>0</v>
      </c>
      <c r="CS152" s="10">
        <f t="shared" si="683"/>
        <v>0</v>
      </c>
      <c r="CT152" s="10">
        <f t="shared" si="684"/>
        <v>0</v>
      </c>
      <c r="CU152" s="10">
        <f t="shared" si="684"/>
        <v>0</v>
      </c>
    </row>
    <row r="153" spans="1:99" ht="15" x14ac:dyDescent="0.25">
      <c r="B153" s="326" t="s">
        <v>391</v>
      </c>
      <c r="C153" s="97" t="s">
        <v>392</v>
      </c>
      <c r="D153" s="97"/>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f>MAX($AQ143:AR143)/6</f>
        <v>1448.6666666666667</v>
      </c>
      <c r="AT153" s="2">
        <f>MAX($AQ143:AS143)/6</f>
        <v>1448.6666666666667</v>
      </c>
      <c r="AU153" s="2">
        <f>MAX($AQ143:AT143)/6</f>
        <v>1448.6666666666667</v>
      </c>
      <c r="AV153" s="2">
        <f>MAX($AQ143:AU143)/6</f>
        <v>1448.6666666666667</v>
      </c>
      <c r="AW153" s="2">
        <f>MAX($AQ143:AV143)/6</f>
        <v>1448.6666666666667</v>
      </c>
      <c r="AX153" s="2">
        <f>MAX($AQ143:AW143)/6</f>
        <v>1448.6666666666667</v>
      </c>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O153" s="10"/>
      <c r="CP153" s="10"/>
      <c r="CQ153" s="10"/>
      <c r="CR153" s="10"/>
      <c r="CS153" s="10"/>
      <c r="CT153" s="10"/>
      <c r="CU153" s="10"/>
    </row>
    <row r="154" spans="1:99" ht="15" x14ac:dyDescent="0.25">
      <c r="B154" s="326" t="s">
        <v>386</v>
      </c>
      <c r="C154" s="97" t="s">
        <v>403</v>
      </c>
      <c r="D154" s="339">
        <v>46904</v>
      </c>
      <c r="R154" s="2">
        <v>0</v>
      </c>
      <c r="S154" s="2">
        <v>0</v>
      </c>
      <c r="T154" s="2">
        <v>0</v>
      </c>
      <c r="U154" s="2">
        <v>0</v>
      </c>
      <c r="V154" s="2">
        <v>0</v>
      </c>
      <c r="W154" s="2">
        <f>372+278</f>
        <v>650</v>
      </c>
      <c r="X154" s="2">
        <f>4685+480-803</f>
        <v>4362</v>
      </c>
      <c r="Y154" s="2">
        <f>3850.124-38</f>
        <v>3812.1239999999998</v>
      </c>
      <c r="Z154" s="2">
        <v>2418.0326027272731</v>
      </c>
      <c r="AA154" s="2"/>
      <c r="AB154" s="2">
        <f>2789+55.5</f>
        <v>2844.5</v>
      </c>
      <c r="AC154" s="2"/>
      <c r="AD154" s="2">
        <f t="shared" ref="AD154:AO154" si="747">AC154</f>
        <v>0</v>
      </c>
      <c r="AE154" s="2">
        <f t="shared" si="747"/>
        <v>0</v>
      </c>
      <c r="AF154" s="2">
        <f t="shared" si="747"/>
        <v>0</v>
      </c>
      <c r="AG154" s="2">
        <f>52197-51075</f>
        <v>1122</v>
      </c>
      <c r="AH154" s="2">
        <f t="shared" si="747"/>
        <v>1122</v>
      </c>
      <c r="AI154" s="2">
        <f t="shared" si="747"/>
        <v>1122</v>
      </c>
      <c r="AJ154" s="2">
        <f t="shared" si="747"/>
        <v>1122</v>
      </c>
      <c r="AK154" s="2">
        <f t="shared" si="747"/>
        <v>1122</v>
      </c>
      <c r="AL154" s="2">
        <f t="shared" si="747"/>
        <v>1122</v>
      </c>
      <c r="AM154" s="2">
        <f t="shared" si="747"/>
        <v>1122</v>
      </c>
      <c r="AN154" s="2">
        <f t="shared" si="747"/>
        <v>1122</v>
      </c>
      <c r="AO154" s="2">
        <f t="shared" si="747"/>
        <v>1122</v>
      </c>
      <c r="AP154" s="2">
        <f t="shared" ref="AP154" si="748">AO154</f>
        <v>1122</v>
      </c>
      <c r="AQ154" s="2">
        <f t="shared" ref="AQ154" si="749">AP154</f>
        <v>1122</v>
      </c>
      <c r="AR154" s="2">
        <f t="shared" ref="AR154" si="750">AQ154</f>
        <v>1122</v>
      </c>
      <c r="AS154" s="2">
        <f t="shared" ref="AS154" si="751">AR154</f>
        <v>1122</v>
      </c>
      <c r="AT154" s="2">
        <f t="shared" ref="AT154" si="752">AS154</f>
        <v>1122</v>
      </c>
      <c r="AU154" s="2">
        <f t="shared" ref="AU154" si="753">AT154</f>
        <v>1122</v>
      </c>
      <c r="AV154" s="2">
        <f t="shared" ref="AV154" si="754">AU154</f>
        <v>1122</v>
      </c>
      <c r="AW154" s="2">
        <f t="shared" ref="AW154" si="755">AV154</f>
        <v>1122</v>
      </c>
      <c r="AX154" s="2">
        <f t="shared" ref="AX154" si="756">AW154</f>
        <v>1122</v>
      </c>
      <c r="AY154" s="2">
        <f t="shared" ref="AY154" si="757">AX154</f>
        <v>1122</v>
      </c>
      <c r="AZ154" s="2">
        <f t="shared" ref="AZ154" si="758">AY154</f>
        <v>1122</v>
      </c>
      <c r="BA154" s="2">
        <f t="shared" ref="BA154" si="759">AZ154</f>
        <v>1122</v>
      </c>
      <c r="BB154" s="2">
        <f>BA144/5</f>
        <v>5726.9086574545463</v>
      </c>
      <c r="BC154" s="2">
        <f t="shared" ref="BC154" si="760">BB154</f>
        <v>5726.9086574545463</v>
      </c>
      <c r="BD154" s="2">
        <f t="shared" ref="BD154" si="761">BC154</f>
        <v>5726.9086574545463</v>
      </c>
      <c r="BE154" s="2">
        <f t="shared" ref="BE154" si="762">BD154</f>
        <v>5726.9086574545463</v>
      </c>
      <c r="BF154" s="2">
        <f t="shared" ref="BF154" si="763">BE154</f>
        <v>5726.9086574545463</v>
      </c>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O154" s="10">
        <f t="shared" ref="CO154:CS155" si="764">SUMIF($L$2:$CK$2,CO$3,$L154:$CK154)</f>
        <v>0</v>
      </c>
      <c r="CP154" s="10">
        <f t="shared" si="764"/>
        <v>14086.656602727273</v>
      </c>
      <c r="CQ154" s="10">
        <f t="shared" si="764"/>
        <v>10098</v>
      </c>
      <c r="CR154" s="10">
        <f t="shared" si="764"/>
        <v>13464</v>
      </c>
      <c r="CS154" s="10">
        <f t="shared" si="764"/>
        <v>28634.543287272732</v>
      </c>
      <c r="CT154" s="10">
        <f t="shared" ref="CT154:CU155" si="765">SUMIF($L$2:$CK$2,CT$3,$L154:$CK154)</f>
        <v>0</v>
      </c>
      <c r="CU154" s="10">
        <f t="shared" si="765"/>
        <v>0</v>
      </c>
    </row>
    <row r="155" spans="1:99" ht="15" x14ac:dyDescent="0.25">
      <c r="B155" s="326" t="s">
        <v>159</v>
      </c>
      <c r="C155" s="97" t="s">
        <v>403</v>
      </c>
      <c r="D155" s="97"/>
      <c r="R155" s="2">
        <v>444.44445000000002</v>
      </c>
      <c r="S155" s="2">
        <v>444.44433000000004</v>
      </c>
      <c r="T155" s="2">
        <v>277.77778000000001</v>
      </c>
      <c r="U155" s="2">
        <v>277.77778000000001</v>
      </c>
      <c r="V155" s="2">
        <v>277.77778000000001</v>
      </c>
      <c r="W155" s="2">
        <v>277.77778000000001</v>
      </c>
      <c r="X155" s="2">
        <v>277.77699999999999</v>
      </c>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O155" s="10">
        <f t="shared" si="764"/>
        <v>0</v>
      </c>
      <c r="CP155" s="10">
        <f t="shared" si="764"/>
        <v>2277.7768999999998</v>
      </c>
      <c r="CQ155" s="10">
        <f t="shared" si="764"/>
        <v>0</v>
      </c>
      <c r="CR155" s="10">
        <f t="shared" si="764"/>
        <v>0</v>
      </c>
      <c r="CS155" s="10">
        <f t="shared" si="764"/>
        <v>0</v>
      </c>
      <c r="CT155" s="10">
        <f t="shared" si="765"/>
        <v>0</v>
      </c>
      <c r="CU155" s="10">
        <f t="shared" si="765"/>
        <v>0</v>
      </c>
    </row>
    <row r="156" spans="1:99" ht="15" x14ac:dyDescent="0.25">
      <c r="R156" s="2"/>
      <c r="S156" s="2"/>
      <c r="T156" s="2"/>
      <c r="U156" s="2"/>
      <c r="V156" s="2"/>
      <c r="W156" s="2"/>
    </row>
    <row r="157" spans="1:99" customFormat="1" ht="15" x14ac:dyDescent="0.25">
      <c r="B157" s="328" t="s">
        <v>394</v>
      </c>
      <c r="C157" s="162"/>
      <c r="D157" s="162"/>
      <c r="G157" s="329"/>
      <c r="H157" s="329"/>
      <c r="W157" s="2"/>
      <c r="X157" s="2"/>
    </row>
    <row r="158" spans="1:99" customFormat="1" ht="15" x14ac:dyDescent="0.25">
      <c r="A158" s="330"/>
      <c r="B158" s="194" t="s">
        <v>1</v>
      </c>
      <c r="C158" s="194" t="s">
        <v>2</v>
      </c>
      <c r="D158" s="331"/>
      <c r="F158" s="196">
        <f>F135</f>
        <v>45292</v>
      </c>
      <c r="G158" s="196">
        <f t="shared" ref="G158:BR158" si="766">G135</f>
        <v>45323</v>
      </c>
      <c r="H158" s="196">
        <f t="shared" si="766"/>
        <v>45352</v>
      </c>
      <c r="I158" s="196">
        <f t="shared" si="766"/>
        <v>45383</v>
      </c>
      <c r="J158" s="196">
        <f t="shared" si="766"/>
        <v>45413</v>
      </c>
      <c r="K158" s="196">
        <f t="shared" si="766"/>
        <v>45444</v>
      </c>
      <c r="L158" s="196">
        <f t="shared" si="766"/>
        <v>45474</v>
      </c>
      <c r="M158" s="196">
        <f t="shared" si="766"/>
        <v>45505</v>
      </c>
      <c r="N158" s="196">
        <f t="shared" si="766"/>
        <v>45536</v>
      </c>
      <c r="O158" s="196">
        <f t="shared" si="766"/>
        <v>45566</v>
      </c>
      <c r="P158" s="196">
        <f t="shared" si="766"/>
        <v>45597</v>
      </c>
      <c r="Q158" s="196">
        <f t="shared" si="766"/>
        <v>45627</v>
      </c>
      <c r="R158" s="196">
        <f t="shared" si="766"/>
        <v>45658</v>
      </c>
      <c r="S158" s="196">
        <f t="shared" si="766"/>
        <v>45689</v>
      </c>
      <c r="T158" s="196">
        <f t="shared" si="766"/>
        <v>45717</v>
      </c>
      <c r="U158" s="196">
        <f t="shared" si="766"/>
        <v>45748</v>
      </c>
      <c r="V158" s="196">
        <f t="shared" si="766"/>
        <v>45778</v>
      </c>
      <c r="W158" s="196">
        <f t="shared" si="766"/>
        <v>45809</v>
      </c>
      <c r="X158" s="196">
        <f t="shared" si="766"/>
        <v>45839</v>
      </c>
      <c r="Y158" s="196">
        <f t="shared" si="766"/>
        <v>45870</v>
      </c>
      <c r="Z158" s="196">
        <f t="shared" si="766"/>
        <v>45901</v>
      </c>
      <c r="AA158" s="196">
        <f t="shared" si="766"/>
        <v>45931</v>
      </c>
      <c r="AB158" s="196">
        <f t="shared" si="766"/>
        <v>45962</v>
      </c>
      <c r="AC158" s="196">
        <f t="shared" si="766"/>
        <v>45992</v>
      </c>
      <c r="AD158" s="196">
        <f t="shared" si="766"/>
        <v>46023</v>
      </c>
      <c r="AE158" s="196">
        <f t="shared" si="766"/>
        <v>46054</v>
      </c>
      <c r="AF158" s="196">
        <f t="shared" si="766"/>
        <v>46082</v>
      </c>
      <c r="AG158" s="196">
        <f t="shared" si="766"/>
        <v>46113</v>
      </c>
      <c r="AH158" s="196">
        <f t="shared" si="766"/>
        <v>46143</v>
      </c>
      <c r="AI158" s="196">
        <f t="shared" si="766"/>
        <v>46174</v>
      </c>
      <c r="AJ158" s="196">
        <f t="shared" si="766"/>
        <v>46204</v>
      </c>
      <c r="AK158" s="196">
        <f t="shared" si="766"/>
        <v>46235</v>
      </c>
      <c r="AL158" s="196">
        <f t="shared" si="766"/>
        <v>46266</v>
      </c>
      <c r="AM158" s="196">
        <f t="shared" si="766"/>
        <v>46296</v>
      </c>
      <c r="AN158" s="196">
        <f t="shared" si="766"/>
        <v>46327</v>
      </c>
      <c r="AO158" s="196">
        <f t="shared" si="766"/>
        <v>46357</v>
      </c>
      <c r="AP158" s="196">
        <f t="shared" si="766"/>
        <v>46388</v>
      </c>
      <c r="AQ158" s="196">
        <f t="shared" si="766"/>
        <v>46419</v>
      </c>
      <c r="AR158" s="196">
        <f t="shared" si="766"/>
        <v>46447</v>
      </c>
      <c r="AS158" s="196">
        <f t="shared" si="766"/>
        <v>46478</v>
      </c>
      <c r="AT158" s="196">
        <f t="shared" si="766"/>
        <v>46508</v>
      </c>
      <c r="AU158" s="196">
        <f t="shared" si="766"/>
        <v>46539</v>
      </c>
      <c r="AV158" s="196">
        <f t="shared" si="766"/>
        <v>46569</v>
      </c>
      <c r="AW158" s="196">
        <f t="shared" si="766"/>
        <v>46600</v>
      </c>
      <c r="AX158" s="196">
        <f t="shared" si="766"/>
        <v>46631</v>
      </c>
      <c r="AY158" s="196">
        <f t="shared" si="766"/>
        <v>46661</v>
      </c>
      <c r="AZ158" s="196">
        <f t="shared" si="766"/>
        <v>46692</v>
      </c>
      <c r="BA158" s="196">
        <f t="shared" si="766"/>
        <v>46722</v>
      </c>
      <c r="BB158" s="196">
        <f t="shared" si="766"/>
        <v>46753</v>
      </c>
      <c r="BC158" s="196">
        <f t="shared" si="766"/>
        <v>46784</v>
      </c>
      <c r="BD158" s="196">
        <f t="shared" si="766"/>
        <v>46813</v>
      </c>
      <c r="BE158" s="196">
        <f t="shared" si="766"/>
        <v>46844</v>
      </c>
      <c r="BF158" s="196">
        <f t="shared" si="766"/>
        <v>46874</v>
      </c>
      <c r="BG158" s="196">
        <f t="shared" si="766"/>
        <v>46905</v>
      </c>
      <c r="BH158" s="196">
        <f t="shared" si="766"/>
        <v>46935</v>
      </c>
      <c r="BI158" s="196">
        <f t="shared" si="766"/>
        <v>46966</v>
      </c>
      <c r="BJ158" s="196">
        <f t="shared" si="766"/>
        <v>46997</v>
      </c>
      <c r="BK158" s="196">
        <f t="shared" si="766"/>
        <v>47027</v>
      </c>
      <c r="BL158" s="196">
        <f t="shared" si="766"/>
        <v>47058</v>
      </c>
      <c r="BM158" s="196">
        <f t="shared" si="766"/>
        <v>47088</v>
      </c>
      <c r="BN158" s="196">
        <f t="shared" si="766"/>
        <v>47119</v>
      </c>
      <c r="BO158" s="196">
        <f t="shared" si="766"/>
        <v>47150</v>
      </c>
      <c r="BP158" s="196">
        <f t="shared" si="766"/>
        <v>47178</v>
      </c>
      <c r="BQ158" s="196">
        <f t="shared" si="766"/>
        <v>47209</v>
      </c>
      <c r="BR158" s="196">
        <f t="shared" si="766"/>
        <v>47239</v>
      </c>
      <c r="BS158" s="196">
        <f t="shared" ref="BS158:BX158" si="767">BS135</f>
        <v>47270</v>
      </c>
      <c r="BT158" s="196">
        <f t="shared" si="767"/>
        <v>47300</v>
      </c>
      <c r="BU158" s="196">
        <f t="shared" si="767"/>
        <v>47331</v>
      </c>
      <c r="BV158" s="196">
        <f t="shared" si="767"/>
        <v>47362</v>
      </c>
      <c r="BW158" s="196">
        <f t="shared" si="767"/>
        <v>47392</v>
      </c>
      <c r="BX158" s="196">
        <f t="shared" si="767"/>
        <v>47423</v>
      </c>
      <c r="BY158" s="196">
        <f t="shared" ref="BY158:CK158" si="768">BY135</f>
        <v>47453</v>
      </c>
      <c r="BZ158" s="196">
        <f t="shared" si="768"/>
        <v>47484</v>
      </c>
      <c r="CA158" s="196">
        <f t="shared" si="768"/>
        <v>47515</v>
      </c>
      <c r="CB158" s="196">
        <f t="shared" si="768"/>
        <v>47543</v>
      </c>
      <c r="CC158" s="196">
        <f t="shared" si="768"/>
        <v>47574</v>
      </c>
      <c r="CD158" s="196">
        <f t="shared" si="768"/>
        <v>47604</v>
      </c>
      <c r="CE158" s="196">
        <f t="shared" si="768"/>
        <v>47635</v>
      </c>
      <c r="CF158" s="196">
        <f t="shared" si="768"/>
        <v>47665</v>
      </c>
      <c r="CG158" s="196">
        <f t="shared" si="768"/>
        <v>47696</v>
      </c>
      <c r="CH158" s="196">
        <f t="shared" si="768"/>
        <v>47727</v>
      </c>
      <c r="CI158" s="196">
        <f t="shared" si="768"/>
        <v>47757</v>
      </c>
      <c r="CJ158" s="196">
        <f t="shared" si="768"/>
        <v>47788</v>
      </c>
      <c r="CK158" s="196">
        <f t="shared" si="768"/>
        <v>47818</v>
      </c>
    </row>
    <row r="159" spans="1:99" customFormat="1" ht="15" x14ac:dyDescent="0.25">
      <c r="A159" s="162"/>
      <c r="B159" s="332" t="s">
        <v>395</v>
      </c>
      <c r="C159" s="333" t="s">
        <v>396</v>
      </c>
      <c r="D159" s="334" t="s">
        <v>397</v>
      </c>
      <c r="F159" s="177"/>
      <c r="G159" s="177"/>
      <c r="H159" s="177"/>
      <c r="I159" s="177"/>
      <c r="J159" s="177"/>
      <c r="K159" s="335"/>
      <c r="L159" s="335"/>
      <c r="M159" s="335"/>
      <c r="N159" s="335"/>
      <c r="O159" s="335"/>
      <c r="P159" s="335"/>
      <c r="Q159" s="335"/>
      <c r="R159" s="335"/>
      <c r="S159" s="335"/>
      <c r="T159" s="335"/>
      <c r="U159" s="335"/>
      <c r="V159" s="335"/>
      <c r="W159" s="335"/>
      <c r="X159" s="335">
        <v>0.2</v>
      </c>
      <c r="Y159" s="335">
        <v>0.18</v>
      </c>
      <c r="Z159" s="335">
        <v>0.17</v>
      </c>
      <c r="AA159" s="335">
        <f t="shared" ref="AA159:AC159" si="769">Z159</f>
        <v>0.17</v>
      </c>
      <c r="AB159" s="335">
        <f t="shared" si="769"/>
        <v>0.17</v>
      </c>
      <c r="AC159" s="335">
        <f t="shared" si="769"/>
        <v>0.17</v>
      </c>
      <c r="AD159" s="335">
        <v>0.16</v>
      </c>
      <c r="AE159" s="335">
        <v>0.155</v>
      </c>
      <c r="AF159" s="335">
        <v>0.15</v>
      </c>
      <c r="AG159" s="335">
        <v>0.14000000000000001</v>
      </c>
      <c r="AH159" s="335">
        <v>0.13500000000000001</v>
      </c>
      <c r="AI159" s="335">
        <v>0.13</v>
      </c>
      <c r="AJ159" s="335">
        <v>0.12</v>
      </c>
      <c r="AK159" s="335">
        <f t="shared" ref="AK159" si="770">AJ159</f>
        <v>0.12</v>
      </c>
      <c r="AL159" s="335">
        <f t="shared" ref="AL159" si="771">AK159</f>
        <v>0.12</v>
      </c>
      <c r="AM159" s="335">
        <f t="shared" ref="AM159" si="772">AL159</f>
        <v>0.12</v>
      </c>
      <c r="AN159" s="335">
        <f t="shared" ref="AN159" si="773">AM159</f>
        <v>0.12</v>
      </c>
      <c r="AO159" s="335">
        <f t="shared" ref="AO159" si="774">AN159</f>
        <v>0.12</v>
      </c>
      <c r="AP159" s="335">
        <v>0.08</v>
      </c>
      <c r="AQ159" s="335">
        <f t="shared" ref="AQ159" si="775">AP159</f>
        <v>0.08</v>
      </c>
      <c r="AR159" s="335">
        <f t="shared" ref="AR159" si="776">AQ159</f>
        <v>0.08</v>
      </c>
      <c r="AS159" s="335">
        <f t="shared" ref="AS159" si="777">AR159</f>
        <v>0.08</v>
      </c>
      <c r="AT159" s="335">
        <f t="shared" ref="AT159" si="778">AS159</f>
        <v>0.08</v>
      </c>
      <c r="AU159" s="335">
        <f t="shared" ref="AU159" si="779">AT159</f>
        <v>0.08</v>
      </c>
      <c r="AV159" s="335">
        <f t="shared" ref="AV159" si="780">AU159</f>
        <v>0.08</v>
      </c>
      <c r="AW159" s="335">
        <f t="shared" ref="AW159" si="781">AV159</f>
        <v>0.08</v>
      </c>
      <c r="AX159" s="335">
        <f t="shared" ref="AX159" si="782">AW159</f>
        <v>0.08</v>
      </c>
      <c r="AY159" s="335">
        <f t="shared" ref="AY159" si="783">AX159</f>
        <v>0.08</v>
      </c>
      <c r="AZ159" s="335">
        <f t="shared" ref="AZ159" si="784">AY159</f>
        <v>0.08</v>
      </c>
      <c r="BA159" s="335">
        <f t="shared" ref="BA159" si="785">AZ159</f>
        <v>0.08</v>
      </c>
      <c r="BB159" s="335">
        <f t="shared" ref="BB159" si="786">BA159</f>
        <v>0.08</v>
      </c>
      <c r="BC159" s="335">
        <f t="shared" ref="BC159" si="787">BB159</f>
        <v>0.08</v>
      </c>
      <c r="BD159" s="335">
        <f t="shared" ref="BD159" si="788">BC159</f>
        <v>0.08</v>
      </c>
      <c r="BE159" s="335">
        <f t="shared" ref="BE159" si="789">BD159</f>
        <v>0.08</v>
      </c>
      <c r="BF159" s="335">
        <f t="shared" ref="BF159" si="790">BE159</f>
        <v>0.08</v>
      </c>
      <c r="BG159" s="335">
        <f t="shared" ref="BG159" si="791">BF159</f>
        <v>0.08</v>
      </c>
      <c r="BH159" s="335">
        <f t="shared" ref="BH159" si="792">BG159</f>
        <v>0.08</v>
      </c>
      <c r="BI159" s="335">
        <f t="shared" ref="BI159" si="793">BH159</f>
        <v>0.08</v>
      </c>
      <c r="BJ159" s="335">
        <f t="shared" ref="BJ159" si="794">BI159</f>
        <v>0.08</v>
      </c>
      <c r="BK159" s="335">
        <f t="shared" ref="BK159" si="795">BJ159</f>
        <v>0.08</v>
      </c>
      <c r="BL159" s="335">
        <f t="shared" ref="BL159" si="796">BK159</f>
        <v>0.08</v>
      </c>
      <c r="BM159" s="335">
        <f t="shared" ref="BM159" si="797">BL159</f>
        <v>0.08</v>
      </c>
      <c r="BN159" s="335">
        <f t="shared" ref="BN159" si="798">BM159</f>
        <v>0.08</v>
      </c>
      <c r="BO159" s="335">
        <f t="shared" ref="BO159" si="799">BN159</f>
        <v>0.08</v>
      </c>
      <c r="BP159" s="335">
        <f t="shared" ref="BP159" si="800">BO159</f>
        <v>0.08</v>
      </c>
      <c r="BQ159" s="335">
        <f t="shared" ref="BQ159" si="801">BP159</f>
        <v>0.08</v>
      </c>
      <c r="BR159" s="335">
        <f t="shared" ref="BR159" si="802">BQ159</f>
        <v>0.08</v>
      </c>
      <c r="BS159" s="335">
        <f t="shared" ref="BS159" si="803">BR159</f>
        <v>0.08</v>
      </c>
      <c r="BT159" s="335">
        <f t="shared" ref="BT159" si="804">BS159</f>
        <v>0.08</v>
      </c>
      <c r="BU159" s="335">
        <f t="shared" ref="BU159" si="805">BT159</f>
        <v>0.08</v>
      </c>
      <c r="BV159" s="335">
        <f t="shared" ref="BV159" si="806">BU159</f>
        <v>0.08</v>
      </c>
      <c r="BW159" s="335">
        <f t="shared" ref="BW159" si="807">BV159</f>
        <v>0.08</v>
      </c>
      <c r="BX159" s="335">
        <f t="shared" ref="BX159" si="808">BW159</f>
        <v>0.08</v>
      </c>
      <c r="BY159" s="335">
        <f t="shared" ref="BY159" si="809">BX159</f>
        <v>0.08</v>
      </c>
      <c r="BZ159" s="335">
        <f t="shared" ref="BZ159" si="810">BY159</f>
        <v>0.08</v>
      </c>
      <c r="CA159" s="335">
        <f t="shared" ref="CA159" si="811">BZ159</f>
        <v>0.08</v>
      </c>
      <c r="CB159" s="335">
        <f t="shared" ref="CB159" si="812">CA159</f>
        <v>0.08</v>
      </c>
      <c r="CC159" s="335">
        <f t="shared" ref="CC159" si="813">CB159</f>
        <v>0.08</v>
      </c>
      <c r="CD159" s="335">
        <f t="shared" ref="CD159" si="814">CC159</f>
        <v>0.08</v>
      </c>
      <c r="CE159" s="335">
        <f t="shared" ref="CE159" si="815">CD159</f>
        <v>0.08</v>
      </c>
      <c r="CF159" s="335">
        <f t="shared" ref="CF159" si="816">CE159</f>
        <v>0.08</v>
      </c>
      <c r="CG159" s="335">
        <f t="shared" ref="CG159" si="817">CF159</f>
        <v>0.08</v>
      </c>
      <c r="CH159" s="335">
        <f t="shared" ref="CH159" si="818">CG159</f>
        <v>0.08</v>
      </c>
      <c r="CI159" s="335">
        <f t="shared" ref="CI159" si="819">CH159</f>
        <v>0.08</v>
      </c>
      <c r="CJ159" s="335">
        <f t="shared" ref="CJ159" si="820">CI159</f>
        <v>0.08</v>
      </c>
      <c r="CK159" s="335">
        <f t="shared" ref="CK159" si="821">CJ159</f>
        <v>0.08</v>
      </c>
    </row>
    <row r="160" spans="1:99" customFormat="1" ht="15" x14ac:dyDescent="0.25">
      <c r="B160" s="332" t="s">
        <v>401</v>
      </c>
      <c r="C160" s="333" t="s">
        <v>396</v>
      </c>
      <c r="D160" s="336"/>
      <c r="E160" s="329"/>
      <c r="F160" s="329"/>
      <c r="G160" s="329"/>
      <c r="H160" s="329"/>
      <c r="I160" s="329"/>
      <c r="J160" s="329"/>
      <c r="K160" s="337"/>
      <c r="L160" s="337"/>
      <c r="M160" s="337"/>
      <c r="N160" s="337"/>
      <c r="O160" s="337"/>
      <c r="P160" s="337"/>
      <c r="Q160" s="337"/>
      <c r="R160" s="337"/>
      <c r="S160" s="337"/>
      <c r="T160" s="337"/>
      <c r="U160" s="337"/>
      <c r="V160" s="337"/>
      <c r="W160" s="337"/>
      <c r="X160" s="337">
        <f>X159+0.065</f>
        <v>0.26500000000000001</v>
      </c>
      <c r="Y160" s="337">
        <f t="shared" ref="Y160:BX160" si="822">Y159+0.065</f>
        <v>0.245</v>
      </c>
      <c r="Z160" s="337">
        <f>Z159+0.065</f>
        <v>0.23500000000000001</v>
      </c>
      <c r="AA160" s="337">
        <f t="shared" si="822"/>
        <v>0.23500000000000001</v>
      </c>
      <c r="AB160" s="337">
        <f t="shared" si="822"/>
        <v>0.23500000000000001</v>
      </c>
      <c r="AC160" s="337">
        <f t="shared" si="822"/>
        <v>0.23500000000000001</v>
      </c>
      <c r="AD160" s="337">
        <f t="shared" si="822"/>
        <v>0.22500000000000001</v>
      </c>
      <c r="AE160" s="337">
        <f t="shared" si="822"/>
        <v>0.22</v>
      </c>
      <c r="AF160" s="337">
        <f t="shared" si="822"/>
        <v>0.215</v>
      </c>
      <c r="AG160" s="337">
        <f t="shared" si="822"/>
        <v>0.20500000000000002</v>
      </c>
      <c r="AH160" s="337">
        <f t="shared" si="822"/>
        <v>0.2</v>
      </c>
      <c r="AI160" s="337">
        <f t="shared" si="822"/>
        <v>0.19500000000000001</v>
      </c>
      <c r="AJ160" s="337">
        <f t="shared" si="822"/>
        <v>0.185</v>
      </c>
      <c r="AK160" s="337">
        <f t="shared" si="822"/>
        <v>0.185</v>
      </c>
      <c r="AL160" s="337">
        <f t="shared" si="822"/>
        <v>0.185</v>
      </c>
      <c r="AM160" s="337">
        <f t="shared" si="822"/>
        <v>0.185</v>
      </c>
      <c r="AN160" s="337">
        <f t="shared" si="822"/>
        <v>0.185</v>
      </c>
      <c r="AO160" s="337">
        <f t="shared" si="822"/>
        <v>0.185</v>
      </c>
      <c r="AP160" s="337">
        <f t="shared" si="822"/>
        <v>0.14500000000000002</v>
      </c>
      <c r="AQ160" s="337">
        <f t="shared" si="822"/>
        <v>0.14500000000000002</v>
      </c>
      <c r="AR160" s="337">
        <f t="shared" si="822"/>
        <v>0.14500000000000002</v>
      </c>
      <c r="AS160" s="337">
        <f t="shared" si="822"/>
        <v>0.14500000000000002</v>
      </c>
      <c r="AT160" s="337">
        <f t="shared" si="822"/>
        <v>0.14500000000000002</v>
      </c>
      <c r="AU160" s="337">
        <f t="shared" si="822"/>
        <v>0.14500000000000002</v>
      </c>
      <c r="AV160" s="337">
        <f t="shared" si="822"/>
        <v>0.14500000000000002</v>
      </c>
      <c r="AW160" s="337">
        <f t="shared" si="822"/>
        <v>0.14500000000000002</v>
      </c>
      <c r="AX160" s="337">
        <f t="shared" si="822"/>
        <v>0.14500000000000002</v>
      </c>
      <c r="AY160" s="337">
        <f t="shared" si="822"/>
        <v>0.14500000000000002</v>
      </c>
      <c r="AZ160" s="337">
        <f t="shared" si="822"/>
        <v>0.14500000000000002</v>
      </c>
      <c r="BA160" s="337">
        <f t="shared" si="822"/>
        <v>0.14500000000000002</v>
      </c>
      <c r="BB160" s="337">
        <f t="shared" si="822"/>
        <v>0.14500000000000002</v>
      </c>
      <c r="BC160" s="337">
        <f t="shared" si="822"/>
        <v>0.14500000000000002</v>
      </c>
      <c r="BD160" s="337">
        <f t="shared" si="822"/>
        <v>0.14500000000000002</v>
      </c>
      <c r="BE160" s="337">
        <f t="shared" si="822"/>
        <v>0.14500000000000002</v>
      </c>
      <c r="BF160" s="337">
        <f t="shared" si="822"/>
        <v>0.14500000000000002</v>
      </c>
      <c r="BG160" s="337">
        <f t="shared" si="822"/>
        <v>0.14500000000000002</v>
      </c>
      <c r="BH160" s="337">
        <f t="shared" si="822"/>
        <v>0.14500000000000002</v>
      </c>
      <c r="BI160" s="337">
        <f t="shared" si="822"/>
        <v>0.14500000000000002</v>
      </c>
      <c r="BJ160" s="337">
        <f t="shared" si="822"/>
        <v>0.14500000000000002</v>
      </c>
      <c r="BK160" s="337">
        <f t="shared" si="822"/>
        <v>0.14500000000000002</v>
      </c>
      <c r="BL160" s="337">
        <f t="shared" si="822"/>
        <v>0.14500000000000002</v>
      </c>
      <c r="BM160" s="337">
        <f t="shared" si="822"/>
        <v>0.14500000000000002</v>
      </c>
      <c r="BN160" s="337">
        <f t="shared" si="822"/>
        <v>0.14500000000000002</v>
      </c>
      <c r="BO160" s="337">
        <f t="shared" si="822"/>
        <v>0.14500000000000002</v>
      </c>
      <c r="BP160" s="337">
        <f t="shared" si="822"/>
        <v>0.14500000000000002</v>
      </c>
      <c r="BQ160" s="337">
        <f t="shared" si="822"/>
        <v>0.14500000000000002</v>
      </c>
      <c r="BR160" s="337">
        <f t="shared" si="822"/>
        <v>0.14500000000000002</v>
      </c>
      <c r="BS160" s="337">
        <f t="shared" si="822"/>
        <v>0.14500000000000002</v>
      </c>
      <c r="BT160" s="337">
        <f t="shared" si="822"/>
        <v>0.14500000000000002</v>
      </c>
      <c r="BU160" s="337">
        <f t="shared" si="822"/>
        <v>0.14500000000000002</v>
      </c>
      <c r="BV160" s="337">
        <f t="shared" si="822"/>
        <v>0.14500000000000002</v>
      </c>
      <c r="BW160" s="337">
        <f t="shared" si="822"/>
        <v>0.14500000000000002</v>
      </c>
      <c r="BX160" s="337">
        <f t="shared" si="822"/>
        <v>0.14500000000000002</v>
      </c>
      <c r="BY160" s="337">
        <f t="shared" ref="BY160:CK160" si="823">BY159+0.065</f>
        <v>0.14500000000000002</v>
      </c>
      <c r="BZ160" s="337">
        <f t="shared" si="823"/>
        <v>0.14500000000000002</v>
      </c>
      <c r="CA160" s="337">
        <f t="shared" si="823"/>
        <v>0.14500000000000002</v>
      </c>
      <c r="CB160" s="337">
        <f t="shared" si="823"/>
        <v>0.14500000000000002</v>
      </c>
      <c r="CC160" s="337">
        <f t="shared" si="823"/>
        <v>0.14500000000000002</v>
      </c>
      <c r="CD160" s="337">
        <f t="shared" si="823"/>
        <v>0.14500000000000002</v>
      </c>
      <c r="CE160" s="337">
        <f t="shared" si="823"/>
        <v>0.14500000000000002</v>
      </c>
      <c r="CF160" s="337">
        <f t="shared" si="823"/>
        <v>0.14500000000000002</v>
      </c>
      <c r="CG160" s="337">
        <f t="shared" si="823"/>
        <v>0.14500000000000002</v>
      </c>
      <c r="CH160" s="337">
        <f t="shared" si="823"/>
        <v>0.14500000000000002</v>
      </c>
      <c r="CI160" s="337">
        <f t="shared" si="823"/>
        <v>0.14500000000000002</v>
      </c>
      <c r="CJ160" s="337">
        <f t="shared" si="823"/>
        <v>0.14500000000000002</v>
      </c>
      <c r="CK160" s="337">
        <f t="shared" si="823"/>
        <v>0.14500000000000002</v>
      </c>
    </row>
    <row r="161" spans="1:99" customFormat="1" ht="15" x14ac:dyDescent="0.25">
      <c r="B161" s="162"/>
      <c r="C161" s="338"/>
      <c r="D161" s="336"/>
      <c r="E161" s="329"/>
      <c r="F161" s="329"/>
      <c r="G161" s="329"/>
      <c r="H161" s="329"/>
      <c r="I161" s="329"/>
      <c r="J161" s="329"/>
      <c r="K161" s="337"/>
      <c r="L161" s="337"/>
      <c r="M161" s="337"/>
      <c r="N161" s="337"/>
      <c r="O161" s="337"/>
      <c r="P161" s="337"/>
      <c r="Q161" s="337"/>
      <c r="R161" s="337"/>
      <c r="S161" s="337"/>
      <c r="T161" s="337"/>
      <c r="U161" s="337"/>
      <c r="V161" s="337"/>
      <c r="W161" s="337"/>
      <c r="X161" s="337"/>
      <c r="Y161" s="337"/>
      <c r="Z161" s="337"/>
      <c r="AA161" s="337"/>
      <c r="AB161" s="337"/>
      <c r="AC161" s="329"/>
      <c r="AD161" s="329"/>
      <c r="AE161" s="329"/>
      <c r="AF161" s="329"/>
      <c r="AG161" s="329"/>
      <c r="AH161" s="329"/>
      <c r="AI161" s="329"/>
      <c r="AJ161" s="329"/>
      <c r="AK161" s="329"/>
      <c r="AL161" s="329"/>
      <c r="AM161" s="329"/>
      <c r="AN161" s="329"/>
      <c r="AO161" s="329"/>
      <c r="AP161" s="329"/>
      <c r="AQ161" s="329"/>
      <c r="AR161" s="329"/>
      <c r="AS161" s="329"/>
      <c r="AT161" s="329"/>
      <c r="AU161" s="329"/>
      <c r="AV161" s="329"/>
      <c r="AW161" s="329"/>
    </row>
    <row r="162" spans="1:99" customFormat="1" ht="15" x14ac:dyDescent="0.25">
      <c r="B162" s="162" t="s">
        <v>388</v>
      </c>
      <c r="C162" s="338"/>
      <c r="D162" s="336"/>
      <c r="E162" s="329"/>
      <c r="F162" s="329"/>
      <c r="G162" s="329"/>
      <c r="H162" s="329"/>
      <c r="I162" s="329"/>
      <c r="J162" s="329"/>
      <c r="K162" s="337"/>
      <c r="L162" s="337"/>
      <c r="M162" s="337"/>
      <c r="N162" s="337"/>
      <c r="O162" s="337"/>
      <c r="P162" s="337"/>
      <c r="Q162" s="337"/>
      <c r="R162" s="337"/>
      <c r="S162" s="337"/>
      <c r="T162" s="337"/>
      <c r="U162" s="337"/>
      <c r="V162" s="337"/>
      <c r="W162" s="337"/>
      <c r="X162" s="337"/>
      <c r="Y162" s="337"/>
      <c r="Z162" s="337"/>
      <c r="AA162" s="337"/>
      <c r="AB162" s="337"/>
      <c r="AC162" s="329"/>
      <c r="AD162" s="329"/>
      <c r="AE162" s="329"/>
      <c r="AF162" s="329"/>
      <c r="AG162" s="329"/>
      <c r="AH162" s="329"/>
      <c r="AI162" s="329"/>
      <c r="AJ162" s="329"/>
      <c r="AK162" s="329"/>
      <c r="AL162" s="329"/>
      <c r="AM162" s="329"/>
      <c r="AN162" s="329"/>
      <c r="AO162" s="329"/>
      <c r="AP162" s="329"/>
      <c r="AQ162" s="329"/>
      <c r="AR162" s="329"/>
      <c r="AS162" s="329"/>
      <c r="AT162" s="329"/>
      <c r="AU162" s="329"/>
      <c r="AV162" s="329"/>
      <c r="AW162" s="329"/>
    </row>
    <row r="163" spans="1:99" ht="25.5" x14ac:dyDescent="0.2">
      <c r="B163" s="194" t="s">
        <v>163</v>
      </c>
      <c r="C163" s="194" t="s">
        <v>161</v>
      </c>
      <c r="D163" s="194" t="s">
        <v>162</v>
      </c>
      <c r="E163" s="195"/>
      <c r="F163" s="196">
        <f t="shared" ref="F163:AK163" si="824">F135</f>
        <v>45292</v>
      </c>
      <c r="G163" s="196">
        <f t="shared" si="824"/>
        <v>45323</v>
      </c>
      <c r="H163" s="196">
        <f t="shared" si="824"/>
        <v>45352</v>
      </c>
      <c r="I163" s="196">
        <f t="shared" si="824"/>
        <v>45383</v>
      </c>
      <c r="J163" s="196">
        <f t="shared" si="824"/>
        <v>45413</v>
      </c>
      <c r="K163" s="196">
        <f t="shared" si="824"/>
        <v>45444</v>
      </c>
      <c r="L163" s="196">
        <f t="shared" si="824"/>
        <v>45474</v>
      </c>
      <c r="M163" s="196">
        <f t="shared" si="824"/>
        <v>45505</v>
      </c>
      <c r="N163" s="196">
        <f t="shared" si="824"/>
        <v>45536</v>
      </c>
      <c r="O163" s="196">
        <f t="shared" si="824"/>
        <v>45566</v>
      </c>
      <c r="P163" s="196">
        <f t="shared" si="824"/>
        <v>45597</v>
      </c>
      <c r="Q163" s="196">
        <f t="shared" si="824"/>
        <v>45627</v>
      </c>
      <c r="R163" s="196">
        <f t="shared" si="824"/>
        <v>45658</v>
      </c>
      <c r="S163" s="196">
        <f t="shared" si="824"/>
        <v>45689</v>
      </c>
      <c r="T163" s="196">
        <f t="shared" si="824"/>
        <v>45717</v>
      </c>
      <c r="U163" s="196">
        <f t="shared" si="824"/>
        <v>45748</v>
      </c>
      <c r="V163" s="196">
        <f t="shared" si="824"/>
        <v>45778</v>
      </c>
      <c r="W163" s="196">
        <f t="shared" si="824"/>
        <v>45809</v>
      </c>
      <c r="X163" s="196">
        <f t="shared" si="824"/>
        <v>45839</v>
      </c>
      <c r="Y163" s="196">
        <f t="shared" si="824"/>
        <v>45870</v>
      </c>
      <c r="Z163" s="196">
        <f t="shared" si="824"/>
        <v>45901</v>
      </c>
      <c r="AA163" s="196">
        <f t="shared" si="824"/>
        <v>45931</v>
      </c>
      <c r="AB163" s="196">
        <f t="shared" si="824"/>
        <v>45962</v>
      </c>
      <c r="AC163" s="196">
        <f t="shared" si="824"/>
        <v>45992</v>
      </c>
      <c r="AD163" s="196">
        <f t="shared" si="824"/>
        <v>46023</v>
      </c>
      <c r="AE163" s="196">
        <f t="shared" si="824"/>
        <v>46054</v>
      </c>
      <c r="AF163" s="196">
        <f t="shared" si="824"/>
        <v>46082</v>
      </c>
      <c r="AG163" s="196">
        <f t="shared" si="824"/>
        <v>46113</v>
      </c>
      <c r="AH163" s="196">
        <f t="shared" si="824"/>
        <v>46143</v>
      </c>
      <c r="AI163" s="196">
        <f t="shared" si="824"/>
        <v>46174</v>
      </c>
      <c r="AJ163" s="196">
        <f t="shared" si="824"/>
        <v>46204</v>
      </c>
      <c r="AK163" s="196">
        <f t="shared" si="824"/>
        <v>46235</v>
      </c>
      <c r="AL163" s="196">
        <f t="shared" ref="AL163:BQ163" si="825">AL135</f>
        <v>46266</v>
      </c>
      <c r="AM163" s="196">
        <f t="shared" si="825"/>
        <v>46296</v>
      </c>
      <c r="AN163" s="196">
        <f t="shared" si="825"/>
        <v>46327</v>
      </c>
      <c r="AO163" s="196">
        <f t="shared" si="825"/>
        <v>46357</v>
      </c>
      <c r="AP163" s="196">
        <f t="shared" si="825"/>
        <v>46388</v>
      </c>
      <c r="AQ163" s="196">
        <f t="shared" si="825"/>
        <v>46419</v>
      </c>
      <c r="AR163" s="196">
        <f t="shared" si="825"/>
        <v>46447</v>
      </c>
      <c r="AS163" s="196">
        <f t="shared" si="825"/>
        <v>46478</v>
      </c>
      <c r="AT163" s="196">
        <f t="shared" si="825"/>
        <v>46508</v>
      </c>
      <c r="AU163" s="196">
        <f t="shared" si="825"/>
        <v>46539</v>
      </c>
      <c r="AV163" s="196">
        <f t="shared" si="825"/>
        <v>46569</v>
      </c>
      <c r="AW163" s="196">
        <f t="shared" si="825"/>
        <v>46600</v>
      </c>
      <c r="AX163" s="196">
        <f t="shared" si="825"/>
        <v>46631</v>
      </c>
      <c r="AY163" s="196">
        <f t="shared" si="825"/>
        <v>46661</v>
      </c>
      <c r="AZ163" s="196">
        <f t="shared" si="825"/>
        <v>46692</v>
      </c>
      <c r="BA163" s="196">
        <f t="shared" si="825"/>
        <v>46722</v>
      </c>
      <c r="BB163" s="196">
        <f t="shared" si="825"/>
        <v>46753</v>
      </c>
      <c r="BC163" s="196">
        <f t="shared" si="825"/>
        <v>46784</v>
      </c>
      <c r="BD163" s="196">
        <f t="shared" si="825"/>
        <v>46813</v>
      </c>
      <c r="BE163" s="196">
        <f t="shared" si="825"/>
        <v>46844</v>
      </c>
      <c r="BF163" s="196">
        <f t="shared" si="825"/>
        <v>46874</v>
      </c>
      <c r="BG163" s="196">
        <f t="shared" si="825"/>
        <v>46905</v>
      </c>
      <c r="BH163" s="196">
        <f t="shared" si="825"/>
        <v>46935</v>
      </c>
      <c r="BI163" s="196">
        <f t="shared" si="825"/>
        <v>46966</v>
      </c>
      <c r="BJ163" s="196">
        <f t="shared" si="825"/>
        <v>46997</v>
      </c>
      <c r="BK163" s="196">
        <f t="shared" si="825"/>
        <v>47027</v>
      </c>
      <c r="BL163" s="196">
        <f t="shared" si="825"/>
        <v>47058</v>
      </c>
      <c r="BM163" s="196">
        <f t="shared" si="825"/>
        <v>47088</v>
      </c>
      <c r="BN163" s="196">
        <f t="shared" si="825"/>
        <v>47119</v>
      </c>
      <c r="BO163" s="196">
        <f t="shared" si="825"/>
        <v>47150</v>
      </c>
      <c r="BP163" s="196">
        <f t="shared" si="825"/>
        <v>47178</v>
      </c>
      <c r="BQ163" s="196">
        <f t="shared" si="825"/>
        <v>47209</v>
      </c>
      <c r="BR163" s="196">
        <f t="shared" ref="BR163:BX163" si="826">BR135</f>
        <v>47239</v>
      </c>
      <c r="BS163" s="196">
        <f t="shared" si="826"/>
        <v>47270</v>
      </c>
      <c r="BT163" s="196">
        <f t="shared" si="826"/>
        <v>47300</v>
      </c>
      <c r="BU163" s="196">
        <f t="shared" si="826"/>
        <v>47331</v>
      </c>
      <c r="BV163" s="196">
        <f t="shared" si="826"/>
        <v>47362</v>
      </c>
      <c r="BW163" s="196">
        <f t="shared" si="826"/>
        <v>47392</v>
      </c>
      <c r="BX163" s="196">
        <f t="shared" si="826"/>
        <v>47423</v>
      </c>
      <c r="BY163" s="196">
        <f t="shared" ref="BY163:CK163" si="827">BY135</f>
        <v>47453</v>
      </c>
      <c r="BZ163" s="196">
        <f t="shared" si="827"/>
        <v>47484</v>
      </c>
      <c r="CA163" s="196">
        <f t="shared" si="827"/>
        <v>47515</v>
      </c>
      <c r="CB163" s="196">
        <f t="shared" si="827"/>
        <v>47543</v>
      </c>
      <c r="CC163" s="196">
        <f t="shared" si="827"/>
        <v>47574</v>
      </c>
      <c r="CD163" s="196">
        <f t="shared" si="827"/>
        <v>47604</v>
      </c>
      <c r="CE163" s="196">
        <f t="shared" si="827"/>
        <v>47635</v>
      </c>
      <c r="CF163" s="196">
        <f t="shared" si="827"/>
        <v>47665</v>
      </c>
      <c r="CG163" s="196">
        <f t="shared" si="827"/>
        <v>47696</v>
      </c>
      <c r="CH163" s="196">
        <f t="shared" si="827"/>
        <v>47727</v>
      </c>
      <c r="CI163" s="196">
        <f t="shared" si="827"/>
        <v>47757</v>
      </c>
      <c r="CJ163" s="196">
        <f t="shared" si="827"/>
        <v>47788</v>
      </c>
      <c r="CK163" s="196">
        <f t="shared" si="827"/>
        <v>47818</v>
      </c>
      <c r="CL163" s="197"/>
      <c r="CM163" s="197"/>
      <c r="CN163" s="198"/>
      <c r="CO163" s="199">
        <v>2024</v>
      </c>
      <c r="CP163" s="199">
        <f t="shared" ref="CP163" si="828">CO163+1</f>
        <v>2025</v>
      </c>
      <c r="CQ163" s="199">
        <f t="shared" ref="CQ163" si="829">CP163+1</f>
        <v>2026</v>
      </c>
      <c r="CR163" s="199">
        <f t="shared" ref="CR163" si="830">CQ163+1</f>
        <v>2027</v>
      </c>
      <c r="CS163" s="199">
        <f t="shared" ref="CS163" si="831">CR163+1</f>
        <v>2028</v>
      </c>
      <c r="CT163" s="199">
        <f t="shared" ref="CT163" si="832">CS163+1</f>
        <v>2029</v>
      </c>
      <c r="CU163" s="199">
        <f t="shared" ref="CU163" si="833">CT163+1</f>
        <v>2030</v>
      </c>
    </row>
    <row r="164" spans="1:99" outlineLevel="1" x14ac:dyDescent="0.2">
      <c r="B164" s="92" t="s">
        <v>389</v>
      </c>
      <c r="C164" s="8" t="s">
        <v>160</v>
      </c>
      <c r="D164" s="86">
        <v>45763</v>
      </c>
      <c r="E164" s="86"/>
      <c r="F164" s="10">
        <v>49.622</v>
      </c>
      <c r="G164" s="10">
        <v>49.622</v>
      </c>
      <c r="H164" s="10">
        <v>49.622</v>
      </c>
      <c r="I164" s="10">
        <v>49.622</v>
      </c>
      <c r="J164" s="10">
        <v>49.622</v>
      </c>
      <c r="K164" s="10">
        <v>49.622</v>
      </c>
      <c r="L164" s="10">
        <v>49.622</v>
      </c>
      <c r="M164" s="10">
        <v>49.622</v>
      </c>
      <c r="N164" s="10">
        <v>49.622</v>
      </c>
      <c r="O164" s="10">
        <v>49.622</v>
      </c>
      <c r="P164" s="10">
        <v>49.622</v>
      </c>
      <c r="Q164" s="10">
        <v>49.622</v>
      </c>
      <c r="R164" s="10">
        <v>49.622</v>
      </c>
      <c r="S164" s="10">
        <v>49.622</v>
      </c>
      <c r="T164" s="10">
        <v>49.622</v>
      </c>
      <c r="U164" s="10">
        <v>80.707999999999998</v>
      </c>
      <c r="V164" s="10">
        <v>0</v>
      </c>
      <c r="W164" s="10">
        <v>0</v>
      </c>
      <c r="X164" s="10">
        <v>0</v>
      </c>
      <c r="Y164" s="10">
        <v>0</v>
      </c>
      <c r="Z164" s="10">
        <v>0</v>
      </c>
      <c r="AA164" s="10">
        <v>0</v>
      </c>
      <c r="AB164" s="10">
        <v>0</v>
      </c>
      <c r="AC164" s="10">
        <v>0</v>
      </c>
      <c r="AD164" s="10">
        <v>0</v>
      </c>
      <c r="AE164" s="10">
        <v>0</v>
      </c>
      <c r="AF164" s="10">
        <v>0</v>
      </c>
      <c r="AG164" s="10">
        <v>0</v>
      </c>
      <c r="AH164" s="10">
        <v>300.7</v>
      </c>
      <c r="AI164" s="10">
        <v>300.7</v>
      </c>
      <c r="AJ164" s="10">
        <v>300.7</v>
      </c>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N164" s="10"/>
      <c r="CO164" s="10">
        <f t="shared" ref="CO164:CS167" si="834">SUMIF($L$2:$CK$2,CO$3,$L164:$CK164)</f>
        <v>297.73200000000003</v>
      </c>
      <c r="CP164" s="10">
        <f t="shared" si="834"/>
        <v>229.57399999999998</v>
      </c>
      <c r="CQ164" s="10">
        <f t="shared" si="834"/>
        <v>902.09999999999991</v>
      </c>
      <c r="CR164" s="10">
        <f t="shared" si="834"/>
        <v>0</v>
      </c>
      <c r="CS164" s="10">
        <f t="shared" si="834"/>
        <v>0</v>
      </c>
      <c r="CT164" s="10">
        <f t="shared" ref="CT164:CU167" si="835">SUMIF($L$2:$CK$2,CT$3,$L164:$CK164)</f>
        <v>0</v>
      </c>
      <c r="CU164" s="10">
        <f t="shared" si="835"/>
        <v>0</v>
      </c>
    </row>
    <row r="165" spans="1:99" outlineLevel="1" x14ac:dyDescent="0.2">
      <c r="B165" s="92" t="s">
        <v>393</v>
      </c>
      <c r="C165" s="8" t="s">
        <v>160</v>
      </c>
      <c r="D165" s="86">
        <v>46132</v>
      </c>
      <c r="E165" s="86"/>
      <c r="F165" s="10">
        <v>0</v>
      </c>
      <c r="G165" s="10">
        <v>0</v>
      </c>
      <c r="H165" s="10">
        <v>0</v>
      </c>
      <c r="I165" s="10">
        <v>205</v>
      </c>
      <c r="J165" s="10">
        <v>113.53</v>
      </c>
      <c r="K165" s="10">
        <v>113.53</v>
      </c>
      <c r="L165" s="10">
        <v>113.53</v>
      </c>
      <c r="M165" s="10">
        <v>113.53</v>
      </c>
      <c r="N165" s="10">
        <v>113.53</v>
      </c>
      <c r="O165" s="10">
        <v>113.53</v>
      </c>
      <c r="P165" s="10">
        <v>113.53</v>
      </c>
      <c r="Q165" s="10">
        <v>113.53</v>
      </c>
      <c r="R165" s="10">
        <v>113.53</v>
      </c>
      <c r="S165" s="10">
        <v>113.53</v>
      </c>
      <c r="T165" s="10">
        <v>113.53</v>
      </c>
      <c r="U165" s="10">
        <v>113.53</v>
      </c>
      <c r="V165" s="10">
        <v>113.53</v>
      </c>
      <c r="W165" s="10">
        <v>113.53</v>
      </c>
      <c r="X165" s="10">
        <v>113.53</v>
      </c>
      <c r="Y165" s="10">
        <v>113.53</v>
      </c>
      <c r="Z165" s="10">
        <v>113.53</v>
      </c>
      <c r="AA165" s="10">
        <v>113.53</v>
      </c>
      <c r="AB165" s="10">
        <v>113.53</v>
      </c>
      <c r="AC165" s="10">
        <v>113.53</v>
      </c>
      <c r="AD165" s="10">
        <v>113.53</v>
      </c>
      <c r="AE165" s="10">
        <v>113.53</v>
      </c>
      <c r="AF165" s="10">
        <v>113.53</v>
      </c>
      <c r="AG165" s="10">
        <v>113.53</v>
      </c>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N165" s="10"/>
      <c r="CO165" s="10">
        <f t="shared" si="834"/>
        <v>681.18</v>
      </c>
      <c r="CP165" s="10">
        <f t="shared" si="834"/>
        <v>1362.36</v>
      </c>
      <c r="CQ165" s="10">
        <f t="shared" si="834"/>
        <v>454.12</v>
      </c>
      <c r="CR165" s="10">
        <f t="shared" si="834"/>
        <v>0</v>
      </c>
      <c r="CS165" s="10">
        <f t="shared" si="834"/>
        <v>0</v>
      </c>
      <c r="CT165" s="10">
        <f t="shared" si="835"/>
        <v>0</v>
      </c>
      <c r="CU165" s="10">
        <f t="shared" si="835"/>
        <v>0</v>
      </c>
    </row>
    <row r="166" spans="1:99" outlineLevel="1" x14ac:dyDescent="0.2">
      <c r="B166" s="92" t="s">
        <v>390</v>
      </c>
      <c r="C166" s="8" t="s">
        <v>160</v>
      </c>
      <c r="D166" s="86">
        <v>45529</v>
      </c>
      <c r="E166" s="86"/>
      <c r="F166" s="10">
        <v>24.102</v>
      </c>
      <c r="G166" s="10">
        <v>24.102</v>
      </c>
      <c r="H166" s="10">
        <v>24.102</v>
      </c>
      <c r="I166" s="10">
        <v>24.102</v>
      </c>
      <c r="J166" s="10">
        <v>24.102</v>
      </c>
      <c r="K166" s="10">
        <v>24.102</v>
      </c>
      <c r="L166" s="10">
        <v>24.102</v>
      </c>
      <c r="M166" s="10">
        <v>1.2</v>
      </c>
      <c r="N166" s="10">
        <v>0</v>
      </c>
      <c r="O166" s="10">
        <v>0</v>
      </c>
      <c r="P166" s="10">
        <v>0</v>
      </c>
      <c r="Q166" s="10">
        <v>0</v>
      </c>
      <c r="R166" s="10">
        <v>0</v>
      </c>
      <c r="S166" s="10">
        <v>0</v>
      </c>
      <c r="T166" s="10">
        <v>0</v>
      </c>
      <c r="U166" s="10">
        <v>0</v>
      </c>
      <c r="V166" s="10">
        <v>0</v>
      </c>
      <c r="W166" s="10">
        <v>0</v>
      </c>
      <c r="X166" s="10">
        <v>0</v>
      </c>
      <c r="Y166" s="10">
        <v>0</v>
      </c>
      <c r="Z166" s="10">
        <v>0</v>
      </c>
      <c r="AA166" s="10">
        <v>0</v>
      </c>
      <c r="AB166" s="10">
        <v>0</v>
      </c>
      <c r="AC166" s="10">
        <v>0</v>
      </c>
      <c r="AD166" s="10">
        <v>0</v>
      </c>
      <c r="AE166" s="10">
        <v>0</v>
      </c>
      <c r="AF166" s="10">
        <v>0</v>
      </c>
      <c r="AG166" s="10">
        <v>0</v>
      </c>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N166" s="10"/>
      <c r="CO166" s="10">
        <f t="shared" si="834"/>
        <v>25.302</v>
      </c>
      <c r="CP166" s="10">
        <f t="shared" si="834"/>
        <v>0</v>
      </c>
      <c r="CQ166" s="10">
        <f t="shared" si="834"/>
        <v>0</v>
      </c>
      <c r="CR166" s="10">
        <f t="shared" si="834"/>
        <v>0</v>
      </c>
      <c r="CS166" s="10">
        <f t="shared" si="834"/>
        <v>0</v>
      </c>
      <c r="CT166" s="10">
        <f t="shared" si="835"/>
        <v>0</v>
      </c>
      <c r="CU166" s="10">
        <f t="shared" si="835"/>
        <v>0</v>
      </c>
    </row>
    <row r="167" spans="1:99" x14ac:dyDescent="0.2">
      <c r="B167" s="20" t="s">
        <v>6</v>
      </c>
      <c r="C167" s="23" t="s">
        <v>4</v>
      </c>
      <c r="D167" s="23"/>
      <c r="E167" s="102"/>
      <c r="F167" s="24">
        <f>SUM(F164:F166)</f>
        <v>73.724000000000004</v>
      </c>
      <c r="G167" s="24">
        <f t="shared" ref="G167:BR167" si="836">SUM(G164:G166)</f>
        <v>73.724000000000004</v>
      </c>
      <c r="H167" s="24">
        <f t="shared" si="836"/>
        <v>73.724000000000004</v>
      </c>
      <c r="I167" s="24">
        <f t="shared" si="836"/>
        <v>278.72399999999999</v>
      </c>
      <c r="J167" s="24">
        <f t="shared" si="836"/>
        <v>187.25399999999999</v>
      </c>
      <c r="K167" s="24">
        <f t="shared" si="836"/>
        <v>187.25399999999999</v>
      </c>
      <c r="L167" s="24">
        <f t="shared" si="836"/>
        <v>187.25399999999999</v>
      </c>
      <c r="M167" s="24">
        <f t="shared" si="836"/>
        <v>164.35199999999998</v>
      </c>
      <c r="N167" s="24">
        <f t="shared" si="836"/>
        <v>163.15199999999999</v>
      </c>
      <c r="O167" s="24">
        <f t="shared" si="836"/>
        <v>163.15199999999999</v>
      </c>
      <c r="P167" s="24">
        <f t="shared" si="836"/>
        <v>163.15199999999999</v>
      </c>
      <c r="Q167" s="24">
        <f t="shared" si="836"/>
        <v>163.15199999999999</v>
      </c>
      <c r="R167" s="24">
        <f t="shared" si="836"/>
        <v>163.15199999999999</v>
      </c>
      <c r="S167" s="24">
        <f t="shared" si="836"/>
        <v>163.15199999999999</v>
      </c>
      <c r="T167" s="24">
        <f t="shared" si="836"/>
        <v>163.15199999999999</v>
      </c>
      <c r="U167" s="24">
        <f t="shared" si="836"/>
        <v>194.238</v>
      </c>
      <c r="V167" s="24">
        <f t="shared" si="836"/>
        <v>113.53</v>
      </c>
      <c r="W167" s="24">
        <f t="shared" si="836"/>
        <v>113.53</v>
      </c>
      <c r="X167" s="24">
        <f t="shared" si="836"/>
        <v>113.53</v>
      </c>
      <c r="Y167" s="24">
        <f t="shared" si="836"/>
        <v>113.53</v>
      </c>
      <c r="Z167" s="24">
        <f t="shared" si="836"/>
        <v>113.53</v>
      </c>
      <c r="AA167" s="24">
        <f t="shared" si="836"/>
        <v>113.53</v>
      </c>
      <c r="AB167" s="24">
        <f t="shared" si="836"/>
        <v>113.53</v>
      </c>
      <c r="AC167" s="24">
        <f t="shared" si="836"/>
        <v>113.53</v>
      </c>
      <c r="AD167" s="24">
        <f t="shared" si="836"/>
        <v>113.53</v>
      </c>
      <c r="AE167" s="24">
        <f t="shared" si="836"/>
        <v>113.53</v>
      </c>
      <c r="AF167" s="24">
        <f t="shared" si="836"/>
        <v>113.53</v>
      </c>
      <c r="AG167" s="24">
        <f t="shared" si="836"/>
        <v>113.53</v>
      </c>
      <c r="AH167" s="24">
        <f t="shared" si="836"/>
        <v>300.7</v>
      </c>
      <c r="AI167" s="24">
        <f t="shared" si="836"/>
        <v>300.7</v>
      </c>
      <c r="AJ167" s="24">
        <f t="shared" si="836"/>
        <v>300.7</v>
      </c>
      <c r="AK167" s="24">
        <f t="shared" si="836"/>
        <v>0</v>
      </c>
      <c r="AL167" s="24">
        <f t="shared" si="836"/>
        <v>0</v>
      </c>
      <c r="AM167" s="24">
        <f t="shared" si="836"/>
        <v>0</v>
      </c>
      <c r="AN167" s="24">
        <f t="shared" si="836"/>
        <v>0</v>
      </c>
      <c r="AO167" s="24">
        <f t="shared" si="836"/>
        <v>0</v>
      </c>
      <c r="AP167" s="24">
        <f t="shared" si="836"/>
        <v>0</v>
      </c>
      <c r="AQ167" s="24">
        <f t="shared" si="836"/>
        <v>0</v>
      </c>
      <c r="AR167" s="24">
        <f t="shared" si="836"/>
        <v>0</v>
      </c>
      <c r="AS167" s="24">
        <f t="shared" si="836"/>
        <v>0</v>
      </c>
      <c r="AT167" s="24">
        <f t="shared" si="836"/>
        <v>0</v>
      </c>
      <c r="AU167" s="24">
        <f t="shared" si="836"/>
        <v>0</v>
      </c>
      <c r="AV167" s="24">
        <f t="shared" si="836"/>
        <v>0</v>
      </c>
      <c r="AW167" s="24">
        <f t="shared" si="836"/>
        <v>0</v>
      </c>
      <c r="AX167" s="24">
        <f t="shared" si="836"/>
        <v>0</v>
      </c>
      <c r="AY167" s="24">
        <f t="shared" si="836"/>
        <v>0</v>
      </c>
      <c r="AZ167" s="24">
        <f t="shared" si="836"/>
        <v>0</v>
      </c>
      <c r="BA167" s="24">
        <f t="shared" si="836"/>
        <v>0</v>
      </c>
      <c r="BB167" s="24">
        <f t="shared" si="836"/>
        <v>0</v>
      </c>
      <c r="BC167" s="24">
        <f t="shared" si="836"/>
        <v>0</v>
      </c>
      <c r="BD167" s="24">
        <f t="shared" si="836"/>
        <v>0</v>
      </c>
      <c r="BE167" s="24">
        <f t="shared" si="836"/>
        <v>0</v>
      </c>
      <c r="BF167" s="24">
        <f t="shared" si="836"/>
        <v>0</v>
      </c>
      <c r="BG167" s="24">
        <f t="shared" si="836"/>
        <v>0</v>
      </c>
      <c r="BH167" s="24">
        <f t="shared" si="836"/>
        <v>0</v>
      </c>
      <c r="BI167" s="24">
        <f t="shared" si="836"/>
        <v>0</v>
      </c>
      <c r="BJ167" s="24">
        <f t="shared" si="836"/>
        <v>0</v>
      </c>
      <c r="BK167" s="24">
        <f t="shared" si="836"/>
        <v>0</v>
      </c>
      <c r="BL167" s="24">
        <f t="shared" si="836"/>
        <v>0</v>
      </c>
      <c r="BM167" s="24">
        <f t="shared" si="836"/>
        <v>0</v>
      </c>
      <c r="BN167" s="24">
        <f t="shared" si="836"/>
        <v>0</v>
      </c>
      <c r="BO167" s="24">
        <f t="shared" si="836"/>
        <v>0</v>
      </c>
      <c r="BP167" s="24">
        <f t="shared" si="836"/>
        <v>0</v>
      </c>
      <c r="BQ167" s="24">
        <f t="shared" si="836"/>
        <v>0</v>
      </c>
      <c r="BR167" s="24">
        <f t="shared" si="836"/>
        <v>0</v>
      </c>
      <c r="BS167" s="24">
        <f t="shared" ref="BS167:BX167" si="837">SUM(BS164:BS166)</f>
        <v>0</v>
      </c>
      <c r="BT167" s="24">
        <f t="shared" si="837"/>
        <v>0</v>
      </c>
      <c r="BU167" s="24">
        <f t="shared" si="837"/>
        <v>0</v>
      </c>
      <c r="BV167" s="24">
        <f t="shared" si="837"/>
        <v>0</v>
      </c>
      <c r="BW167" s="24">
        <f t="shared" si="837"/>
        <v>0</v>
      </c>
      <c r="BX167" s="24">
        <f t="shared" si="837"/>
        <v>0</v>
      </c>
      <c r="BY167" s="24">
        <f t="shared" ref="BY167:CK167" si="838">SUM(BY164:BY166)</f>
        <v>0</v>
      </c>
      <c r="BZ167" s="24">
        <f t="shared" si="838"/>
        <v>0</v>
      </c>
      <c r="CA167" s="24">
        <f t="shared" si="838"/>
        <v>0</v>
      </c>
      <c r="CB167" s="24">
        <f t="shared" si="838"/>
        <v>0</v>
      </c>
      <c r="CC167" s="24">
        <f t="shared" si="838"/>
        <v>0</v>
      </c>
      <c r="CD167" s="24">
        <f t="shared" si="838"/>
        <v>0</v>
      </c>
      <c r="CE167" s="24">
        <f t="shared" si="838"/>
        <v>0</v>
      </c>
      <c r="CF167" s="24">
        <f t="shared" si="838"/>
        <v>0</v>
      </c>
      <c r="CG167" s="24">
        <f t="shared" si="838"/>
        <v>0</v>
      </c>
      <c r="CH167" s="24">
        <f t="shared" si="838"/>
        <v>0</v>
      </c>
      <c r="CI167" s="24">
        <f t="shared" si="838"/>
        <v>0</v>
      </c>
      <c r="CJ167" s="24">
        <f t="shared" si="838"/>
        <v>0</v>
      </c>
      <c r="CK167" s="24">
        <f t="shared" si="838"/>
        <v>0</v>
      </c>
      <c r="CN167" s="146"/>
      <c r="CO167" s="24">
        <f t="shared" si="834"/>
        <v>1004.2140000000002</v>
      </c>
      <c r="CP167" s="24">
        <f t="shared" si="834"/>
        <v>1591.9339999999997</v>
      </c>
      <c r="CQ167" s="24">
        <f t="shared" si="834"/>
        <v>1356.22</v>
      </c>
      <c r="CR167" s="24">
        <f t="shared" si="834"/>
        <v>0</v>
      </c>
      <c r="CS167" s="24">
        <f t="shared" si="834"/>
        <v>0</v>
      </c>
      <c r="CT167" s="24">
        <f t="shared" si="835"/>
        <v>0</v>
      </c>
      <c r="CU167" s="24">
        <f t="shared" si="835"/>
        <v>0</v>
      </c>
    </row>
    <row r="168" spans="1:99" ht="15" x14ac:dyDescent="0.25">
      <c r="R168" s="2"/>
      <c r="S168" s="2"/>
      <c r="T168" s="2"/>
      <c r="U168" s="2"/>
      <c r="V168" s="2"/>
      <c r="W168" s="2"/>
    </row>
    <row r="169" spans="1:99" ht="15" x14ac:dyDescent="0.25">
      <c r="R169" s="2"/>
      <c r="S169" s="2"/>
      <c r="T169" s="2"/>
      <c r="U169" s="2"/>
      <c r="V169" s="2"/>
      <c r="W169" s="2"/>
    </row>
    <row r="170" spans="1:99" customFormat="1" ht="15" x14ac:dyDescent="0.25">
      <c r="B170" s="328" t="s">
        <v>414</v>
      </c>
      <c r="C170" s="162"/>
      <c r="D170" s="162"/>
      <c r="G170" s="329"/>
      <c r="H170" s="329"/>
      <c r="W170" s="2"/>
      <c r="X170" s="2"/>
    </row>
    <row r="171" spans="1:99" customFormat="1" ht="15" x14ac:dyDescent="0.25">
      <c r="A171" s="330"/>
      <c r="B171" s="194" t="s">
        <v>1</v>
      </c>
      <c r="C171" s="194" t="s">
        <v>2</v>
      </c>
      <c r="D171" s="331"/>
      <c r="F171" s="196">
        <f>F163</f>
        <v>45292</v>
      </c>
      <c r="G171" s="196">
        <f t="shared" ref="G171:BR171" si="839">G163</f>
        <v>45323</v>
      </c>
      <c r="H171" s="196">
        <f t="shared" si="839"/>
        <v>45352</v>
      </c>
      <c r="I171" s="196">
        <f t="shared" si="839"/>
        <v>45383</v>
      </c>
      <c r="J171" s="196">
        <f t="shared" si="839"/>
        <v>45413</v>
      </c>
      <c r="K171" s="196">
        <f t="shared" si="839"/>
        <v>45444</v>
      </c>
      <c r="L171" s="196">
        <f t="shared" si="839"/>
        <v>45474</v>
      </c>
      <c r="M171" s="196">
        <f t="shared" si="839"/>
        <v>45505</v>
      </c>
      <c r="N171" s="196">
        <f t="shared" si="839"/>
        <v>45536</v>
      </c>
      <c r="O171" s="196">
        <f t="shared" si="839"/>
        <v>45566</v>
      </c>
      <c r="P171" s="196">
        <f t="shared" si="839"/>
        <v>45597</v>
      </c>
      <c r="Q171" s="196">
        <f t="shared" si="839"/>
        <v>45627</v>
      </c>
      <c r="R171" s="196">
        <f t="shared" si="839"/>
        <v>45658</v>
      </c>
      <c r="S171" s="196">
        <f t="shared" si="839"/>
        <v>45689</v>
      </c>
      <c r="T171" s="196">
        <f t="shared" si="839"/>
        <v>45717</v>
      </c>
      <c r="U171" s="196">
        <f t="shared" si="839"/>
        <v>45748</v>
      </c>
      <c r="V171" s="196">
        <f t="shared" si="839"/>
        <v>45778</v>
      </c>
      <c r="W171" s="196">
        <f t="shared" si="839"/>
        <v>45809</v>
      </c>
      <c r="X171" s="196">
        <f t="shared" si="839"/>
        <v>45839</v>
      </c>
      <c r="Y171" s="196">
        <f t="shared" si="839"/>
        <v>45870</v>
      </c>
      <c r="Z171" s="196">
        <f t="shared" si="839"/>
        <v>45901</v>
      </c>
      <c r="AA171" s="196">
        <f t="shared" si="839"/>
        <v>45931</v>
      </c>
      <c r="AB171" s="196">
        <f t="shared" si="839"/>
        <v>45962</v>
      </c>
      <c r="AC171" s="196">
        <f t="shared" si="839"/>
        <v>45992</v>
      </c>
      <c r="AD171" s="196">
        <f t="shared" si="839"/>
        <v>46023</v>
      </c>
      <c r="AE171" s="196">
        <f t="shared" si="839"/>
        <v>46054</v>
      </c>
      <c r="AF171" s="196">
        <f t="shared" si="839"/>
        <v>46082</v>
      </c>
      <c r="AG171" s="196">
        <f t="shared" si="839"/>
        <v>46113</v>
      </c>
      <c r="AH171" s="196">
        <f t="shared" si="839"/>
        <v>46143</v>
      </c>
      <c r="AI171" s="196">
        <f t="shared" si="839"/>
        <v>46174</v>
      </c>
      <c r="AJ171" s="196">
        <f t="shared" si="839"/>
        <v>46204</v>
      </c>
      <c r="AK171" s="196">
        <f t="shared" si="839"/>
        <v>46235</v>
      </c>
      <c r="AL171" s="196">
        <f t="shared" si="839"/>
        <v>46266</v>
      </c>
      <c r="AM171" s="196">
        <f t="shared" si="839"/>
        <v>46296</v>
      </c>
      <c r="AN171" s="196">
        <f t="shared" si="839"/>
        <v>46327</v>
      </c>
      <c r="AO171" s="196">
        <f t="shared" si="839"/>
        <v>46357</v>
      </c>
      <c r="AP171" s="196">
        <f t="shared" si="839"/>
        <v>46388</v>
      </c>
      <c r="AQ171" s="196">
        <f t="shared" si="839"/>
        <v>46419</v>
      </c>
      <c r="AR171" s="196">
        <f t="shared" si="839"/>
        <v>46447</v>
      </c>
      <c r="AS171" s="196">
        <f t="shared" si="839"/>
        <v>46478</v>
      </c>
      <c r="AT171" s="196">
        <f t="shared" si="839"/>
        <v>46508</v>
      </c>
      <c r="AU171" s="196">
        <f t="shared" si="839"/>
        <v>46539</v>
      </c>
      <c r="AV171" s="196">
        <f t="shared" si="839"/>
        <v>46569</v>
      </c>
      <c r="AW171" s="196">
        <f t="shared" si="839"/>
        <v>46600</v>
      </c>
      <c r="AX171" s="196">
        <f t="shared" si="839"/>
        <v>46631</v>
      </c>
      <c r="AY171" s="196">
        <f t="shared" si="839"/>
        <v>46661</v>
      </c>
      <c r="AZ171" s="196">
        <f t="shared" si="839"/>
        <v>46692</v>
      </c>
      <c r="BA171" s="196">
        <f t="shared" si="839"/>
        <v>46722</v>
      </c>
      <c r="BB171" s="196">
        <f t="shared" si="839"/>
        <v>46753</v>
      </c>
      <c r="BC171" s="196">
        <f t="shared" si="839"/>
        <v>46784</v>
      </c>
      <c r="BD171" s="196">
        <f t="shared" si="839"/>
        <v>46813</v>
      </c>
      <c r="BE171" s="196">
        <f t="shared" si="839"/>
        <v>46844</v>
      </c>
      <c r="BF171" s="196">
        <f t="shared" si="839"/>
        <v>46874</v>
      </c>
      <c r="BG171" s="196">
        <f t="shared" si="839"/>
        <v>46905</v>
      </c>
      <c r="BH171" s="196">
        <f t="shared" si="839"/>
        <v>46935</v>
      </c>
      <c r="BI171" s="196">
        <f t="shared" si="839"/>
        <v>46966</v>
      </c>
      <c r="BJ171" s="196">
        <f t="shared" si="839"/>
        <v>46997</v>
      </c>
      <c r="BK171" s="196">
        <f t="shared" si="839"/>
        <v>47027</v>
      </c>
      <c r="BL171" s="196">
        <f t="shared" si="839"/>
        <v>47058</v>
      </c>
      <c r="BM171" s="196">
        <f t="shared" si="839"/>
        <v>47088</v>
      </c>
      <c r="BN171" s="196">
        <f t="shared" si="839"/>
        <v>47119</v>
      </c>
      <c r="BO171" s="196">
        <f t="shared" si="839"/>
        <v>47150</v>
      </c>
      <c r="BP171" s="196">
        <f t="shared" si="839"/>
        <v>47178</v>
      </c>
      <c r="BQ171" s="196">
        <f t="shared" si="839"/>
        <v>47209</v>
      </c>
      <c r="BR171" s="196">
        <f t="shared" si="839"/>
        <v>47239</v>
      </c>
      <c r="BS171" s="196">
        <f t="shared" ref="BS171:BX171" si="840">BS163</f>
        <v>47270</v>
      </c>
      <c r="BT171" s="196">
        <f t="shared" si="840"/>
        <v>47300</v>
      </c>
      <c r="BU171" s="196">
        <f t="shared" si="840"/>
        <v>47331</v>
      </c>
      <c r="BV171" s="196">
        <f t="shared" si="840"/>
        <v>47362</v>
      </c>
      <c r="BW171" s="196">
        <f t="shared" si="840"/>
        <v>47392</v>
      </c>
      <c r="BX171" s="196">
        <f t="shared" si="840"/>
        <v>47423</v>
      </c>
      <c r="BY171" s="196">
        <f t="shared" ref="BY171:CK171" si="841">BY163</f>
        <v>47453</v>
      </c>
      <c r="BZ171" s="196">
        <f t="shared" si="841"/>
        <v>47484</v>
      </c>
      <c r="CA171" s="196">
        <f t="shared" si="841"/>
        <v>47515</v>
      </c>
      <c r="CB171" s="196">
        <f t="shared" si="841"/>
        <v>47543</v>
      </c>
      <c r="CC171" s="196">
        <f t="shared" si="841"/>
        <v>47574</v>
      </c>
      <c r="CD171" s="196">
        <f t="shared" si="841"/>
        <v>47604</v>
      </c>
      <c r="CE171" s="196">
        <f t="shared" si="841"/>
        <v>47635</v>
      </c>
      <c r="CF171" s="196">
        <f t="shared" si="841"/>
        <v>47665</v>
      </c>
      <c r="CG171" s="196">
        <f t="shared" si="841"/>
        <v>47696</v>
      </c>
      <c r="CH171" s="196">
        <f t="shared" si="841"/>
        <v>47727</v>
      </c>
      <c r="CI171" s="196">
        <f t="shared" si="841"/>
        <v>47757</v>
      </c>
      <c r="CJ171" s="196">
        <f t="shared" si="841"/>
        <v>47788</v>
      </c>
      <c r="CK171" s="196">
        <f t="shared" si="841"/>
        <v>47818</v>
      </c>
      <c r="CO171" s="199">
        <v>2024</v>
      </c>
      <c r="CP171" s="199">
        <f t="shared" ref="CP171" si="842">CO171+1</f>
        <v>2025</v>
      </c>
      <c r="CQ171" s="199">
        <f t="shared" ref="CQ171" si="843">CP171+1</f>
        <v>2026</v>
      </c>
      <c r="CR171" s="199">
        <f t="shared" ref="CR171" si="844">CQ171+1</f>
        <v>2027</v>
      </c>
      <c r="CS171" s="199">
        <f t="shared" ref="CS171" si="845">CR171+1</f>
        <v>2028</v>
      </c>
      <c r="CT171" s="199">
        <f t="shared" ref="CT171" si="846">CS171+1</f>
        <v>2029</v>
      </c>
      <c r="CU171" s="199">
        <f t="shared" ref="CU171" si="847">CT171+1</f>
        <v>2030</v>
      </c>
    </row>
    <row r="172" spans="1:99" customFormat="1" ht="15" x14ac:dyDescent="0.25">
      <c r="B172" s="332" t="s">
        <v>414</v>
      </c>
      <c r="C172" s="97" t="s">
        <v>4</v>
      </c>
      <c r="D172" s="336"/>
      <c r="E172" s="329"/>
      <c r="F172" s="329">
        <v>173.5</v>
      </c>
      <c r="G172" s="329">
        <f>F172</f>
        <v>173.5</v>
      </c>
      <c r="H172" s="329">
        <f t="shared" ref="H172:Y172" si="848">G172</f>
        <v>173.5</v>
      </c>
      <c r="I172" s="329">
        <f t="shared" si="848"/>
        <v>173.5</v>
      </c>
      <c r="J172" s="329">
        <f t="shared" si="848"/>
        <v>173.5</v>
      </c>
      <c r="K172" s="329">
        <f t="shared" si="848"/>
        <v>173.5</v>
      </c>
      <c r="L172" s="329">
        <f t="shared" si="848"/>
        <v>173.5</v>
      </c>
      <c r="M172" s="329">
        <f t="shared" si="848"/>
        <v>173.5</v>
      </c>
      <c r="N172" s="329">
        <f t="shared" si="848"/>
        <v>173.5</v>
      </c>
      <c r="O172" s="329">
        <f t="shared" si="848"/>
        <v>173.5</v>
      </c>
      <c r="P172" s="329">
        <f t="shared" si="848"/>
        <v>173.5</v>
      </c>
      <c r="Q172" s="329">
        <f t="shared" si="848"/>
        <v>173.5</v>
      </c>
      <c r="R172" s="329">
        <f t="shared" si="848"/>
        <v>173.5</v>
      </c>
      <c r="S172" s="329">
        <f t="shared" si="848"/>
        <v>173.5</v>
      </c>
      <c r="T172" s="329">
        <f t="shared" si="848"/>
        <v>173.5</v>
      </c>
      <c r="U172" s="329">
        <f t="shared" si="848"/>
        <v>173.5</v>
      </c>
      <c r="V172" s="329">
        <f t="shared" si="848"/>
        <v>173.5</v>
      </c>
      <c r="W172" s="329">
        <f t="shared" si="848"/>
        <v>173.5</v>
      </c>
      <c r="X172" s="329">
        <f t="shared" si="848"/>
        <v>173.5</v>
      </c>
      <c r="Y172" s="329">
        <f t="shared" si="848"/>
        <v>173.5</v>
      </c>
      <c r="Z172" s="329">
        <v>9849</v>
      </c>
      <c r="AA172" s="329">
        <f>Z172+Свод_БДДС!U22+Свод_БДДС!U23</f>
        <v>9299</v>
      </c>
      <c r="AB172" s="329">
        <f>AA172+Свод_БДДС!V22+Свод_БДДС!V23</f>
        <v>9296</v>
      </c>
      <c r="AC172" s="329">
        <f>AB172+Свод_БДДС!W22+Свод_БДДС!W23</f>
        <v>9051</v>
      </c>
      <c r="AD172" s="329">
        <f>AC172+Свод_БДДС!X22+Свод_БДДС!X23</f>
        <v>9051</v>
      </c>
      <c r="AE172" s="329">
        <f>AD172+Свод_БДДС!Y22+Свод_БДДС!Y23</f>
        <v>9051</v>
      </c>
      <c r="AF172" s="329">
        <f>AE172+Свод_БДДС!Z22+Свод_БДДС!Z23</f>
        <v>9051</v>
      </c>
      <c r="AG172" s="329">
        <f>AF172+Свод_БДДС!AA22+Свод_БДДС!AA23</f>
        <v>9051</v>
      </c>
      <c r="AH172" s="329">
        <f>AG172+Свод_БДДС!AB22+Свод_БДДС!AB23</f>
        <v>9051</v>
      </c>
      <c r="AI172" s="329">
        <f>AH172+Свод_БДДС!AC22+Свод_БДДС!AC23</f>
        <v>9051</v>
      </c>
      <c r="AJ172" s="329">
        <f>AI172+Свод_БДДС!AD22+Свод_БДДС!AD23</f>
        <v>9051</v>
      </c>
      <c r="AK172" s="329">
        <f>AJ172+Свод_БДДС!AE22+Свод_БДДС!AE23</f>
        <v>9051</v>
      </c>
      <c r="AL172" s="329">
        <f>AK172+Свод_БДДС!AF22+Свод_БДДС!AF23</f>
        <v>9051</v>
      </c>
      <c r="AM172" s="329">
        <f>AL172+Свод_БДДС!AG22+Свод_БДДС!AG23</f>
        <v>9051</v>
      </c>
      <c r="AN172" s="329">
        <f>AM172+Свод_БДДС!AH22+Свод_БДДС!AH23</f>
        <v>9051</v>
      </c>
      <c r="AO172" s="329">
        <f>AN172+Свод_БДДС!AI22+Свод_БДДС!AI23</f>
        <v>9051</v>
      </c>
      <c r="AP172" s="329">
        <f>AO172+Свод_БДДС!AJ22+Свод_БДДС!AJ23</f>
        <v>9051</v>
      </c>
      <c r="AQ172" s="329">
        <f>AP172+Свод_БДДС!AK22+Свод_БДДС!AK23</f>
        <v>9051</v>
      </c>
      <c r="AR172" s="329">
        <f>AQ172+Свод_БДДС!AL22+Свод_БДДС!AL23</f>
        <v>9051</v>
      </c>
      <c r="AS172" s="329">
        <f>AR172+Свод_БДДС!AM22+Свод_БДДС!AM23</f>
        <v>9051</v>
      </c>
      <c r="AT172" s="329">
        <f>AS172+Свод_БДДС!AN22+Свод_БДДС!AN23</f>
        <v>9051</v>
      </c>
      <c r="AU172" s="329">
        <f>AT172+Свод_БДДС!AO22+Свод_БДДС!AO23</f>
        <v>9051</v>
      </c>
      <c r="AV172" s="329">
        <f>AU172+Свод_БДДС!AP22+Свод_БДДС!AP23</f>
        <v>9051</v>
      </c>
      <c r="AW172" s="329">
        <f>AV172+Свод_БДДС!AQ22+Свод_БДДС!AQ23</f>
        <v>9051</v>
      </c>
      <c r="AX172" s="329">
        <f>AW172+Свод_БДДС!AR22+Свод_БДДС!AR23</f>
        <v>9051</v>
      </c>
      <c r="AY172" s="329">
        <f>AX172+Свод_БДДС!AS22+Свод_БДДС!AS23</f>
        <v>9051</v>
      </c>
      <c r="AZ172" s="329">
        <f>AY172+Свод_БДДС!AT22+Свод_БДДС!AT23</f>
        <v>9051</v>
      </c>
      <c r="BA172" s="329">
        <f>AZ172+Свод_БДДС!AU22+Свод_БДДС!AU23</f>
        <v>9051</v>
      </c>
      <c r="BB172" s="329">
        <f>BA172+Свод_БДДС!AV22+Свод_БДДС!AV23</f>
        <v>9051</v>
      </c>
      <c r="BC172" s="329">
        <f>BB172+Свод_БДДС!AW22+Свод_БДДС!AW23</f>
        <v>9051</v>
      </c>
      <c r="BD172" s="329">
        <f>BC172+Свод_БДДС!AX22+Свод_БДДС!AX23</f>
        <v>9051</v>
      </c>
      <c r="BE172" s="329">
        <f>BD172+Свод_БДДС!AY22+Свод_БДДС!AY23</f>
        <v>9051</v>
      </c>
      <c r="BF172" s="329">
        <f>BE172+Свод_БДДС!AZ22+Свод_БДДС!AZ23</f>
        <v>9051</v>
      </c>
      <c r="BG172" s="329">
        <f>BF172+Свод_БДДС!BA22+Свод_БДДС!BA23</f>
        <v>9051</v>
      </c>
      <c r="BH172" s="329">
        <f>BG172+Свод_БДДС!BB22+Свод_БДДС!BB23</f>
        <v>9051</v>
      </c>
      <c r="BI172" s="329">
        <f>BH172+Свод_БДДС!BC22+Свод_БДДС!BC23</f>
        <v>9051</v>
      </c>
      <c r="BJ172" s="329">
        <f>BI172+Свод_БДДС!BD22+Свод_БДДС!BD23</f>
        <v>9051</v>
      </c>
      <c r="BK172" s="329">
        <f>BJ172+Свод_БДДС!BE22+Свод_БДДС!BE23</f>
        <v>9051</v>
      </c>
      <c r="BL172" s="329">
        <f>BK172+Свод_БДДС!BF22+Свод_БДДС!BF23</f>
        <v>9051</v>
      </c>
      <c r="BM172" s="329">
        <f>BL172+Свод_БДДС!BG22+Свод_БДДС!BG23</f>
        <v>9051</v>
      </c>
      <c r="BN172" s="329">
        <f>BM172+Свод_БДДС!BH22+Свод_БДДС!BH23</f>
        <v>9051</v>
      </c>
      <c r="BO172" s="329">
        <f>BN172+Свод_БДДС!BI22+Свод_БДДС!BI23</f>
        <v>9051</v>
      </c>
      <c r="BP172" s="329">
        <f>BO172+Свод_БДДС!BJ22+Свод_БДДС!BJ23</f>
        <v>9051</v>
      </c>
      <c r="BQ172" s="329">
        <f>BP172+Свод_БДДС!BK22+Свод_БДДС!BK23</f>
        <v>9051</v>
      </c>
      <c r="BR172" s="329">
        <f>BQ172+Свод_БДДС!BL22+Свод_БДДС!BL23</f>
        <v>9051</v>
      </c>
      <c r="BS172" s="329">
        <f>BR172+Свод_БДДС!BM22+Свод_БДДС!BM23</f>
        <v>9051</v>
      </c>
      <c r="BT172" s="329">
        <f>BS172+Свод_БДДС!BN22+Свод_БДДС!BN23</f>
        <v>9051</v>
      </c>
      <c r="BU172" s="329">
        <f>BT172+Свод_БДДС!BO22+Свод_БДДС!BO23</f>
        <v>9051</v>
      </c>
      <c r="BV172" s="329">
        <f>BU172+Свод_БДДС!BP22+Свод_БДДС!BP23</f>
        <v>9051</v>
      </c>
      <c r="BW172" s="329">
        <f>BV172+Свод_БДДС!BQ22+Свод_БДДС!BQ23</f>
        <v>9051</v>
      </c>
      <c r="BX172" s="329">
        <f>BW172+Свод_БДДС!BR22+Свод_БДДС!BR23</f>
        <v>9051</v>
      </c>
      <c r="BY172" s="329">
        <f>BX172+Свод_БДДС!CE22+Свод_БДДС!CE23</f>
        <v>9051</v>
      </c>
      <c r="BZ172" s="329">
        <f>BY172+Свод_БДДС!CF22+Свод_БДДС!CF23</f>
        <v>9051</v>
      </c>
      <c r="CA172" s="329">
        <f>BZ172+Свод_БДДС!CG22+Свод_БДДС!CG23</f>
        <v>9051</v>
      </c>
      <c r="CB172" s="329">
        <f>CA172+Свод_БДДС!CH22+Свод_БДДС!CH23</f>
        <v>9051</v>
      </c>
      <c r="CC172" s="329">
        <f>CB172+Свод_БДДС!CI22+Свод_БДДС!CI23</f>
        <v>9051</v>
      </c>
      <c r="CD172" s="329">
        <f>CC172+Свод_БДДС!CJ22+Свод_БДДС!CJ23</f>
        <v>9051</v>
      </c>
      <c r="CE172" s="329">
        <f>CD172+Свод_БДДС!CK22+Свод_БДДС!CK23</f>
        <v>9051</v>
      </c>
      <c r="CF172" s="329">
        <f>CE172+Свод_БДДС!CL22+Свод_БДДС!CL23</f>
        <v>9051</v>
      </c>
      <c r="CG172" s="329">
        <f>CF172+Свод_БДДС!CM22+Свод_БДДС!CM23</f>
        <v>9051</v>
      </c>
      <c r="CH172" s="329">
        <f>CG172+Свод_БДДС!CN22+Свод_БДДС!CN23</f>
        <v>9051</v>
      </c>
      <c r="CI172" s="329">
        <f>CH172+Свод_БДДС!CO22+Свод_БДДС!CO23</f>
        <v>9051</v>
      </c>
      <c r="CJ172" s="329">
        <f>CI172+Свод_БДДС!CP22+Свод_БДДС!CP23</f>
        <v>9051</v>
      </c>
      <c r="CK172" s="329">
        <f>CJ172+Свод_БДДС!CQ22+Свод_БДДС!CQ23</f>
        <v>9051</v>
      </c>
      <c r="CO172" s="10">
        <f>Q172</f>
        <v>173.5</v>
      </c>
      <c r="CP172" s="10">
        <f ca="1">OFFSET($Q172,0,12)</f>
        <v>9051</v>
      </c>
      <c r="CQ172" s="10">
        <f ca="1">OFFSET($Q172,0,24)</f>
        <v>9051</v>
      </c>
      <c r="CR172" s="10">
        <f ca="1">OFFSET($Q172,0,36)</f>
        <v>9051</v>
      </c>
      <c r="CS172" s="10">
        <f ca="1">OFFSET($Q172,0,48)</f>
        <v>9051</v>
      </c>
      <c r="CT172" s="10">
        <f t="shared" ref="CT172:CU172" ca="1" si="849">OFFSET($Q172,0,48)</f>
        <v>9051</v>
      </c>
      <c r="CU172" s="10">
        <f t="shared" ca="1" si="849"/>
        <v>9051</v>
      </c>
    </row>
  </sheetData>
  <mergeCells count="5">
    <mergeCell ref="O38:Q38"/>
    <mergeCell ref="CV4:CW4"/>
    <mergeCell ref="CV8:CW8"/>
    <mergeCell ref="CV15:CW15"/>
    <mergeCell ref="CV30:CW30"/>
  </mergeCells>
  <dataValidations count="1">
    <dataValidation allowBlank="1" showErrorMessage="1" promptTitle=" " prompt="По обязательствам в валюте – пересчёт по курсу ЦБ РФ на дату заполнения" sqref="D125:E126 F129:CK129 F126:CK126" xr:uid="{00000000-0002-0000-0000-000000000000}"/>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9">
    <outlinePr summaryBelow="0"/>
  </sheetPr>
  <dimension ref="B1:CW147"/>
  <sheetViews>
    <sheetView showGridLines="0" zoomScale="80" zoomScaleNormal="80" workbookViewId="0">
      <pane xSplit="3" ySplit="3" topLeftCell="AC102" activePane="bottomRight" state="frozen"/>
      <selection pane="topRight" activeCell="D1" sqref="D1"/>
      <selection pane="bottomLeft" activeCell="A4" sqref="A4"/>
      <selection pane="bottomRight" activeCell="AK132" sqref="AK132"/>
    </sheetView>
  </sheetViews>
  <sheetFormatPr defaultColWidth="8.7109375" defaultRowHeight="12.75" outlineLevelRow="2" outlineLevelCol="1" x14ac:dyDescent="0.2"/>
  <cols>
    <col min="1" max="1" width="9" style="8" customWidth="1"/>
    <col min="2" max="2" width="68.7109375" style="8" customWidth="1"/>
    <col min="3" max="3" width="15.140625" style="8" customWidth="1"/>
    <col min="4" max="4" width="16.42578125" style="8" customWidth="1"/>
    <col min="5" max="5" width="13.7109375" style="8" customWidth="1"/>
    <col min="6" max="11" width="8.7109375" style="8" customWidth="1" outlineLevel="1"/>
    <col min="12" max="12" width="9.7109375" style="8" customWidth="1" outlineLevel="1"/>
    <col min="13" max="42" width="8.7109375" style="8" customWidth="1" outlineLevel="1"/>
    <col min="43" max="88" width="9.42578125" style="8" customWidth="1" outlineLevel="1"/>
    <col min="89" max="89" width="10.140625" style="8" customWidth="1" outlineLevel="1"/>
    <col min="90" max="90" width="8.7109375" style="8" customWidth="1"/>
    <col min="91" max="91" width="11" style="8" customWidth="1"/>
    <col min="92" max="93" width="9.42578125" style="8" bestFit="1" customWidth="1"/>
    <col min="94" max="94" width="9.7109375" style="8" bestFit="1" customWidth="1"/>
    <col min="95" max="96" width="10.42578125" style="8" customWidth="1"/>
    <col min="97" max="97" width="11.140625" style="8" bestFit="1" customWidth="1"/>
    <col min="98" max="98" width="11.140625" style="8" customWidth="1"/>
    <col min="99" max="99" width="9.42578125" style="8" customWidth="1"/>
    <col min="100" max="16384" width="8.7109375" style="8"/>
  </cols>
  <sheetData>
    <row r="1" spans="2:99" x14ac:dyDescent="0.2">
      <c r="F1" s="188" t="s">
        <v>284</v>
      </c>
      <c r="G1" s="188" t="s">
        <v>284</v>
      </c>
      <c r="H1" s="188" t="s">
        <v>284</v>
      </c>
      <c r="I1" s="188" t="s">
        <v>284</v>
      </c>
      <c r="J1" s="188" t="s">
        <v>284</v>
      </c>
      <c r="K1" s="188" t="s">
        <v>284</v>
      </c>
      <c r="L1" s="188" t="s">
        <v>284</v>
      </c>
      <c r="M1" s="188" t="s">
        <v>284</v>
      </c>
      <c r="N1" s="188" t="s">
        <v>284</v>
      </c>
      <c r="O1" s="188" t="s">
        <v>284</v>
      </c>
      <c r="P1" s="188" t="s">
        <v>284</v>
      </c>
      <c r="Q1" s="188" t="s">
        <v>284</v>
      </c>
      <c r="R1" s="188" t="s">
        <v>284</v>
      </c>
      <c r="S1" s="188" t="s">
        <v>284</v>
      </c>
      <c r="T1" s="188" t="s">
        <v>284</v>
      </c>
      <c r="U1" s="188" t="s">
        <v>284</v>
      </c>
      <c r="V1" s="188" t="s">
        <v>284</v>
      </c>
      <c r="W1" s="188" t="s">
        <v>284</v>
      </c>
      <c r="X1" s="188" t="s">
        <v>284</v>
      </c>
      <c r="Y1" s="188" t="s">
        <v>284</v>
      </c>
      <c r="Z1" s="188" t="s">
        <v>284</v>
      </c>
      <c r="AA1" s="188" t="s">
        <v>284</v>
      </c>
      <c r="AB1" s="188" t="s">
        <v>284</v>
      </c>
      <c r="AC1" s="188" t="s">
        <v>284</v>
      </c>
      <c r="CO1" s="244"/>
    </row>
    <row r="2" spans="2:99" x14ac:dyDescent="0.2">
      <c r="B2" s="7" t="s">
        <v>49</v>
      </c>
      <c r="F2" s="5">
        <f t="shared" ref="F2:K2" si="0">YEAR(F3)</f>
        <v>2024</v>
      </c>
      <c r="G2" s="5">
        <f t="shared" si="0"/>
        <v>2024</v>
      </c>
      <c r="H2" s="5">
        <f t="shared" si="0"/>
        <v>2024</v>
      </c>
      <c r="I2" s="5">
        <f t="shared" si="0"/>
        <v>2024</v>
      </c>
      <c r="J2" s="5">
        <f t="shared" si="0"/>
        <v>2024</v>
      </c>
      <c r="K2" s="5">
        <f t="shared" si="0"/>
        <v>2024</v>
      </c>
      <c r="L2" s="5">
        <f>YEAR(L3)</f>
        <v>2024</v>
      </c>
      <c r="M2" s="5">
        <f t="shared" ref="M2:CK2" si="1">YEAR(M3)</f>
        <v>2024</v>
      </c>
      <c r="N2" s="5">
        <f t="shared" si="1"/>
        <v>2024</v>
      </c>
      <c r="O2" s="5">
        <f t="shared" si="1"/>
        <v>2024</v>
      </c>
      <c r="P2" s="5">
        <f t="shared" si="1"/>
        <v>2024</v>
      </c>
      <c r="Q2" s="5">
        <f t="shared" si="1"/>
        <v>2024</v>
      </c>
      <c r="R2" s="5">
        <f t="shared" si="1"/>
        <v>2025</v>
      </c>
      <c r="S2" s="5">
        <f t="shared" si="1"/>
        <v>2025</v>
      </c>
      <c r="T2" s="5">
        <f t="shared" si="1"/>
        <v>2025</v>
      </c>
      <c r="U2" s="5">
        <f t="shared" si="1"/>
        <v>2025</v>
      </c>
      <c r="V2" s="5">
        <f t="shared" si="1"/>
        <v>2025</v>
      </c>
      <c r="W2" s="5">
        <f t="shared" si="1"/>
        <v>2025</v>
      </c>
      <c r="X2" s="5">
        <f t="shared" si="1"/>
        <v>2025</v>
      </c>
      <c r="Y2" s="5">
        <f t="shared" si="1"/>
        <v>2025</v>
      </c>
      <c r="Z2" s="5">
        <f t="shared" si="1"/>
        <v>2025</v>
      </c>
      <c r="AA2" s="5">
        <f t="shared" si="1"/>
        <v>2025</v>
      </c>
      <c r="AB2" s="5">
        <f t="shared" si="1"/>
        <v>2025</v>
      </c>
      <c r="AC2" s="5">
        <f t="shared" si="1"/>
        <v>2025</v>
      </c>
      <c r="AD2" s="5">
        <f t="shared" si="1"/>
        <v>2026</v>
      </c>
      <c r="AE2" s="5">
        <f t="shared" si="1"/>
        <v>2026</v>
      </c>
      <c r="AF2" s="5">
        <f t="shared" si="1"/>
        <v>2026</v>
      </c>
      <c r="AG2" s="5">
        <f t="shared" si="1"/>
        <v>2026</v>
      </c>
      <c r="AH2" s="5">
        <f t="shared" si="1"/>
        <v>2026</v>
      </c>
      <c r="AI2" s="5">
        <f t="shared" si="1"/>
        <v>2026</v>
      </c>
      <c r="AJ2" s="5">
        <f t="shared" si="1"/>
        <v>2026</v>
      </c>
      <c r="AK2" s="5">
        <f t="shared" si="1"/>
        <v>2026</v>
      </c>
      <c r="AL2" s="5">
        <f t="shared" si="1"/>
        <v>2026</v>
      </c>
      <c r="AM2" s="5">
        <f t="shared" si="1"/>
        <v>2026</v>
      </c>
      <c r="AN2" s="5">
        <f t="shared" si="1"/>
        <v>2026</v>
      </c>
      <c r="AO2" s="5">
        <f t="shared" si="1"/>
        <v>2026</v>
      </c>
      <c r="AP2" s="5">
        <f t="shared" si="1"/>
        <v>2027</v>
      </c>
      <c r="AQ2" s="5">
        <f t="shared" si="1"/>
        <v>2027</v>
      </c>
      <c r="AR2" s="5">
        <f t="shared" si="1"/>
        <v>2027</v>
      </c>
      <c r="AS2" s="5">
        <f t="shared" si="1"/>
        <v>2027</v>
      </c>
      <c r="AT2" s="5">
        <f t="shared" si="1"/>
        <v>2027</v>
      </c>
      <c r="AU2" s="5">
        <f t="shared" si="1"/>
        <v>2027</v>
      </c>
      <c r="AV2" s="5">
        <f t="shared" si="1"/>
        <v>2027</v>
      </c>
      <c r="AW2" s="5">
        <f t="shared" si="1"/>
        <v>2027</v>
      </c>
      <c r="AX2" s="5">
        <f t="shared" si="1"/>
        <v>2027</v>
      </c>
      <c r="AY2" s="5">
        <f t="shared" si="1"/>
        <v>2027</v>
      </c>
      <c r="AZ2" s="5">
        <f t="shared" si="1"/>
        <v>2027</v>
      </c>
      <c r="BA2" s="5">
        <f t="shared" si="1"/>
        <v>2027</v>
      </c>
      <c r="BB2" s="5">
        <f t="shared" si="1"/>
        <v>2028</v>
      </c>
      <c r="BC2" s="5">
        <f t="shared" si="1"/>
        <v>2028</v>
      </c>
      <c r="BD2" s="5">
        <f t="shared" si="1"/>
        <v>2028</v>
      </c>
      <c r="BE2" s="5">
        <f t="shared" si="1"/>
        <v>2028</v>
      </c>
      <c r="BF2" s="5">
        <f t="shared" si="1"/>
        <v>2028</v>
      </c>
      <c r="BG2" s="5">
        <f t="shared" si="1"/>
        <v>2028</v>
      </c>
      <c r="BH2" s="5">
        <f t="shared" si="1"/>
        <v>2028</v>
      </c>
      <c r="BI2" s="5">
        <f t="shared" si="1"/>
        <v>2028</v>
      </c>
      <c r="BJ2" s="5">
        <f t="shared" si="1"/>
        <v>2028</v>
      </c>
      <c r="BK2" s="5">
        <f t="shared" si="1"/>
        <v>2028</v>
      </c>
      <c r="BL2" s="5">
        <f t="shared" si="1"/>
        <v>2028</v>
      </c>
      <c r="BM2" s="5">
        <f t="shared" si="1"/>
        <v>2028</v>
      </c>
      <c r="BN2" s="5">
        <f t="shared" si="1"/>
        <v>2029</v>
      </c>
      <c r="BO2" s="5">
        <f t="shared" si="1"/>
        <v>2029</v>
      </c>
      <c r="BP2" s="5">
        <f t="shared" si="1"/>
        <v>2029</v>
      </c>
      <c r="BQ2" s="5">
        <f t="shared" si="1"/>
        <v>2029</v>
      </c>
      <c r="BR2" s="5">
        <f t="shared" si="1"/>
        <v>2029</v>
      </c>
      <c r="BS2" s="5">
        <f t="shared" si="1"/>
        <v>2029</v>
      </c>
      <c r="BT2" s="5">
        <f t="shared" si="1"/>
        <v>2029</v>
      </c>
      <c r="BU2" s="5">
        <f t="shared" si="1"/>
        <v>2029</v>
      </c>
      <c r="BV2" s="5">
        <f t="shared" si="1"/>
        <v>2029</v>
      </c>
      <c r="BW2" s="5">
        <f t="shared" si="1"/>
        <v>2029</v>
      </c>
      <c r="BX2" s="5">
        <f t="shared" si="1"/>
        <v>2029</v>
      </c>
      <c r="BY2" s="5">
        <f t="shared" si="1"/>
        <v>2029</v>
      </c>
      <c r="BZ2" s="5">
        <f t="shared" si="1"/>
        <v>2030</v>
      </c>
      <c r="CA2" s="5">
        <f t="shared" si="1"/>
        <v>2030</v>
      </c>
      <c r="CB2" s="5">
        <f t="shared" si="1"/>
        <v>2030</v>
      </c>
      <c r="CC2" s="5">
        <f t="shared" si="1"/>
        <v>2030</v>
      </c>
      <c r="CD2" s="5">
        <f t="shared" si="1"/>
        <v>2030</v>
      </c>
      <c r="CE2" s="5">
        <f t="shared" si="1"/>
        <v>2030</v>
      </c>
      <c r="CF2" s="5">
        <f t="shared" si="1"/>
        <v>2030</v>
      </c>
      <c r="CG2" s="5">
        <f t="shared" si="1"/>
        <v>2030</v>
      </c>
      <c r="CH2" s="5">
        <f t="shared" si="1"/>
        <v>2030</v>
      </c>
      <c r="CI2" s="5">
        <f t="shared" si="1"/>
        <v>2030</v>
      </c>
      <c r="CJ2" s="5">
        <f t="shared" si="1"/>
        <v>2030</v>
      </c>
      <c r="CK2" s="5">
        <f t="shared" si="1"/>
        <v>2030</v>
      </c>
      <c r="CM2" s="9" t="s">
        <v>165</v>
      </c>
      <c r="CN2" s="9" t="s">
        <v>165</v>
      </c>
      <c r="CO2" s="9" t="s">
        <v>165</v>
      </c>
    </row>
    <row r="3" spans="2:99" x14ac:dyDescent="0.2">
      <c r="B3" s="128" t="s">
        <v>1</v>
      </c>
      <c r="C3" s="128" t="s">
        <v>2</v>
      </c>
      <c r="D3" s="102"/>
      <c r="E3" s="102"/>
      <c r="F3" s="129">
        <v>45292</v>
      </c>
      <c r="G3" s="129">
        <v>45323</v>
      </c>
      <c r="H3" s="129">
        <v>45352</v>
      </c>
      <c r="I3" s="129">
        <v>45383</v>
      </c>
      <c r="J3" s="129">
        <v>45413</v>
      </c>
      <c r="K3" s="129">
        <v>45444</v>
      </c>
      <c r="L3" s="129">
        <v>45474</v>
      </c>
      <c r="M3" s="129">
        <v>45505</v>
      </c>
      <c r="N3" s="129">
        <v>45536</v>
      </c>
      <c r="O3" s="129">
        <v>45566</v>
      </c>
      <c r="P3" s="129">
        <v>45597</v>
      </c>
      <c r="Q3" s="129">
        <v>45627</v>
      </c>
      <c r="R3" s="129">
        <v>45658</v>
      </c>
      <c r="S3" s="129">
        <v>45689</v>
      </c>
      <c r="T3" s="129">
        <v>45717</v>
      </c>
      <c r="U3" s="129">
        <v>45748</v>
      </c>
      <c r="V3" s="129">
        <v>45778</v>
      </c>
      <c r="W3" s="129">
        <v>45809</v>
      </c>
      <c r="X3" s="129">
        <v>45839</v>
      </c>
      <c r="Y3" s="129">
        <v>45870</v>
      </c>
      <c r="Z3" s="129">
        <v>45901</v>
      </c>
      <c r="AA3" s="129">
        <v>45931</v>
      </c>
      <c r="AB3" s="129">
        <v>45962</v>
      </c>
      <c r="AC3" s="129">
        <v>45992</v>
      </c>
      <c r="AD3" s="129">
        <v>46023</v>
      </c>
      <c r="AE3" s="129">
        <v>46054</v>
      </c>
      <c r="AF3" s="129">
        <v>46082</v>
      </c>
      <c r="AG3" s="129">
        <v>46113</v>
      </c>
      <c r="AH3" s="129">
        <v>46143</v>
      </c>
      <c r="AI3" s="129">
        <v>46174</v>
      </c>
      <c r="AJ3" s="129">
        <v>46204</v>
      </c>
      <c r="AK3" s="129">
        <v>46235</v>
      </c>
      <c r="AL3" s="129">
        <v>46266</v>
      </c>
      <c r="AM3" s="129">
        <v>46296</v>
      </c>
      <c r="AN3" s="129">
        <v>46327</v>
      </c>
      <c r="AO3" s="129">
        <v>46357</v>
      </c>
      <c r="AP3" s="129">
        <v>46388</v>
      </c>
      <c r="AQ3" s="129">
        <v>46419</v>
      </c>
      <c r="AR3" s="129">
        <v>46447</v>
      </c>
      <c r="AS3" s="129">
        <v>46478</v>
      </c>
      <c r="AT3" s="129">
        <v>46508</v>
      </c>
      <c r="AU3" s="129">
        <v>46539</v>
      </c>
      <c r="AV3" s="129">
        <v>46569</v>
      </c>
      <c r="AW3" s="129">
        <v>46600</v>
      </c>
      <c r="AX3" s="129">
        <v>46631</v>
      </c>
      <c r="AY3" s="129">
        <v>46661</v>
      </c>
      <c r="AZ3" s="129">
        <v>46692</v>
      </c>
      <c r="BA3" s="129">
        <v>46722</v>
      </c>
      <c r="BB3" s="129">
        <v>46753</v>
      </c>
      <c r="BC3" s="129">
        <v>46784</v>
      </c>
      <c r="BD3" s="129">
        <v>46813</v>
      </c>
      <c r="BE3" s="129">
        <v>46844</v>
      </c>
      <c r="BF3" s="129">
        <v>46874</v>
      </c>
      <c r="BG3" s="129">
        <v>46905</v>
      </c>
      <c r="BH3" s="129">
        <v>46935</v>
      </c>
      <c r="BI3" s="129">
        <v>46966</v>
      </c>
      <c r="BJ3" s="129">
        <v>46997</v>
      </c>
      <c r="BK3" s="129">
        <v>47027</v>
      </c>
      <c r="BL3" s="129">
        <v>47058</v>
      </c>
      <c r="BM3" s="129">
        <v>47088</v>
      </c>
      <c r="BN3" s="129">
        <v>47119</v>
      </c>
      <c r="BO3" s="129">
        <v>47150</v>
      </c>
      <c r="BP3" s="129">
        <v>47178</v>
      </c>
      <c r="BQ3" s="129">
        <v>47209</v>
      </c>
      <c r="BR3" s="129">
        <v>47239</v>
      </c>
      <c r="BS3" s="129">
        <v>47270</v>
      </c>
      <c r="BT3" s="129">
        <v>47300</v>
      </c>
      <c r="BU3" s="129">
        <v>47331</v>
      </c>
      <c r="BV3" s="129">
        <v>47362</v>
      </c>
      <c r="BW3" s="129">
        <v>47392</v>
      </c>
      <c r="BX3" s="129">
        <v>47423</v>
      </c>
      <c r="BY3" s="129">
        <v>47453</v>
      </c>
      <c r="BZ3" s="129">
        <v>47484</v>
      </c>
      <c r="CA3" s="129">
        <v>47515</v>
      </c>
      <c r="CB3" s="129">
        <v>47543</v>
      </c>
      <c r="CC3" s="129">
        <v>47574</v>
      </c>
      <c r="CD3" s="129">
        <v>47604</v>
      </c>
      <c r="CE3" s="129">
        <v>47635</v>
      </c>
      <c r="CF3" s="129">
        <v>47665</v>
      </c>
      <c r="CG3" s="129">
        <v>47696</v>
      </c>
      <c r="CH3" s="129">
        <v>47727</v>
      </c>
      <c r="CI3" s="129">
        <v>47757</v>
      </c>
      <c r="CJ3" s="129">
        <v>47788</v>
      </c>
      <c r="CK3" s="129">
        <v>47818</v>
      </c>
      <c r="CM3" s="130">
        <v>2022</v>
      </c>
      <c r="CN3" s="130">
        <v>2023</v>
      </c>
      <c r="CO3" s="130">
        <f>CN3+1</f>
        <v>2024</v>
      </c>
      <c r="CP3" s="130">
        <f t="shared" ref="CP3" si="2">CO3+1</f>
        <v>2025</v>
      </c>
      <c r="CQ3" s="130">
        <f t="shared" ref="CQ3" si="3">CP3+1</f>
        <v>2026</v>
      </c>
      <c r="CR3" s="130">
        <f>CQ3+1</f>
        <v>2027</v>
      </c>
      <c r="CS3" s="130">
        <f>CR3+1</f>
        <v>2028</v>
      </c>
      <c r="CT3" s="130">
        <f t="shared" ref="CT3:CU3" si="4">CS3+1</f>
        <v>2029</v>
      </c>
      <c r="CU3" s="130">
        <f t="shared" si="4"/>
        <v>2030</v>
      </c>
    </row>
    <row r="4" spans="2:99" x14ac:dyDescent="0.2">
      <c r="B4" s="90" t="s">
        <v>0</v>
      </c>
      <c r="C4" s="91" t="s">
        <v>4</v>
      </c>
      <c r="D4" s="9"/>
      <c r="E4" s="9"/>
      <c r="F4" s="10">
        <f t="shared" ref="F4:Q4" si="5">F47/(1+F99)</f>
        <v>34136.701000000001</v>
      </c>
      <c r="G4" s="10">
        <f t="shared" si="5"/>
        <v>37066.71</v>
      </c>
      <c r="H4" s="10">
        <f t="shared" si="5"/>
        <v>34252.171999999999</v>
      </c>
      <c r="I4" s="10">
        <f t="shared" si="5"/>
        <v>39736.000000000007</v>
      </c>
      <c r="J4" s="10">
        <f t="shared" si="5"/>
        <v>39274.337</v>
      </c>
      <c r="K4" s="10">
        <f t="shared" si="5"/>
        <v>39882.635000000002</v>
      </c>
      <c r="L4" s="10">
        <f t="shared" si="5"/>
        <v>45631.897372671607</v>
      </c>
      <c r="M4" s="10">
        <f t="shared" si="5"/>
        <v>41926.21578959113</v>
      </c>
      <c r="N4" s="10">
        <f t="shared" si="5"/>
        <v>39665.744006420115</v>
      </c>
      <c r="O4" s="10">
        <f t="shared" si="5"/>
        <v>46061.186268689249</v>
      </c>
      <c r="P4" s="10">
        <f t="shared" si="5"/>
        <v>43342.763062764134</v>
      </c>
      <c r="Q4" s="10">
        <f t="shared" si="5"/>
        <v>51574.141710655138</v>
      </c>
      <c r="R4" s="10">
        <f>R47/1.1</f>
        <v>37152.986827272725</v>
      </c>
      <c r="S4" s="10">
        <f>S47/1.1</f>
        <v>34064.653999999995</v>
      </c>
      <c r="T4" s="10">
        <f t="shared" ref="T4:BX4" si="6">T47/1.1</f>
        <v>47565.299545454538</v>
      </c>
      <c r="U4" s="10">
        <f t="shared" si="6"/>
        <v>37721.461309090904</v>
      </c>
      <c r="V4" s="10">
        <f t="shared" si="6"/>
        <v>38868.642472727275</v>
      </c>
      <c r="W4" s="10">
        <f t="shared" si="6"/>
        <v>39823.68830909091</v>
      </c>
      <c r="X4" s="10">
        <f t="shared" si="6"/>
        <v>51304.813627272721</v>
      </c>
      <c r="Y4" s="10">
        <f t="shared" si="6"/>
        <v>50186.182954545453</v>
      </c>
      <c r="Z4" s="10">
        <f t="shared" si="6"/>
        <v>50936.649218181818</v>
      </c>
      <c r="AA4" s="10">
        <f t="shared" si="6"/>
        <v>47934.631972727271</v>
      </c>
      <c r="AB4" s="10">
        <f t="shared" si="6"/>
        <v>46714.533727272719</v>
      </c>
      <c r="AC4" s="10">
        <f t="shared" si="6"/>
        <v>54814.161581818182</v>
      </c>
      <c r="AD4" s="10">
        <f t="shared" si="6"/>
        <v>34706.388181818184</v>
      </c>
      <c r="AE4" s="10">
        <f t="shared" si="6"/>
        <v>36685.779090909084</v>
      </c>
      <c r="AF4" s="10">
        <f t="shared" si="6"/>
        <v>45851.179999999993</v>
      </c>
      <c r="AG4" s="10">
        <f t="shared" si="6"/>
        <v>45545.454545454544</v>
      </c>
      <c r="AH4" s="10">
        <f t="shared" si="6"/>
        <v>47363.63636363636</v>
      </c>
      <c r="AI4" s="10">
        <f t="shared" si="6"/>
        <v>48363.63636363636</v>
      </c>
      <c r="AJ4" s="10">
        <f t="shared" si="6"/>
        <v>51363.63636363636</v>
      </c>
      <c r="AK4" s="10">
        <f t="shared" si="6"/>
        <v>69090.909090909088</v>
      </c>
      <c r="AL4" s="10">
        <f t="shared" si="6"/>
        <v>77272.727272727265</v>
      </c>
      <c r="AM4" s="10">
        <f t="shared" si="6"/>
        <v>77490.909090909088</v>
      </c>
      <c r="AN4" s="10">
        <f t="shared" si="6"/>
        <v>82109.090909090897</v>
      </c>
      <c r="AO4" s="10">
        <f t="shared" si="6"/>
        <v>98068.181818181809</v>
      </c>
      <c r="AP4" s="10">
        <f t="shared" si="6"/>
        <v>84478.409090909088</v>
      </c>
      <c r="AQ4" s="10">
        <f t="shared" si="6"/>
        <v>98502.604166666672</v>
      </c>
      <c r="AR4" s="10">
        <f t="shared" si="6"/>
        <v>119173.50589225587</v>
      </c>
      <c r="AS4" s="10">
        <f t="shared" si="6"/>
        <v>128429.82733983593</v>
      </c>
      <c r="AT4" s="10">
        <f t="shared" si="6"/>
        <v>133781.07014566244</v>
      </c>
      <c r="AU4" s="10">
        <f t="shared" si="6"/>
        <v>136511.29606700246</v>
      </c>
      <c r="AV4" s="10">
        <f t="shared" si="6"/>
        <v>139297.2408846964</v>
      </c>
      <c r="AW4" s="10">
        <f t="shared" si="6"/>
        <v>132327.53737688085</v>
      </c>
      <c r="AX4" s="10">
        <f t="shared" si="6"/>
        <v>128357.71125557442</v>
      </c>
      <c r="AY4" s="10">
        <f t="shared" si="6"/>
        <v>124506.9799179072</v>
      </c>
      <c r="AZ4" s="10">
        <f t="shared" si="6"/>
        <v>118281.6309220118</v>
      </c>
      <c r="BA4" s="10">
        <f t="shared" si="6"/>
        <v>157708.84122934911</v>
      </c>
      <c r="BB4" s="10">
        <f t="shared" si="6"/>
        <v>97897.528762029819</v>
      </c>
      <c r="BC4" s="10">
        <f t="shared" si="6"/>
        <v>114607.060546875</v>
      </c>
      <c r="BD4" s="10">
        <f t="shared" si="6"/>
        <v>138580.73804450757</v>
      </c>
      <c r="BE4" s="10">
        <f t="shared" si="6"/>
        <v>149304.05964444706</v>
      </c>
      <c r="BF4" s="10">
        <f t="shared" si="6"/>
        <v>155525.06212963234</v>
      </c>
      <c r="BG4" s="10">
        <f t="shared" si="6"/>
        <v>158699.04298942076</v>
      </c>
      <c r="BH4" s="10">
        <f t="shared" si="6"/>
        <v>161937.79896879671</v>
      </c>
      <c r="BI4" s="10">
        <f t="shared" si="6"/>
        <v>153854.63237309182</v>
      </c>
      <c r="BJ4" s="10">
        <f t="shared" si="6"/>
        <v>149238.99340189903</v>
      </c>
      <c r="BK4" s="10">
        <f t="shared" si="6"/>
        <v>144761.82359984206</v>
      </c>
      <c r="BL4" s="10">
        <f t="shared" si="6"/>
        <v>139435.02981217398</v>
      </c>
      <c r="BM4" s="10">
        <f t="shared" si="6"/>
        <v>183364.97655979992</v>
      </c>
      <c r="BN4" s="10">
        <f t="shared" si="6"/>
        <v>113995.9246362916</v>
      </c>
      <c r="BO4" s="10">
        <f t="shared" si="6"/>
        <v>133347.94100483845</v>
      </c>
      <c r="BP4" s="10">
        <f t="shared" si="6"/>
        <v>161152.81403631036</v>
      </c>
      <c r="BQ4" s="10">
        <f t="shared" si="6"/>
        <v>173575.88797674922</v>
      </c>
      <c r="BR4" s="10">
        <f t="shared" si="6"/>
        <v>180808.21664244711</v>
      </c>
      <c r="BS4" s="10">
        <f t="shared" si="6"/>
        <v>184498.18024739501</v>
      </c>
      <c r="BT4" s="10">
        <f t="shared" si="6"/>
        <v>188263.44923203572</v>
      </c>
      <c r="BU4" s="10">
        <f t="shared" si="6"/>
        <v>178888.69805172831</v>
      </c>
      <c r="BV4" s="10">
        <f t="shared" si="6"/>
        <v>173522.03711017646</v>
      </c>
      <c r="BW4" s="10">
        <f t="shared" si="6"/>
        <v>170662.8456270475</v>
      </c>
      <c r="BX4" s="10">
        <f t="shared" si="6"/>
        <v>162129.7033456951</v>
      </c>
      <c r="BY4" s="10">
        <f t="shared" ref="BY4:CK4" si="7">BY47/1.1</f>
        <v>213231.76697954009</v>
      </c>
      <c r="BZ4" s="10">
        <f t="shared" si="7"/>
        <v>129774.36653374013</v>
      </c>
      <c r="CA4" s="10">
        <f t="shared" si="7"/>
        <v>152055.96254508797</v>
      </c>
      <c r="CB4" s="10">
        <f t="shared" si="7"/>
        <v>183987.21744154295</v>
      </c>
      <c r="CC4" s="10">
        <f t="shared" si="7"/>
        <v>198301.55164906103</v>
      </c>
      <c r="CD4" s="10">
        <f t="shared" si="7"/>
        <v>206592.80218690107</v>
      </c>
      <c r="CE4" s="10">
        <f t="shared" si="7"/>
        <v>210838.25313540496</v>
      </c>
      <c r="CF4" s="10">
        <f t="shared" si="7"/>
        <v>215170.9433137158</v>
      </c>
      <c r="CG4" s="10">
        <f t="shared" si="7"/>
        <v>204438.0424334963</v>
      </c>
      <c r="CH4" s="10">
        <f t="shared" si="7"/>
        <v>201154.3319570951</v>
      </c>
      <c r="CI4" s="10">
        <f t="shared" si="7"/>
        <v>195146.96234141319</v>
      </c>
      <c r="CJ4" s="10">
        <f t="shared" si="7"/>
        <v>185415.51155022188</v>
      </c>
      <c r="CK4" s="10">
        <f t="shared" si="7"/>
        <v>243788.7409638805</v>
      </c>
      <c r="CM4" s="10">
        <v>314534</v>
      </c>
      <c r="CN4" s="10">
        <v>336889</v>
      </c>
      <c r="CO4" s="10">
        <f>SUMIF($F$2:$CK$2,CO$3,$F4:$CK4)</f>
        <v>492550.50321079133</v>
      </c>
      <c r="CP4" s="10">
        <f t="shared" ref="CP4:CS5" si="8">SUMIF($L$2:$CK$2,CP$3,$L4:$CK4)</f>
        <v>537087.70554545452</v>
      </c>
      <c r="CQ4" s="10">
        <f t="shared" si="8"/>
        <v>713911.52909090905</v>
      </c>
      <c r="CR4" s="10">
        <f t="shared" si="8"/>
        <v>1501356.6542887522</v>
      </c>
      <c r="CS4" s="10">
        <f t="shared" si="8"/>
        <v>1747206.746832516</v>
      </c>
      <c r="CT4" s="10">
        <f t="shared" ref="CT4:CU5" si="9">SUMIF($L$2:$CK$2,CT$3,$L4:$CK4)</f>
        <v>2034077.4648902549</v>
      </c>
      <c r="CU4" s="10">
        <f t="shared" si="9"/>
        <v>2326664.6860515606</v>
      </c>
    </row>
    <row r="5" spans="2:99" x14ac:dyDescent="0.2">
      <c r="B5" s="90" t="s">
        <v>50</v>
      </c>
      <c r="C5" s="91" t="s">
        <v>4</v>
      </c>
      <c r="D5" s="9"/>
      <c r="E5" s="9"/>
      <c r="F5" s="11">
        <f>-F69/(1+F99)-F104</f>
        <v>-23332.105307619997</v>
      </c>
      <c r="G5" s="11">
        <f t="shared" ref="G5:Q5" si="10">-G69/(1+G99)-G104</f>
        <v>-24350.853333265</v>
      </c>
      <c r="H5" s="11">
        <f t="shared" si="10"/>
        <v>-22273.403403264998</v>
      </c>
      <c r="I5" s="11">
        <f>-I69/(1+I99)-I104</f>
        <v>-26399.856359155998</v>
      </c>
      <c r="J5" s="11">
        <f t="shared" si="10"/>
        <v>-26089.145913998</v>
      </c>
      <c r="K5" s="11">
        <f t="shared" si="10"/>
        <v>-27045.949128797001</v>
      </c>
      <c r="L5" s="11">
        <f t="shared" si="10"/>
        <v>-30217.071358612906</v>
      </c>
      <c r="M5" s="11">
        <f t="shared" si="10"/>
        <v>-28884.371435325611</v>
      </c>
      <c r="N5" s="11">
        <f t="shared" si="10"/>
        <v>-27199.994082901685</v>
      </c>
      <c r="O5" s="11">
        <f t="shared" si="10"/>
        <v>-31672.621371310448</v>
      </c>
      <c r="P5" s="11">
        <f t="shared" si="10"/>
        <v>-28933.531830322059</v>
      </c>
      <c r="Q5" s="11">
        <f t="shared" si="10"/>
        <v>-34923.89925362519</v>
      </c>
      <c r="R5" s="11">
        <f>-R69/1.1-R94/1.1-R104</f>
        <v>-25008.636363636364</v>
      </c>
      <c r="S5" s="11">
        <f t="shared" ref="S5:BX5" si="11">-S69/1.1-S94/1.1-S104</f>
        <v>-26159.727272727272</v>
      </c>
      <c r="T5" s="11">
        <f t="shared" si="11"/>
        <v>-26997.636363636364</v>
      </c>
      <c r="U5" s="11">
        <f t="shared" si="11"/>
        <v>-26755.636363636364</v>
      </c>
      <c r="V5" s="11">
        <f t="shared" si="11"/>
        <v>-26990.636363636364</v>
      </c>
      <c r="W5" s="11">
        <f t="shared" si="11"/>
        <v>-27381.636363636364</v>
      </c>
      <c r="X5" s="11">
        <f t="shared" si="11"/>
        <v>-36776.150434507006</v>
      </c>
      <c r="Y5" s="11">
        <f t="shared" si="11"/>
        <v>-35982.225805782953</v>
      </c>
      <c r="Z5" s="11">
        <f t="shared" si="11"/>
        <v>-36514.853476607321</v>
      </c>
      <c r="AA5" s="11">
        <f t="shared" si="11"/>
        <v>-28393.030268363636</v>
      </c>
      <c r="AB5" s="11">
        <f t="shared" si="11"/>
        <v>-27562.360658545458</v>
      </c>
      <c r="AC5" s="11">
        <f t="shared" si="11"/>
        <v>-32243.5507685091</v>
      </c>
      <c r="AD5" s="11">
        <f t="shared" si="11"/>
        <v>-22669.095807272726</v>
      </c>
      <c r="AE5" s="11">
        <f t="shared" si="11"/>
        <v>-23943.823552727266</v>
      </c>
      <c r="AF5" s="11">
        <f t="shared" si="11"/>
        <v>-29847.928276363629</v>
      </c>
      <c r="AG5" s="11">
        <f t="shared" si="11"/>
        <v>-29649.81818181818</v>
      </c>
      <c r="AH5" s="11">
        <f t="shared" si="11"/>
        <v>-30828</v>
      </c>
      <c r="AI5" s="11">
        <f t="shared" si="11"/>
        <v>-31475.999999999996</v>
      </c>
      <c r="AJ5" s="11">
        <f t="shared" si="11"/>
        <v>-33420</v>
      </c>
      <c r="AK5" s="11">
        <f t="shared" si="11"/>
        <v>-43189.090909090904</v>
      </c>
      <c r="AL5" s="11">
        <f t="shared" si="11"/>
        <v>-48954.545454545456</v>
      </c>
      <c r="AM5" s="11">
        <f t="shared" si="11"/>
        <v>-49676.290909090902</v>
      </c>
      <c r="AN5" s="11">
        <f t="shared" si="11"/>
        <v>-53453.236363636359</v>
      </c>
      <c r="AO5" s="11">
        <f t="shared" si="11"/>
        <v>-63558.409090909088</v>
      </c>
      <c r="AP5" s="11">
        <f t="shared" si="11"/>
        <v>-54674.372727272726</v>
      </c>
      <c r="AQ5" s="11">
        <f t="shared" si="11"/>
        <v>-64750.852272727272</v>
      </c>
      <c r="AR5" s="11">
        <f t="shared" si="11"/>
        <v>-80567.077020202007</v>
      </c>
      <c r="AS5" s="11">
        <f t="shared" si="11"/>
        <v>-88001.266965184477</v>
      </c>
      <c r="AT5" s="11">
        <f t="shared" si="11"/>
        <v>-91662.304603885364</v>
      </c>
      <c r="AU5" s="11">
        <f t="shared" si="11"/>
        <v>-94523.683923213219</v>
      </c>
      <c r="AV5" s="11">
        <f t="shared" si="11"/>
        <v>-96307.098622944817</v>
      </c>
      <c r="AW5" s="11">
        <f t="shared" si="11"/>
        <v>-90098.964596534322</v>
      </c>
      <c r="AX5" s="11">
        <f t="shared" si="11"/>
        <v>-87400.086567729202</v>
      </c>
      <c r="AY5" s="11">
        <f t="shared" si="11"/>
        <v>-84782.174879788246</v>
      </c>
      <c r="AZ5" s="11">
        <f t="shared" si="11"/>
        <v>-80549.88431761699</v>
      </c>
      <c r="BA5" s="11">
        <f t="shared" si="11"/>
        <v>-107415.20219727678</v>
      </c>
      <c r="BB5" s="11">
        <f t="shared" si="11"/>
        <v>-61614.926204533564</v>
      </c>
      <c r="BC5" s="11">
        <f t="shared" si="11"/>
        <v>-75215.360923295462</v>
      </c>
      <c r="BD5" s="11">
        <f t="shared" si="11"/>
        <v>-94440.648236268957</v>
      </c>
      <c r="BE5" s="11">
        <f t="shared" si="11"/>
        <v>-102573.87831683458</v>
      </c>
      <c r="BF5" s="11">
        <f t="shared" si="11"/>
        <v>-106550.44142852089</v>
      </c>
      <c r="BG5" s="11">
        <f t="shared" si="11"/>
        <v>-108579.30015897306</v>
      </c>
      <c r="BH5" s="11">
        <f t="shared" si="11"/>
        <v>-110649.56416963856</v>
      </c>
      <c r="BI5" s="11">
        <f t="shared" si="11"/>
        <v>-104822.24061675533</v>
      </c>
      <c r="BJ5" s="11">
        <f t="shared" si="11"/>
        <v>-101891.66430734356</v>
      </c>
      <c r="BK5" s="11">
        <f t="shared" si="11"/>
        <v>-99049.005287214153</v>
      </c>
      <c r="BL5" s="11">
        <f t="shared" si="11"/>
        <v>-95378.441142556461</v>
      </c>
      <c r="BM5" s="11">
        <f t="shared" si="11"/>
        <v>-123559.04306077429</v>
      </c>
      <c r="BN5" s="11">
        <f t="shared" si="11"/>
        <v>-71637.995870754705</v>
      </c>
      <c r="BO5" s="11">
        <f t="shared" si="11"/>
        <v>-87377.088431009252</v>
      </c>
      <c r="BP5" s="11">
        <f t="shared" si="11"/>
        <v>-108513.50888561967</v>
      </c>
      <c r="BQ5" s="11">
        <f t="shared" si="11"/>
        <v>-117927.37206050294</v>
      </c>
      <c r="BR5" s="11">
        <f t="shared" si="11"/>
        <v>-122543.66407817544</v>
      </c>
      <c r="BS5" s="11">
        <f t="shared" si="11"/>
        <v>-124898.91510760016</v>
      </c>
      <c r="BT5" s="11">
        <f t="shared" si="11"/>
        <v>-127302.23248456419</v>
      </c>
      <c r="BU5" s="11">
        <f t="shared" si="11"/>
        <v>-120551.79695749383</v>
      </c>
      <c r="BV5" s="11">
        <f t="shared" si="11"/>
        <v>-117149.33395785993</v>
      </c>
      <c r="BW5" s="11">
        <f t="shared" si="11"/>
        <v>-114984.6361492204</v>
      </c>
      <c r="BX5" s="11">
        <f t="shared" si="11"/>
        <v>-109592.22252357754</v>
      </c>
      <c r="BY5" s="11">
        <f t="shared" ref="BY5:CK5" si="12">-BY69/1.1-BY94/1.1-BY104</f>
        <v>-142320.64881165765</v>
      </c>
      <c r="BZ5" s="11">
        <f t="shared" si="12"/>
        <v>-81729.126787119894</v>
      </c>
      <c r="CA5" s="11">
        <f t="shared" si="12"/>
        <v>-100183.67811077768</v>
      </c>
      <c r="CB5" s="11">
        <f t="shared" si="12"/>
        <v>-123203.16104833633</v>
      </c>
      <c r="CC5" s="11">
        <f t="shared" si="12"/>
        <v>-134061.60463481376</v>
      </c>
      <c r="CD5" s="11">
        <f t="shared" si="12"/>
        <v>-139364.04031180771</v>
      </c>
      <c r="CE5" s="11">
        <f t="shared" si="12"/>
        <v>-142076.73164061795</v>
      </c>
      <c r="CF5" s="11">
        <f t="shared" si="12"/>
        <v>-144845.07314583304</v>
      </c>
      <c r="CG5" s="11">
        <f t="shared" si="12"/>
        <v>-137092.94165728253</v>
      </c>
      <c r="CH5" s="11">
        <f t="shared" si="12"/>
        <v>-134573.36882221117</v>
      </c>
      <c r="CI5" s="11">
        <f t="shared" si="12"/>
        <v>-130763.45267266269</v>
      </c>
      <c r="CJ5" s="11">
        <f t="shared" si="12"/>
        <v>-124594.63252657332</v>
      </c>
      <c r="CK5" s="11">
        <f t="shared" si="12"/>
        <v>-162086.32932941819</v>
      </c>
      <c r="CM5" s="11">
        <f>-CM4*0.62</f>
        <v>-195011.08</v>
      </c>
      <c r="CN5" s="11">
        <f>-209703</f>
        <v>-209703</v>
      </c>
      <c r="CO5" s="11">
        <f>SUMIF($F$2:$CK$2,CO$3,$F5:$CK5)</f>
        <v>-331322.80277819891</v>
      </c>
      <c r="CP5" s="11">
        <f t="shared" si="8"/>
        <v>-356766.08050322457</v>
      </c>
      <c r="CQ5" s="11">
        <f t="shared" si="8"/>
        <v>-460666.23854545446</v>
      </c>
      <c r="CR5" s="11">
        <f t="shared" si="8"/>
        <v>-1020732.9686943754</v>
      </c>
      <c r="CS5" s="11">
        <f t="shared" si="8"/>
        <v>-1184324.5138527087</v>
      </c>
      <c r="CT5" s="11">
        <f t="shared" si="9"/>
        <v>-1364799.4153180358</v>
      </c>
      <c r="CU5" s="11">
        <f t="shared" si="9"/>
        <v>-1554574.1406874543</v>
      </c>
    </row>
    <row r="6" spans="2:99" x14ac:dyDescent="0.2">
      <c r="B6" s="92"/>
      <c r="C6" s="91"/>
      <c r="D6" s="9"/>
      <c r="E6" s="9"/>
    </row>
    <row r="7" spans="2:99" s="12" customFormat="1" x14ac:dyDescent="0.2">
      <c r="B7" s="88" t="s">
        <v>51</v>
      </c>
      <c r="C7" s="89" t="s">
        <v>4</v>
      </c>
      <c r="D7" s="13"/>
      <c r="E7" s="13"/>
      <c r="F7" s="14">
        <f t="shared" ref="F7:K7" si="13">SUM(F4:F5)</f>
        <v>10804.595692380004</v>
      </c>
      <c r="G7" s="14">
        <f t="shared" si="13"/>
        <v>12715.856666734999</v>
      </c>
      <c r="H7" s="14">
        <f t="shared" si="13"/>
        <v>11978.768596735001</v>
      </c>
      <c r="I7" s="14">
        <f t="shared" si="13"/>
        <v>13336.143640844009</v>
      </c>
      <c r="J7" s="14">
        <f t="shared" si="13"/>
        <v>13185.191086002</v>
      </c>
      <c r="K7" s="14">
        <f t="shared" si="13"/>
        <v>12836.685871203001</v>
      </c>
      <c r="L7" s="14">
        <f>SUM(L4:L5)</f>
        <v>15414.826014058701</v>
      </c>
      <c r="M7" s="14">
        <f t="shared" ref="M7:AW7" si="14">SUM(M4:M5)</f>
        <v>13041.844354265519</v>
      </c>
      <c r="N7" s="14">
        <f t="shared" si="14"/>
        <v>12465.74992351843</v>
      </c>
      <c r="O7" s="14">
        <f t="shared" si="14"/>
        <v>14388.564897378801</v>
      </c>
      <c r="P7" s="14">
        <f t="shared" si="14"/>
        <v>14409.231232442075</v>
      </c>
      <c r="Q7" s="14">
        <f t="shared" si="14"/>
        <v>16650.242457029948</v>
      </c>
      <c r="R7" s="14">
        <f t="shared" si="14"/>
        <v>12144.350463636361</v>
      </c>
      <c r="S7" s="14">
        <f t="shared" si="14"/>
        <v>7904.9267272727229</v>
      </c>
      <c r="T7" s="14">
        <f t="shared" si="14"/>
        <v>20567.663181818174</v>
      </c>
      <c r="U7" s="14">
        <f t="shared" si="14"/>
        <v>10965.82494545454</v>
      </c>
      <c r="V7" s="14">
        <f t="shared" si="14"/>
        <v>11878.006109090911</v>
      </c>
      <c r="W7" s="14">
        <f t="shared" si="14"/>
        <v>12442.051945454547</v>
      </c>
      <c r="X7" s="14">
        <f t="shared" si="14"/>
        <v>14528.663192765714</v>
      </c>
      <c r="Y7" s="14">
        <f t="shared" si="14"/>
        <v>14203.9571487625</v>
      </c>
      <c r="Z7" s="14">
        <f t="shared" si="14"/>
        <v>14421.795741574497</v>
      </c>
      <c r="AA7" s="14">
        <f t="shared" si="14"/>
        <v>19541.601704363635</v>
      </c>
      <c r="AB7" s="14">
        <f t="shared" si="14"/>
        <v>19152.173068727261</v>
      </c>
      <c r="AC7" s="14">
        <f t="shared" si="14"/>
        <v>22570.610813309082</v>
      </c>
      <c r="AD7" s="14">
        <f t="shared" si="14"/>
        <v>12037.292374545457</v>
      </c>
      <c r="AE7" s="14">
        <f t="shared" si="14"/>
        <v>12741.955538181817</v>
      </c>
      <c r="AF7" s="14">
        <f t="shared" si="14"/>
        <v>16003.251723636364</v>
      </c>
      <c r="AG7" s="14">
        <f t="shared" si="14"/>
        <v>15895.636363636364</v>
      </c>
      <c r="AH7" s="14">
        <f t="shared" si="14"/>
        <v>16535.63636363636</v>
      </c>
      <c r="AI7" s="14">
        <f t="shared" si="14"/>
        <v>16887.636363636364</v>
      </c>
      <c r="AJ7" s="14">
        <f t="shared" si="14"/>
        <v>17943.63636363636</v>
      </c>
      <c r="AK7" s="14">
        <f t="shared" si="14"/>
        <v>25901.818181818184</v>
      </c>
      <c r="AL7" s="14">
        <f t="shared" si="14"/>
        <v>28318.181818181809</v>
      </c>
      <c r="AM7" s="14">
        <f t="shared" si="14"/>
        <v>27814.618181818187</v>
      </c>
      <c r="AN7" s="14">
        <f t="shared" si="14"/>
        <v>28655.854545454538</v>
      </c>
      <c r="AO7" s="14">
        <f t="shared" si="14"/>
        <v>34509.772727272721</v>
      </c>
      <c r="AP7" s="14">
        <f t="shared" si="14"/>
        <v>29804.036363636362</v>
      </c>
      <c r="AQ7" s="14">
        <f t="shared" si="14"/>
        <v>33751.751893939399</v>
      </c>
      <c r="AR7" s="14">
        <f t="shared" si="14"/>
        <v>38606.428872053861</v>
      </c>
      <c r="AS7" s="14">
        <f t="shared" si="14"/>
        <v>40428.560374651453</v>
      </c>
      <c r="AT7" s="14">
        <f t="shared" si="14"/>
        <v>42118.765541777073</v>
      </c>
      <c r="AU7" s="14">
        <f t="shared" si="14"/>
        <v>41987.612143789243</v>
      </c>
      <c r="AV7" s="14">
        <f t="shared" si="14"/>
        <v>42990.142261751578</v>
      </c>
      <c r="AW7" s="14">
        <f t="shared" si="14"/>
        <v>42228.572780346527</v>
      </c>
      <c r="AX7" s="14">
        <f t="shared" ref="AX7:BU7" si="15">SUM(AX4:AX5)</f>
        <v>40957.624687845222</v>
      </c>
      <c r="AY7" s="14">
        <f t="shared" si="15"/>
        <v>39724.805038118953</v>
      </c>
      <c r="AZ7" s="14">
        <f t="shared" si="15"/>
        <v>37731.746604394808</v>
      </c>
      <c r="BA7" s="14">
        <f t="shared" si="15"/>
        <v>50293.639032072329</v>
      </c>
      <c r="BB7" s="14">
        <f t="shared" si="15"/>
        <v>36282.602557496255</v>
      </c>
      <c r="BC7" s="14">
        <f t="shared" si="15"/>
        <v>39391.699623579538</v>
      </c>
      <c r="BD7" s="14">
        <f t="shared" si="15"/>
        <v>44140.089808238612</v>
      </c>
      <c r="BE7" s="14">
        <f t="shared" si="15"/>
        <v>46730.181327612474</v>
      </c>
      <c r="BF7" s="14">
        <f t="shared" si="15"/>
        <v>48974.620701111446</v>
      </c>
      <c r="BG7" s="14">
        <f t="shared" si="15"/>
        <v>50119.742830447707</v>
      </c>
      <c r="BH7" s="14">
        <f t="shared" si="15"/>
        <v>51288.234799158148</v>
      </c>
      <c r="BI7" s="14">
        <f t="shared" si="15"/>
        <v>49032.391756336496</v>
      </c>
      <c r="BJ7" s="14">
        <f t="shared" si="15"/>
        <v>47347.329094555476</v>
      </c>
      <c r="BK7" s="14">
        <f t="shared" si="15"/>
        <v>45712.818312627904</v>
      </c>
      <c r="BL7" s="14">
        <f t="shared" si="15"/>
        <v>44056.588669617515</v>
      </c>
      <c r="BM7" s="14">
        <f t="shared" si="15"/>
        <v>59805.933499025632</v>
      </c>
      <c r="BN7" s="14">
        <f t="shared" si="15"/>
        <v>42357.928765536897</v>
      </c>
      <c r="BO7" s="14">
        <f t="shared" si="15"/>
        <v>45970.852573829194</v>
      </c>
      <c r="BP7" s="14">
        <f t="shared" si="15"/>
        <v>52639.305150690692</v>
      </c>
      <c r="BQ7" s="14">
        <f t="shared" si="15"/>
        <v>55648.515916246281</v>
      </c>
      <c r="BR7" s="14">
        <f t="shared" si="15"/>
        <v>58264.552564271668</v>
      </c>
      <c r="BS7" s="14">
        <f t="shared" si="15"/>
        <v>59599.26513979485</v>
      </c>
      <c r="BT7" s="14">
        <f t="shared" si="15"/>
        <v>60961.216747471539</v>
      </c>
      <c r="BU7" s="14">
        <f t="shared" si="15"/>
        <v>58336.901094234476</v>
      </c>
      <c r="BV7" s="14">
        <f t="shared" ref="BV7:BX7" si="16">SUM(BV4:BV5)</f>
        <v>56372.703152316535</v>
      </c>
      <c r="BW7" s="14">
        <f t="shared" si="16"/>
        <v>55678.209477827098</v>
      </c>
      <c r="BX7" s="14">
        <f t="shared" si="16"/>
        <v>52537.480822117563</v>
      </c>
      <c r="BY7" s="14">
        <f t="shared" ref="BY7:CK7" si="17">SUM(BY4:BY5)</f>
        <v>70911.118167882436</v>
      </c>
      <c r="BZ7" s="14">
        <f t="shared" si="17"/>
        <v>48045.239746620238</v>
      </c>
      <c r="CA7" s="14">
        <f t="shared" si="17"/>
        <v>51872.284434310292</v>
      </c>
      <c r="CB7" s="14">
        <f t="shared" si="17"/>
        <v>60784.056393206614</v>
      </c>
      <c r="CC7" s="14">
        <f t="shared" si="17"/>
        <v>64239.947014247271</v>
      </c>
      <c r="CD7" s="14">
        <f t="shared" si="17"/>
        <v>67228.761875093362</v>
      </c>
      <c r="CE7" s="14">
        <f t="shared" si="17"/>
        <v>68761.521494787012</v>
      </c>
      <c r="CF7" s="14">
        <f t="shared" si="17"/>
        <v>70325.870167882764</v>
      </c>
      <c r="CG7" s="14">
        <f t="shared" si="17"/>
        <v>67345.100776213774</v>
      </c>
      <c r="CH7" s="14">
        <f t="shared" si="17"/>
        <v>66580.963134883932</v>
      </c>
      <c r="CI7" s="14">
        <f t="shared" si="17"/>
        <v>64383.509668750499</v>
      </c>
      <c r="CJ7" s="14">
        <f t="shared" si="17"/>
        <v>60820.879023648566</v>
      </c>
      <c r="CK7" s="14">
        <f t="shared" si="17"/>
        <v>81702.411634462303</v>
      </c>
      <c r="CM7" s="14">
        <f t="shared" ref="CM7" si="18">SUM(CM4:CM5)</f>
        <v>119522.92000000001</v>
      </c>
      <c r="CN7" s="14">
        <f t="shared" ref="CN7:CP7" si="19">SUM(CN4:CN5)</f>
        <v>127186</v>
      </c>
      <c r="CO7" s="14">
        <f>SUM(CO4:CO5)</f>
        <v>161227.70043259242</v>
      </c>
      <c r="CP7" s="14">
        <f t="shared" si="19"/>
        <v>180321.62504222995</v>
      </c>
      <c r="CQ7" s="14">
        <f t="shared" ref="CQ7:CS7" si="20">SUM(CQ4:CQ5)</f>
        <v>253245.2905454546</v>
      </c>
      <c r="CR7" s="14">
        <f t="shared" si="20"/>
        <v>480623.68559437688</v>
      </c>
      <c r="CS7" s="14">
        <f t="shared" si="20"/>
        <v>562882.2329798073</v>
      </c>
      <c r="CT7" s="14">
        <f t="shared" ref="CT7:CU7" si="21">SUM(CT4:CT5)</f>
        <v>669278.04957221914</v>
      </c>
      <c r="CU7" s="14">
        <f t="shared" si="21"/>
        <v>772090.54536410631</v>
      </c>
    </row>
    <row r="8" spans="2:99" s="5" customFormat="1" x14ac:dyDescent="0.2">
      <c r="B8" s="191" t="s">
        <v>58</v>
      </c>
      <c r="C8" s="192" t="s">
        <v>59</v>
      </c>
      <c r="D8" s="15"/>
      <c r="E8" s="15"/>
      <c r="F8" s="16">
        <f t="shared" ref="F8:K8" si="22">F7/F4</f>
        <v>0.3165096619143134</v>
      </c>
      <c r="G8" s="16">
        <f t="shared" si="22"/>
        <v>0.34305328600069979</v>
      </c>
      <c r="H8" s="16">
        <f t="shared" si="22"/>
        <v>0.34972289047056637</v>
      </c>
      <c r="I8" s="16">
        <f t="shared" si="22"/>
        <v>0.33561867427129072</v>
      </c>
      <c r="J8" s="16">
        <f t="shared" si="22"/>
        <v>0.33572027163697249</v>
      </c>
      <c r="K8" s="16">
        <f t="shared" si="22"/>
        <v>0.32186152873808366</v>
      </c>
      <c r="L8" s="16">
        <f>L7/L4</f>
        <v>0.33780813206532267</v>
      </c>
      <c r="M8" s="16">
        <f t="shared" ref="M8:AW8" si="23">M7/M4</f>
        <v>0.31106657514040109</v>
      </c>
      <c r="N8" s="16">
        <f t="shared" si="23"/>
        <v>0.31426991313967995</v>
      </c>
      <c r="O8" s="16">
        <f t="shared" si="23"/>
        <v>0.31237938192572418</v>
      </c>
      <c r="P8" s="16">
        <f t="shared" si="23"/>
        <v>0.33244837694302598</v>
      </c>
      <c r="Q8" s="16">
        <f t="shared" si="23"/>
        <v>0.32284090252906783</v>
      </c>
      <c r="R8" s="16">
        <f t="shared" si="23"/>
        <v>0.32687413585606023</v>
      </c>
      <c r="S8" s="16">
        <f>S7/S4</f>
        <v>0.23205656887848397</v>
      </c>
      <c r="T8" s="16">
        <f t="shared" si="23"/>
        <v>0.43240899097383428</v>
      </c>
      <c r="U8" s="16">
        <f t="shared" si="23"/>
        <v>0.29070519976944176</v>
      </c>
      <c r="V8" s="16">
        <f t="shared" si="23"/>
        <v>0.30559354156567931</v>
      </c>
      <c r="W8" s="16">
        <f t="shared" si="23"/>
        <v>0.31242841820390321</v>
      </c>
      <c r="X8" s="16">
        <f t="shared" si="23"/>
        <v>0.28318323692423547</v>
      </c>
      <c r="Y8" s="16">
        <f t="shared" si="23"/>
        <v>0.28302525341740542</v>
      </c>
      <c r="Z8" s="16">
        <f t="shared" si="23"/>
        <v>0.28313200736468236</v>
      </c>
      <c r="AA8" s="16">
        <f t="shared" si="23"/>
        <v>0.40767188356597711</v>
      </c>
      <c r="AB8" s="16">
        <f t="shared" si="23"/>
        <v>0.40998317955051972</v>
      </c>
      <c r="AC8" s="16">
        <f t="shared" si="23"/>
        <v>0.41176605026821639</v>
      </c>
      <c r="AD8" s="16">
        <f t="shared" si="23"/>
        <v>0.34683218292508744</v>
      </c>
      <c r="AE8" s="16">
        <f t="shared" si="23"/>
        <v>0.34732683491896554</v>
      </c>
      <c r="AF8" s="16">
        <f t="shared" si="23"/>
        <v>0.34902595142886977</v>
      </c>
      <c r="AG8" s="16">
        <f t="shared" si="23"/>
        <v>0.34900598802395211</v>
      </c>
      <c r="AH8" s="16">
        <f t="shared" si="23"/>
        <v>0.3491209213051823</v>
      </c>
      <c r="AI8" s="16">
        <f t="shared" si="23"/>
        <v>0.34918045112781959</v>
      </c>
      <c r="AJ8" s="16">
        <f t="shared" si="23"/>
        <v>0.34934513274336276</v>
      </c>
      <c r="AK8" s="16">
        <f t="shared" si="23"/>
        <v>0.37489473684210528</v>
      </c>
      <c r="AL8" s="16">
        <f t="shared" si="23"/>
        <v>0.36647058823529405</v>
      </c>
      <c r="AM8" s="16">
        <f t="shared" si="23"/>
        <v>0.35894040356640083</v>
      </c>
      <c r="AN8" s="16">
        <f t="shared" si="23"/>
        <v>0.3489973427812223</v>
      </c>
      <c r="AO8" s="16">
        <f t="shared" si="23"/>
        <v>0.35189571263035918</v>
      </c>
      <c r="AP8" s="16">
        <f t="shared" si="23"/>
        <v>0.35280063491209424</v>
      </c>
      <c r="AQ8" s="16">
        <f t="shared" si="23"/>
        <v>0.34264832061527373</v>
      </c>
      <c r="AR8" s="16">
        <f t="shared" si="23"/>
        <v>0.32395144023838424</v>
      </c>
      <c r="AS8" s="16">
        <f t="shared" si="23"/>
        <v>0.31479105136281266</v>
      </c>
      <c r="AT8" s="16">
        <f t="shared" si="23"/>
        <v>0.31483352238039097</v>
      </c>
      <c r="AU8" s="16">
        <f t="shared" si="23"/>
        <v>0.30757610068533003</v>
      </c>
      <c r="AV8" s="16">
        <f t="shared" si="23"/>
        <v>0.30862163520766911</v>
      </c>
      <c r="AW8" s="16">
        <f t="shared" si="23"/>
        <v>0.31912157981203654</v>
      </c>
      <c r="AX8" s="16">
        <f t="shared" ref="AX8:BU8" si="24">AX7/AX4</f>
        <v>0.31908970865251762</v>
      </c>
      <c r="AY8" s="16">
        <f t="shared" si="24"/>
        <v>0.31905685178703413</v>
      </c>
      <c r="AZ8" s="16">
        <f t="shared" si="24"/>
        <v>0.31899920816337901</v>
      </c>
      <c r="BA8" s="16">
        <f t="shared" si="24"/>
        <v>0.31890183606721501</v>
      </c>
      <c r="BB8" s="16">
        <f t="shared" si="24"/>
        <v>0.37061816591603991</v>
      </c>
      <c r="BC8" s="16">
        <f t="shared" si="24"/>
        <v>0.34371093225506893</v>
      </c>
      <c r="BD8" s="16">
        <f t="shared" si="24"/>
        <v>0.31851533215288741</v>
      </c>
      <c r="BE8" s="16">
        <f t="shared" si="24"/>
        <v>0.31298667590751256</v>
      </c>
      <c r="BF8" s="16">
        <f t="shared" si="24"/>
        <v>0.31489857666985149</v>
      </c>
      <c r="BG8" s="16">
        <f t="shared" si="24"/>
        <v>0.31581628903577447</v>
      </c>
      <c r="BH8" s="16">
        <f t="shared" si="24"/>
        <v>0.31671564715437883</v>
      </c>
      <c r="BI8" s="16">
        <f t="shared" si="24"/>
        <v>0.31869298311041261</v>
      </c>
      <c r="BJ8" s="16">
        <f t="shared" si="24"/>
        <v>0.31725843236592743</v>
      </c>
      <c r="BK8" s="16">
        <f t="shared" si="24"/>
        <v>0.31577951407264382</v>
      </c>
      <c r="BL8" s="16">
        <f t="shared" si="24"/>
        <v>0.3159649962349057</v>
      </c>
      <c r="BM8" s="16">
        <f t="shared" si="24"/>
        <v>0.32615788806059925</v>
      </c>
      <c r="BN8" s="16">
        <f t="shared" si="24"/>
        <v>0.37157406197354426</v>
      </c>
      <c r="BO8" s="16">
        <f t="shared" si="24"/>
        <v>0.34474362504150829</v>
      </c>
      <c r="BP8" s="16">
        <f t="shared" si="24"/>
        <v>0.32664217168947601</v>
      </c>
      <c r="BQ8" s="16">
        <f t="shared" si="24"/>
        <v>0.32060049679077829</v>
      </c>
      <c r="BR8" s="16">
        <f t="shared" si="24"/>
        <v>0.32224504862791337</v>
      </c>
      <c r="BS8" s="16">
        <f t="shared" si="24"/>
        <v>0.32303443350973837</v>
      </c>
      <c r="BT8" s="16">
        <f t="shared" si="24"/>
        <v>0.32380803069392672</v>
      </c>
      <c r="BU8" s="16">
        <f t="shared" si="24"/>
        <v>0.32610724841524363</v>
      </c>
      <c r="BV8" s="16">
        <f t="shared" ref="BV8:BX8" si="25">BV7/BV4</f>
        <v>0.32487345175946225</v>
      </c>
      <c r="BW8" s="16">
        <f t="shared" si="25"/>
        <v>0.32624681296772506</v>
      </c>
      <c r="BX8" s="16">
        <f t="shared" si="25"/>
        <v>0.32404599365790765</v>
      </c>
      <c r="BY8" s="16">
        <f t="shared" ref="BY8:CK8" si="26">BY7/BY4</f>
        <v>0.33255419289700144</v>
      </c>
      <c r="BZ8" s="16">
        <f t="shared" si="26"/>
        <v>0.37022133900479431</v>
      </c>
      <c r="CA8" s="16">
        <f t="shared" si="26"/>
        <v>0.34113943028658944</v>
      </c>
      <c r="CB8" s="16">
        <f t="shared" si="26"/>
        <v>0.33037108359182144</v>
      </c>
      <c r="CC8" s="16">
        <f t="shared" si="26"/>
        <v>0.32395080361213829</v>
      </c>
      <c r="CD8" s="16">
        <f t="shared" si="26"/>
        <v>0.32541676749353843</v>
      </c>
      <c r="CE8" s="16">
        <f t="shared" si="26"/>
        <v>0.3261339935814534</v>
      </c>
      <c r="CF8" s="16">
        <f t="shared" si="26"/>
        <v>0.32683720712860737</v>
      </c>
      <c r="CG8" s="16">
        <f t="shared" si="26"/>
        <v>0.32941569961530587</v>
      </c>
      <c r="CH8" s="16">
        <f t="shared" si="26"/>
        <v>0.33099442844256127</v>
      </c>
      <c r="CI8" s="16">
        <f t="shared" si="26"/>
        <v>0.32992319683721422</v>
      </c>
      <c r="CJ8" s="16">
        <f t="shared" si="26"/>
        <v>0.32802476187206453</v>
      </c>
      <c r="CK8" s="16">
        <f t="shared" si="26"/>
        <v>0.33513611543925753</v>
      </c>
      <c r="CM8" s="16">
        <f t="shared" ref="CM8:CN8" si="27">CM7/CM4</f>
        <v>0.38000000000000006</v>
      </c>
      <c r="CN8" s="16">
        <f t="shared" si="27"/>
        <v>0.3775308781230613</v>
      </c>
      <c r="CO8" s="16">
        <f t="shared" ref="CO8" si="28">CO7/CO4</f>
        <v>0.32733232304422927</v>
      </c>
      <c r="CP8" s="16">
        <f t="shared" ref="CP8:CS8" si="29">CP7/CP4</f>
        <v>0.33573962535429713</v>
      </c>
      <c r="CQ8" s="16">
        <f t="shared" si="29"/>
        <v>0.35472923496267911</v>
      </c>
      <c r="CR8" s="16">
        <f t="shared" si="29"/>
        <v>0.32012625662359084</v>
      </c>
      <c r="CS8" s="16">
        <f t="shared" si="29"/>
        <v>0.32216120616535376</v>
      </c>
      <c r="CT8" s="16">
        <f t="shared" ref="CT8:CU8" si="30">CT7/CT4</f>
        <v>0.32903272423222529</v>
      </c>
      <c r="CU8" s="16">
        <f t="shared" si="30"/>
        <v>0.33184435642695626</v>
      </c>
    </row>
    <row r="9" spans="2:99" x14ac:dyDescent="0.2">
      <c r="B9" s="92"/>
      <c r="C9" s="91"/>
      <c r="D9" s="9"/>
      <c r="E9" s="9"/>
    </row>
    <row r="10" spans="2:99" x14ac:dyDescent="0.2">
      <c r="B10" s="90" t="s">
        <v>52</v>
      </c>
      <c r="C10" s="91" t="s">
        <v>4</v>
      </c>
      <c r="D10" s="9"/>
      <c r="E10" s="9"/>
      <c r="F10" s="11">
        <f t="shared" ref="F10:AK10" si="31">-F85/1.2-F108</f>
        <v>-1273.4818300000002</v>
      </c>
      <c r="G10" s="11">
        <f t="shared" si="31"/>
        <v>-746.24833000000001</v>
      </c>
      <c r="H10" s="11">
        <f t="shared" si="31"/>
        <v>-986.42971</v>
      </c>
      <c r="I10" s="11">
        <f t="shared" si="31"/>
        <v>-1167.9363600000001</v>
      </c>
      <c r="J10" s="11">
        <f t="shared" si="31"/>
        <v>-1012.4308299999999</v>
      </c>
      <c r="K10" s="11">
        <f t="shared" si="31"/>
        <v>-1149.73766</v>
      </c>
      <c r="L10" s="11">
        <f t="shared" si="31"/>
        <v>-1357.5514900000001</v>
      </c>
      <c r="M10" s="11">
        <f t="shared" si="31"/>
        <v>-748.64920000000006</v>
      </c>
      <c r="N10" s="11">
        <f t="shared" si="31"/>
        <v>-1305.5819000000001</v>
      </c>
      <c r="O10" s="11">
        <f t="shared" si="31"/>
        <v>-2092.0811166666672</v>
      </c>
      <c r="P10" s="11">
        <f t="shared" si="31"/>
        <v>-971.82276999999999</v>
      </c>
      <c r="Q10" s="11">
        <f t="shared" si="31"/>
        <v>-1414.5021200000001</v>
      </c>
      <c r="R10" s="11">
        <f>-R85/1.2-R108</f>
        <v>-1709.1898403774228</v>
      </c>
      <c r="S10" s="11">
        <f t="shared" si="31"/>
        <v>-1678.6832906440382</v>
      </c>
      <c r="T10" s="11">
        <f t="shared" si="31"/>
        <v>-1824.9194129200259</v>
      </c>
      <c r="U10" s="11">
        <f t="shared" si="31"/>
        <v>-2145.5055548449754</v>
      </c>
      <c r="V10" s="11">
        <f t="shared" si="31"/>
        <v>-2082.8812652238844</v>
      </c>
      <c r="W10" s="11">
        <f t="shared" si="31"/>
        <v>-2318.7610799529298</v>
      </c>
      <c r="X10" s="11">
        <f t="shared" si="31"/>
        <v>-2402.5431737483336</v>
      </c>
      <c r="Y10" s="11">
        <f t="shared" si="31"/>
        <v>-2351.0675189583335</v>
      </c>
      <c r="Z10" s="11">
        <f t="shared" si="31"/>
        <v>-2385.6014748566672</v>
      </c>
      <c r="AA10" s="11">
        <f t="shared" si="31"/>
        <v>-1793.6570617783336</v>
      </c>
      <c r="AB10" s="11">
        <f t="shared" si="31"/>
        <v>-1759.88067535</v>
      </c>
      <c r="AC10" s="11">
        <f t="shared" si="31"/>
        <v>-1984.1053731233337</v>
      </c>
      <c r="AD10" s="11">
        <f t="shared" si="31"/>
        <v>-1435.128152166667</v>
      </c>
      <c r="AE10" s="11">
        <f t="shared" si="31"/>
        <v>-1514.6006971666668</v>
      </c>
      <c r="AF10" s="11">
        <f t="shared" si="31"/>
        <v>-1882.5915436666664</v>
      </c>
      <c r="AG10" s="11">
        <f t="shared" si="31"/>
        <v>-1870.3166666666668</v>
      </c>
      <c r="AH10" s="11">
        <f t="shared" si="31"/>
        <v>-1943.3166666666668</v>
      </c>
      <c r="AI10" s="11">
        <f t="shared" si="31"/>
        <v>-1983.4666666666667</v>
      </c>
      <c r="AJ10" s="11">
        <f t="shared" si="31"/>
        <v>-2103.916666666667</v>
      </c>
      <c r="AK10" s="11">
        <f t="shared" si="31"/>
        <v>-2815.666666666667</v>
      </c>
      <c r="AL10" s="11">
        <f t="shared" ref="AL10:BU10" si="32">-AL85/1.2-AL108</f>
        <v>-3144.166666666667</v>
      </c>
      <c r="AM10" s="11">
        <f t="shared" si="32"/>
        <v>-3152.9266666666667</v>
      </c>
      <c r="AN10" s="11">
        <f t="shared" si="32"/>
        <v>-3338.3466666666664</v>
      </c>
      <c r="AO10" s="11">
        <f t="shared" si="32"/>
        <v>-3979.104166666667</v>
      </c>
      <c r="AP10" s="11">
        <f t="shared" si="32"/>
        <v>-3433.4747916666665</v>
      </c>
      <c r="AQ10" s="11">
        <f t="shared" si="32"/>
        <v>-3996.5462239583335</v>
      </c>
      <c r="AR10" s="11">
        <f t="shared" si="32"/>
        <v>-4826.48292824074</v>
      </c>
      <c r="AS10" s="11">
        <f t="shared" si="32"/>
        <v>-5198.1242343610793</v>
      </c>
      <c r="AT10" s="11">
        <f t="shared" si="32"/>
        <v>-5412.9766330150142</v>
      </c>
      <c r="AU10" s="11">
        <f t="shared" si="32"/>
        <v>-5522.5952037568159</v>
      </c>
      <c r="AV10" s="11">
        <f t="shared" si="32"/>
        <v>-5634.450888187228</v>
      </c>
      <c r="AW10" s="11">
        <f t="shared" si="32"/>
        <v>-5354.6172923484337</v>
      </c>
      <c r="AX10" s="11">
        <f t="shared" si="32"/>
        <v>-5195.228773577981</v>
      </c>
      <c r="AY10" s="11">
        <f t="shared" si="32"/>
        <v>-5040.6219103706408</v>
      </c>
      <c r="AZ10" s="11">
        <f t="shared" si="32"/>
        <v>-4790.6741481854406</v>
      </c>
      <c r="BA10" s="11">
        <f t="shared" si="32"/>
        <v>-6373.6766420250351</v>
      </c>
      <c r="BB10" s="11">
        <f t="shared" si="32"/>
        <v>-3972.2524464621647</v>
      </c>
      <c r="BC10" s="11">
        <f t="shared" si="32"/>
        <v>-4643.1401476236988</v>
      </c>
      <c r="BD10" s="11">
        <f t="shared" si="32"/>
        <v>-5605.6832991536457</v>
      </c>
      <c r="BE10" s="11">
        <f t="shared" si="32"/>
        <v>-6036.2246613912157</v>
      </c>
      <c r="BF10" s="11">
        <f t="shared" si="32"/>
        <v>-6285.9979111714065</v>
      </c>
      <c r="BG10" s="11">
        <f t="shared" si="32"/>
        <v>-6413.4332426919109</v>
      </c>
      <c r="BH10" s="11">
        <f t="shared" si="32"/>
        <v>-6543.4692952638552</v>
      </c>
      <c r="BI10" s="11">
        <f t="shared" si="32"/>
        <v>-6218.930156446304</v>
      </c>
      <c r="BJ10" s="11">
        <f t="shared" si="32"/>
        <v>-6033.6122517529129</v>
      </c>
      <c r="BK10" s="11">
        <f t="shared" si="32"/>
        <v>-5853.8538842003263</v>
      </c>
      <c r="BL10" s="11">
        <f t="shared" si="32"/>
        <v>-5639.9831136254525</v>
      </c>
      <c r="BM10" s="11">
        <f t="shared" si="32"/>
        <v>-7403.7704755426339</v>
      </c>
      <c r="BN10" s="11">
        <f t="shared" si="32"/>
        <v>-4618.6030408137758</v>
      </c>
      <c r="BO10" s="11">
        <f t="shared" si="32"/>
        <v>-5395.5864980109309</v>
      </c>
      <c r="BP10" s="11">
        <f t="shared" si="32"/>
        <v>-6511.9521502245289</v>
      </c>
      <c r="BQ10" s="11">
        <f t="shared" si="32"/>
        <v>-7010.7385689331486</v>
      </c>
      <c r="BR10" s="11">
        <f t="shared" si="32"/>
        <v>-7301.1165648609185</v>
      </c>
      <c r="BS10" s="11">
        <f t="shared" si="32"/>
        <v>-7449.2686035995757</v>
      </c>
      <c r="BT10" s="11">
        <f t="shared" si="32"/>
        <v>-7600.4441533329009</v>
      </c>
      <c r="BU10" s="11">
        <f t="shared" si="32"/>
        <v>-7224.0478934435587</v>
      </c>
      <c r="BV10" s="11">
        <f t="shared" ref="BV10:BX10" si="33">-BV85/1.2-BV108</f>
        <v>-7008.5764566402522</v>
      </c>
      <c r="BW10" s="11">
        <f t="shared" si="33"/>
        <v>-6893.7799185926251</v>
      </c>
      <c r="BX10" s="11">
        <f t="shared" si="33"/>
        <v>-6551.1742559963259</v>
      </c>
      <c r="BY10" s="11">
        <f t="shared" ref="BY10:CK10" si="34">-BY85/1.2-BY108</f>
        <v>-8602.9221108952024</v>
      </c>
      <c r="BZ10" s="11">
        <f t="shared" si="34"/>
        <v>-5252.1074829963327</v>
      </c>
      <c r="CA10" s="11">
        <f t="shared" si="34"/>
        <v>-6146.71356285195</v>
      </c>
      <c r="CB10" s="11">
        <f t="shared" si="34"/>
        <v>-7428.7534469446182</v>
      </c>
      <c r="CC10" s="11">
        <f t="shared" si="34"/>
        <v>-8003.4739653764682</v>
      </c>
      <c r="CD10" s="11">
        <f t="shared" si="34"/>
        <v>-8336.3676744707464</v>
      </c>
      <c r="CE10" s="11">
        <f t="shared" si="34"/>
        <v>-8506.8225300531776</v>
      </c>
      <c r="CF10" s="11">
        <f t="shared" si="34"/>
        <v>-8680.7800407123577</v>
      </c>
      <c r="CG10" s="11">
        <f t="shared" si="34"/>
        <v>-8249.8540703715444</v>
      </c>
      <c r="CH10" s="11">
        <f t="shared" si="34"/>
        <v>-8118.0130947440366</v>
      </c>
      <c r="CI10" s="11">
        <f t="shared" si="34"/>
        <v>-7876.8172046744075</v>
      </c>
      <c r="CJ10" s="11">
        <f t="shared" si="34"/>
        <v>-7486.0994554080762</v>
      </c>
      <c r="CK10" s="11">
        <f t="shared" si="34"/>
        <v>-9829.784616366469</v>
      </c>
      <c r="CM10" s="11">
        <f>SUMIF($L$2:$CK$2,CM$3,$L10:$CK10)</f>
        <v>0</v>
      </c>
      <c r="CN10" s="11">
        <f>SUMIF($L$2:$CK$2,CN$3,$L10:$CK10)</f>
        <v>0</v>
      </c>
      <c r="CO10" s="11">
        <f>SUMIF($F$2:$CK$2,CO$3,$F10:$CK10)</f>
        <v>-14226.45331666667</v>
      </c>
      <c r="CP10" s="11">
        <f t="shared" ref="CP10:CS12" si="35">SUMIF($L$2:$CK$2,CP$3,$L10:$CK10)</f>
        <v>-24436.795721778275</v>
      </c>
      <c r="CQ10" s="11">
        <f t="shared" si="35"/>
        <v>-29163.547893000006</v>
      </c>
      <c r="CR10" s="11">
        <f t="shared" si="35"/>
        <v>-60779.469669693412</v>
      </c>
      <c r="CS10" s="11">
        <f t="shared" si="35"/>
        <v>-70650.350885325533</v>
      </c>
      <c r="CT10" s="11">
        <f t="shared" ref="CT10:CU12" si="36">SUMIF($L$2:$CK$2,CT$3,$L10:$CK10)</f>
        <v>-82168.210215343759</v>
      </c>
      <c r="CU10" s="11">
        <f t="shared" si="36"/>
        <v>-93915.587144970195</v>
      </c>
    </row>
    <row r="11" spans="2:99" x14ac:dyDescent="0.2">
      <c r="B11" s="90" t="s">
        <v>53</v>
      </c>
      <c r="C11" s="91" t="s">
        <v>4</v>
      </c>
      <c r="D11" s="9"/>
      <c r="E11" s="9"/>
      <c r="F11" s="11">
        <f>-F74/1.2-F81/1.2-F92/1.2-F93/1.2-F105-F106</f>
        <v>-6415.5803033466291</v>
      </c>
      <c r="G11" s="11">
        <f t="shared" ref="G11:AK11" si="37">-G74/1.2-G81/1.2-G92/1.2-G93/1.2-G105-G106</f>
        <v>-5738.7777604610992</v>
      </c>
      <c r="H11" s="11">
        <f t="shared" si="37"/>
        <v>-6042.8818203290566</v>
      </c>
      <c r="I11" s="11">
        <f t="shared" si="37"/>
        <v>-5963.9586296547059</v>
      </c>
      <c r="J11" s="11">
        <f t="shared" si="37"/>
        <v>-5927.5539856165733</v>
      </c>
      <c r="K11" s="11">
        <f t="shared" si="37"/>
        <v>-6342.0751548993503</v>
      </c>
      <c r="L11" s="11">
        <f t="shared" si="37"/>
        <v>-6315.9918236292751</v>
      </c>
      <c r="M11" s="11">
        <f t="shared" si="37"/>
        <v>-5552.6368978433247</v>
      </c>
      <c r="N11" s="11">
        <f t="shared" si="37"/>
        <v>-4766.6610592224924</v>
      </c>
      <c r="O11" s="11">
        <f t="shared" si="37"/>
        <v>-6422.7200412212387</v>
      </c>
      <c r="P11" s="11">
        <f t="shared" si="37"/>
        <v>-5752.9741859007299</v>
      </c>
      <c r="Q11" s="11">
        <f t="shared" si="37"/>
        <v>-6131.2091812088574</v>
      </c>
      <c r="R11" s="11">
        <f>-R74/1.2-R81/1.2-R92/1.2-R93/1.2-R105-R106</f>
        <v>-5935.1766755959106</v>
      </c>
      <c r="S11" s="11">
        <f t="shared" si="37"/>
        <v>-4064.7862676226287</v>
      </c>
      <c r="T11" s="11">
        <f t="shared" si="37"/>
        <v>-4173.4955917466414</v>
      </c>
      <c r="U11" s="11">
        <f t="shared" si="37"/>
        <v>-4881.190527915026</v>
      </c>
      <c r="V11" s="11">
        <f t="shared" si="37"/>
        <v>-3896.971164856116</v>
      </c>
      <c r="W11" s="11">
        <f t="shared" si="37"/>
        <v>-4176.4579103570704</v>
      </c>
      <c r="X11" s="11">
        <f t="shared" si="37"/>
        <v>-4898.5686774037085</v>
      </c>
      <c r="Y11" s="11">
        <f t="shared" si="37"/>
        <v>-4805.3687382289208</v>
      </c>
      <c r="Z11" s="11">
        <f t="shared" si="37"/>
        <v>-4827.4782374725792</v>
      </c>
      <c r="AA11" s="11">
        <f t="shared" si="37"/>
        <v>-4532.1290781487287</v>
      </c>
      <c r="AB11" s="11">
        <f t="shared" si="37"/>
        <v>-4500.9740356149723</v>
      </c>
      <c r="AC11" s="11">
        <f t="shared" si="37"/>
        <v>-4844.6403667881232</v>
      </c>
      <c r="AD11" s="11">
        <f t="shared" si="37"/>
        <v>-4269.3384453482849</v>
      </c>
      <c r="AE11" s="11">
        <f t="shared" si="37"/>
        <v>-4339.0082560788342</v>
      </c>
      <c r="AF11" s="11">
        <f t="shared" si="37"/>
        <v>-4779.9216278469794</v>
      </c>
      <c r="AG11" s="11">
        <f t="shared" si="37"/>
        <v>-4731.4001240381367</v>
      </c>
      <c r="AH11" s="11">
        <f t="shared" si="37"/>
        <v>-4813.4501693140655</v>
      </c>
      <c r="AI11" s="11">
        <f t="shared" si="37"/>
        <v>-4872.7335927446284</v>
      </c>
      <c r="AJ11" s="11">
        <f t="shared" si="37"/>
        <v>-5029.7559874702902</v>
      </c>
      <c r="AK11" s="11">
        <f t="shared" si="37"/>
        <v>-5854.4878086582357</v>
      </c>
      <c r="AL11" s="11">
        <f t="shared" ref="AL11:BU11" si="38">-AL74/1.2-AL81/1.2-AL92/1.2-AL93/1.2-AL105-AL106</f>
        <v>-6229.5790893826806</v>
      </c>
      <c r="AM11" s="11">
        <f t="shared" si="38"/>
        <v>-6229.9123199010155</v>
      </c>
      <c r="AN11" s="11">
        <f t="shared" si="38"/>
        <v>-6388.1103895992892</v>
      </c>
      <c r="AO11" s="11">
        <f t="shared" si="38"/>
        <v>-6569.8302418588346</v>
      </c>
      <c r="AP11" s="11">
        <f t="shared" si="38"/>
        <v>-5278.373044728015</v>
      </c>
      <c r="AQ11" s="11">
        <f t="shared" si="38"/>
        <v>-5695.1712469375607</v>
      </c>
      <c r="AR11" s="11">
        <f t="shared" si="38"/>
        <v>-6309.5091558681634</v>
      </c>
      <c r="AS11" s="11">
        <f t="shared" si="38"/>
        <v>-6584.6064514765258</v>
      </c>
      <c r="AT11" s="11">
        <f t="shared" si="38"/>
        <v>-6743.6450536213815</v>
      </c>
      <c r="AU11" s="11">
        <f t="shared" si="38"/>
        <v>-6824.7871975728376</v>
      </c>
      <c r="AV11" s="11">
        <f t="shared" si="38"/>
        <v>-6907.5853036457529</v>
      </c>
      <c r="AW11" s="11">
        <f t="shared" si="38"/>
        <v>-6700.4461504680685</v>
      </c>
      <c r="AX11" s="11">
        <f t="shared" si="38"/>
        <v>-6582.4631659540264</v>
      </c>
      <c r="AY11" s="11">
        <f t="shared" si="38"/>
        <v>-6468.0196709754055</v>
      </c>
      <c r="AZ11" s="11">
        <f t="shared" si="38"/>
        <v>-6283.0026874266341</v>
      </c>
      <c r="BA11" s="11">
        <f t="shared" si="38"/>
        <v>-7454.776916568846</v>
      </c>
      <c r="BB11" s="11">
        <f t="shared" si="38"/>
        <v>-5929.9135436827919</v>
      </c>
      <c r="BC11" s="11">
        <f t="shared" si="38"/>
        <v>-6426.5197852578012</v>
      </c>
      <c r="BD11" s="11">
        <f t="shared" si="38"/>
        <v>-7139.015983962091</v>
      </c>
      <c r="BE11" s="11">
        <f t="shared" si="38"/>
        <v>-7457.7124325230161</v>
      </c>
      <c r="BF11" s="11">
        <f t="shared" si="38"/>
        <v>-7642.6002380448081</v>
      </c>
      <c r="BG11" s="11">
        <f t="shared" si="38"/>
        <v>-7736.9307510661311</v>
      </c>
      <c r="BH11" s="11">
        <f t="shared" si="38"/>
        <v>-7833.1863765980925</v>
      </c>
      <c r="BI11" s="11">
        <f t="shared" si="38"/>
        <v>-7592.9551699548092</v>
      </c>
      <c r="BJ11" s="11">
        <f t="shared" si="38"/>
        <v>-7455.7786678561633</v>
      </c>
      <c r="BK11" s="11">
        <f t="shared" si="38"/>
        <v>-7322.7174608204796</v>
      </c>
      <c r="BL11" s="11">
        <f t="shared" si="38"/>
        <v>-7164.4054819690937</v>
      </c>
      <c r="BM11" s="11">
        <f t="shared" si="38"/>
        <v>-8470.0007570392718</v>
      </c>
      <c r="BN11" s="11">
        <f t="shared" si="38"/>
        <v>-6684.6714711446202</v>
      </c>
      <c r="BO11" s="11">
        <f t="shared" si="38"/>
        <v>-7259.812189593611</v>
      </c>
      <c r="BP11" s="11">
        <f t="shared" si="38"/>
        <v>-8086.1712804062536</v>
      </c>
      <c r="BQ11" s="11">
        <f t="shared" si="38"/>
        <v>-8455.3842624220106</v>
      </c>
      <c r="BR11" s="11">
        <f t="shared" si="38"/>
        <v>-8670.3286188979273</v>
      </c>
      <c r="BS11" s="11">
        <f t="shared" si="38"/>
        <v>-8779.9941068958451</v>
      </c>
      <c r="BT11" s="11">
        <f t="shared" si="38"/>
        <v>-8891.8976660773933</v>
      </c>
      <c r="BU11" s="11">
        <f t="shared" si="38"/>
        <v>-8613.280646205194</v>
      </c>
      <c r="BV11" s="11">
        <f t="shared" ref="BV11:BX11" si="39">-BV74/1.2-BV81/1.2-BV92/1.2-BV93/1.2-BV105-BV106</f>
        <v>-8453.7838180290382</v>
      </c>
      <c r="BW11" s="11">
        <f t="shared" si="39"/>
        <v>-8368.8088256317224</v>
      </c>
      <c r="BX11" s="11">
        <f t="shared" si="39"/>
        <v>-8115.2043697001354</v>
      </c>
      <c r="BY11" s="11">
        <f t="shared" ref="BY11:CK11" si="40">-BY74/1.2-BY81/1.2-BY92/1.2-BY93/1.2-BY105-BY106</f>
        <v>-9633.9545109187602</v>
      </c>
      <c r="BZ11" s="11">
        <f t="shared" si="40"/>
        <v>-7232.9111960549308</v>
      </c>
      <c r="CA11" s="11">
        <f t="shared" si="40"/>
        <v>-7895.1188386128051</v>
      </c>
      <c r="CB11" s="11">
        <f t="shared" si="40"/>
        <v>-8844.1137408687719</v>
      </c>
      <c r="CC11" s="11">
        <f t="shared" si="40"/>
        <v>-9269.5348599626832</v>
      </c>
      <c r="CD11" s="11">
        <f t="shared" si="40"/>
        <v>-9515.9503083768614</v>
      </c>
      <c r="CE11" s="11">
        <f t="shared" si="40"/>
        <v>-9642.1248455496916</v>
      </c>
      <c r="CF11" s="11">
        <f t="shared" si="40"/>
        <v>-9770.8921271865929</v>
      </c>
      <c r="CG11" s="11">
        <f t="shared" si="40"/>
        <v>-9451.9109830137186</v>
      </c>
      <c r="CH11" s="11">
        <f t="shared" si="40"/>
        <v>-9354.3193126363931</v>
      </c>
      <c r="CI11" s="11">
        <f t="shared" si="40"/>
        <v>-9175.7806626604888</v>
      </c>
      <c r="CJ11" s="11">
        <f t="shared" si="40"/>
        <v>-8886.5625526193253</v>
      </c>
      <c r="CK11" s="11">
        <f t="shared" si="40"/>
        <v>-10621.411286921029</v>
      </c>
      <c r="CM11" s="11">
        <f>-299146-CM5</f>
        <v>-104134.92000000001</v>
      </c>
      <c r="CN11" s="11">
        <f>-104111</f>
        <v>-104111</v>
      </c>
      <c r="CO11" s="11">
        <f>SUMIF($F$2:$CK$2,CO$3,$F11:$CK11)</f>
        <v>-71373.020843333332</v>
      </c>
      <c r="CP11" s="11">
        <f t="shared" si="35"/>
        <v>-55537.237271750419</v>
      </c>
      <c r="CQ11" s="11">
        <f t="shared" si="35"/>
        <v>-64107.528052241272</v>
      </c>
      <c r="CR11" s="11">
        <f t="shared" si="35"/>
        <v>-77832.386045243213</v>
      </c>
      <c r="CS11" s="11">
        <f t="shared" si="35"/>
        <v>-88171.73664877456</v>
      </c>
      <c r="CT11" s="11">
        <f t="shared" si="36"/>
        <v>-100013.29176592252</v>
      </c>
      <c r="CU11" s="11">
        <f t="shared" si="36"/>
        <v>-109660.6307144633</v>
      </c>
    </row>
    <row r="12" spans="2:99" x14ac:dyDescent="0.2">
      <c r="B12" s="90" t="s">
        <v>56</v>
      </c>
      <c r="C12" s="91" t="s">
        <v>4</v>
      </c>
      <c r="D12" s="9"/>
      <c r="E12" s="9"/>
      <c r="F12" s="11">
        <f>-(F105+F106+F108)*0.2135</f>
        <v>-216.47032088500001</v>
      </c>
      <c r="G12" s="11">
        <f t="shared" ref="G12:BR12" si="41">-(G105+G106+G108)*0.2135</f>
        <v>-226.68804871999998</v>
      </c>
      <c r="H12" s="11">
        <f t="shared" si="41"/>
        <v>-223.853018515</v>
      </c>
      <c r="I12" s="11">
        <f t="shared" si="41"/>
        <v>-229.55617783000002</v>
      </c>
      <c r="J12" s="11">
        <f t="shared" si="41"/>
        <v>-239.28942506000001</v>
      </c>
      <c r="K12" s="11">
        <f t="shared" si="41"/>
        <v>-269.44725440499997</v>
      </c>
      <c r="L12" s="11">
        <f t="shared" si="41"/>
        <v>-297.36911533</v>
      </c>
      <c r="M12" s="11">
        <f t="shared" si="41"/>
        <v>-193.77153890499997</v>
      </c>
      <c r="N12" s="11">
        <f t="shared" si="41"/>
        <v>-214.186925575</v>
      </c>
      <c r="O12" s="11">
        <f t="shared" si="41"/>
        <v>-241.12508951999996</v>
      </c>
      <c r="P12" s="11">
        <f t="shared" si="41"/>
        <v>-274.73829467000002</v>
      </c>
      <c r="Q12" s="11">
        <f t="shared" si="41"/>
        <v>-275.02378686999998</v>
      </c>
      <c r="R12" s="11">
        <f t="shared" si="41"/>
        <v>-342.02699999999999</v>
      </c>
      <c r="S12" s="11">
        <f t="shared" si="41"/>
        <v>-358.68</v>
      </c>
      <c r="T12" s="11">
        <f t="shared" si="41"/>
        <v>-331.99250000000001</v>
      </c>
      <c r="U12" s="11">
        <f t="shared" si="41"/>
        <v>-437.24799999999999</v>
      </c>
      <c r="V12" s="11">
        <f t="shared" si="41"/>
        <v>-413.97649999999999</v>
      </c>
      <c r="W12" s="11">
        <f t="shared" si="41"/>
        <v>-463.50849999999997</v>
      </c>
      <c r="X12" s="11">
        <f t="shared" si="41"/>
        <v>-371.57749874244257</v>
      </c>
      <c r="Y12" s="11">
        <f t="shared" si="41"/>
        <v>-358.81627796177042</v>
      </c>
      <c r="Z12" s="11">
        <f t="shared" si="41"/>
        <v>-358.74861249555062</v>
      </c>
      <c r="AA12" s="11">
        <f t="shared" si="41"/>
        <v>-344.37887885748921</v>
      </c>
      <c r="AB12" s="11">
        <f t="shared" si="41"/>
        <v>-345.15578259153818</v>
      </c>
      <c r="AC12" s="11">
        <f t="shared" si="41"/>
        <v>-366.85217611911912</v>
      </c>
      <c r="AD12" s="11">
        <f t="shared" si="41"/>
        <v>-292.14097953394213</v>
      </c>
      <c r="AE12" s="11">
        <f t="shared" si="41"/>
        <v>-293.4570687707477</v>
      </c>
      <c r="AF12" s="11">
        <f t="shared" si="41"/>
        <v>-324.81098687449679</v>
      </c>
      <c r="AG12" s="11">
        <f t="shared" si="41"/>
        <v>-316.54580148214228</v>
      </c>
      <c r="AH12" s="11">
        <f t="shared" si="41"/>
        <v>-321.60931948188636</v>
      </c>
      <c r="AI12" s="11">
        <f t="shared" si="41"/>
        <v>-327.41653871764464</v>
      </c>
      <c r="AJ12" s="11">
        <f t="shared" si="41"/>
        <v>-340.39144499157356</v>
      </c>
      <c r="AK12" s="11">
        <f t="shared" si="41"/>
        <v>-395.04356381519983</v>
      </c>
      <c r="AL12" s="11">
        <f t="shared" si="41"/>
        <v>-419.08180224986899</v>
      </c>
      <c r="AM12" s="11">
        <f t="shared" si="41"/>
        <v>-417.65844696553341</v>
      </c>
      <c r="AN12" s="11">
        <f t="shared" si="41"/>
        <v>-439.86915151278146</v>
      </c>
      <c r="AO12" s="11">
        <f t="shared" si="41"/>
        <v>-494.28297538686115</v>
      </c>
      <c r="AP12" s="11">
        <f t="shared" si="41"/>
        <v>-459.1413403619311</v>
      </c>
      <c r="AQ12" s="11">
        <f t="shared" si="41"/>
        <v>-506.95797886439817</v>
      </c>
      <c r="AR12" s="11">
        <f t="shared" si="41"/>
        <v>-577.43710654289907</v>
      </c>
      <c r="AS12" s="11">
        <f t="shared" si="41"/>
        <v>-608.99729050573228</v>
      </c>
      <c r="AT12" s="11">
        <f t="shared" si="41"/>
        <v>-627.24278990180449</v>
      </c>
      <c r="AU12" s="11">
        <f t="shared" si="41"/>
        <v>-636.55171816510665</v>
      </c>
      <c r="AV12" s="11">
        <f t="shared" si="41"/>
        <v>-646.05062455623124</v>
      </c>
      <c r="AW12" s="11">
        <f t="shared" si="41"/>
        <v>-622.28685121292642</v>
      </c>
      <c r="AX12" s="11">
        <f t="shared" si="41"/>
        <v>-608.75140482653876</v>
      </c>
      <c r="AY12" s="11">
        <f t="shared" si="41"/>
        <v>-595.62202183174259</v>
      </c>
      <c r="AZ12" s="11">
        <f t="shared" si="41"/>
        <v>-574.39618599015535</v>
      </c>
      <c r="BA12" s="11">
        <f t="shared" si="41"/>
        <v>-708.82647965354045</v>
      </c>
      <c r="BB12" s="11">
        <f t="shared" si="41"/>
        <v>-516.87229620424205</v>
      </c>
      <c r="BC12" s="11">
        <f t="shared" si="41"/>
        <v>-573.84480953462037</v>
      </c>
      <c r="BD12" s="11">
        <f t="shared" si="41"/>
        <v>-655.58502095399865</v>
      </c>
      <c r="BE12" s="11">
        <f t="shared" si="41"/>
        <v>-692.14706174993387</v>
      </c>
      <c r="BF12" s="11">
        <f t="shared" si="41"/>
        <v>-713.3580778082644</v>
      </c>
      <c r="BG12" s="11">
        <f t="shared" si="41"/>
        <v>-724.18002477680045</v>
      </c>
      <c r="BH12" s="11">
        <f t="shared" si="41"/>
        <v>-735.22282780591877</v>
      </c>
      <c r="BI12" s="11">
        <f t="shared" si="41"/>
        <v>-707.6626111250938</v>
      </c>
      <c r="BJ12" s="11">
        <f t="shared" si="41"/>
        <v>-691.92521308184075</v>
      </c>
      <c r="BK12" s="11">
        <f t="shared" si="41"/>
        <v>-676.65993697988563</v>
      </c>
      <c r="BL12" s="11">
        <f t="shared" si="41"/>
        <v>-658.49779850803804</v>
      </c>
      <c r="BM12" s="11">
        <f t="shared" si="41"/>
        <v>-808.28053981452172</v>
      </c>
      <c r="BN12" s="11">
        <f t="shared" si="41"/>
        <v>-584.57687907896263</v>
      </c>
      <c r="BO12" s="11">
        <f t="shared" si="41"/>
        <v>-650.55915941590683</v>
      </c>
      <c r="BP12" s="11">
        <f t="shared" si="41"/>
        <v>-745.36214491139128</v>
      </c>
      <c r="BQ12" s="11">
        <f t="shared" si="41"/>
        <v>-787.71963013535469</v>
      </c>
      <c r="BR12" s="11">
        <f t="shared" si="41"/>
        <v>-812.37884540372363</v>
      </c>
      <c r="BS12" s="11">
        <f t="shared" ref="BS12:BX12" si="42">-(BS105+BS106+BS108)*0.2135</f>
        <v>-824.96007768350364</v>
      </c>
      <c r="BT12" s="11">
        <f t="shared" si="42"/>
        <v>-837.79806980572835</v>
      </c>
      <c r="BU12" s="11">
        <f t="shared" si="42"/>
        <v>-805.83408999670382</v>
      </c>
      <c r="BV12" s="11">
        <f t="shared" si="42"/>
        <v>-787.53602120763776</v>
      </c>
      <c r="BW12" s="11">
        <f t="shared" si="42"/>
        <v>-777.78737432847095</v>
      </c>
      <c r="BX12" s="11">
        <f t="shared" si="42"/>
        <v>-748.69292879677232</v>
      </c>
      <c r="BY12" s="11">
        <f t="shared" ref="BY12:CK12" si="43">-(BY105+BY106+BY108)*0.2135</f>
        <v>-922.92958839184269</v>
      </c>
      <c r="BZ12" s="11">
        <f t="shared" si="43"/>
        <v>-638.37476539378338</v>
      </c>
      <c r="CA12" s="11">
        <f t="shared" si="43"/>
        <v>-714.34568678907635</v>
      </c>
      <c r="CB12" s="11">
        <f t="shared" si="43"/>
        <v>-823.21790826531969</v>
      </c>
      <c r="CC12" s="11">
        <f t="shared" si="43"/>
        <v>-872.02379983392473</v>
      </c>
      <c r="CD12" s="11">
        <f t="shared" si="43"/>
        <v>-900.2934957102043</v>
      </c>
      <c r="CE12" s="11">
        <f t="shared" si="43"/>
        <v>-914.76870745590224</v>
      </c>
      <c r="CF12" s="11">
        <f t="shared" si="43"/>
        <v>-929.54136848067674</v>
      </c>
      <c r="CG12" s="11">
        <f t="shared" si="43"/>
        <v>-892.94666634626276</v>
      </c>
      <c r="CH12" s="11">
        <f t="shared" si="43"/>
        <v>-881.75058728798854</v>
      </c>
      <c r="CI12" s="11">
        <f t="shared" si="43"/>
        <v>-861.26796994616939</v>
      </c>
      <c r="CJ12" s="11">
        <f t="shared" si="43"/>
        <v>-828.08779368127205</v>
      </c>
      <c r="CK12" s="11">
        <f t="shared" si="43"/>
        <v>-1027.1160868572147</v>
      </c>
      <c r="CM12" s="11">
        <f>SUMIF($L$2:$CK$2,CM$3,$L12:$CK12)</f>
        <v>0</v>
      </c>
      <c r="CN12" s="11">
        <f>SUMIF($L$2:$CK$2,CN$3,$L12:$CK12)</f>
        <v>0</v>
      </c>
      <c r="CO12" s="11">
        <f>SUMIF($F$2:$CK$2,CO$3,$F12:$CK12)</f>
        <v>-2901.518996285</v>
      </c>
      <c r="CP12" s="11">
        <f t="shared" si="35"/>
        <v>-4492.9617267679096</v>
      </c>
      <c r="CQ12" s="11">
        <f t="shared" si="35"/>
        <v>-4382.3080797826788</v>
      </c>
      <c r="CR12" s="11">
        <f t="shared" si="35"/>
        <v>-7172.2617924130063</v>
      </c>
      <c r="CS12" s="11">
        <f t="shared" si="35"/>
        <v>-8154.2362183431578</v>
      </c>
      <c r="CT12" s="11">
        <f t="shared" si="36"/>
        <v>-9286.1348091559976</v>
      </c>
      <c r="CU12" s="11">
        <f t="shared" si="36"/>
        <v>-10283.734836047795</v>
      </c>
    </row>
    <row r="13" spans="2:99" x14ac:dyDescent="0.2">
      <c r="B13" s="92"/>
      <c r="C13" s="91"/>
      <c r="D13" s="9"/>
      <c r="E13" s="9"/>
    </row>
    <row r="14" spans="2:99" s="12" customFormat="1" x14ac:dyDescent="0.2">
      <c r="B14" s="88" t="s">
        <v>54</v>
      </c>
      <c r="C14" s="89" t="s">
        <v>4</v>
      </c>
      <c r="D14" s="13"/>
      <c r="E14" s="13"/>
      <c r="F14" s="14">
        <f t="shared" ref="F14:K14" si="44">SUM(F7,F10:F12)</f>
        <v>2899.0632381483742</v>
      </c>
      <c r="G14" s="14">
        <f t="shared" si="44"/>
        <v>6004.1425275538995</v>
      </c>
      <c r="H14" s="14">
        <f t="shared" si="44"/>
        <v>4725.6040478909435</v>
      </c>
      <c r="I14" s="14">
        <f t="shared" si="44"/>
        <v>5974.6924733593041</v>
      </c>
      <c r="J14" s="14">
        <f t="shared" si="44"/>
        <v>6005.9168453254269</v>
      </c>
      <c r="K14" s="14">
        <f t="shared" si="44"/>
        <v>5075.4258018986493</v>
      </c>
      <c r="L14" s="14">
        <f>SUM(L7,L10:L12)</f>
        <v>7443.9135850994262</v>
      </c>
      <c r="M14" s="14">
        <f t="shared" ref="M14:CP14" si="45">SUM(M7,M10:M12)</f>
        <v>6546.7867175171941</v>
      </c>
      <c r="N14" s="14">
        <f t="shared" si="45"/>
        <v>6179.3200387209363</v>
      </c>
      <c r="O14" s="14">
        <f t="shared" si="45"/>
        <v>5632.6386499708942</v>
      </c>
      <c r="P14" s="14">
        <f t="shared" si="45"/>
        <v>7409.695981871344</v>
      </c>
      <c r="Q14" s="14">
        <f t="shared" si="45"/>
        <v>8829.5073689510882</v>
      </c>
      <c r="R14" s="14">
        <f t="shared" si="45"/>
        <v>4157.9569476630277</v>
      </c>
      <c r="S14" s="14">
        <f t="shared" si="45"/>
        <v>1802.7771690060565</v>
      </c>
      <c r="T14" s="14">
        <f t="shared" si="45"/>
        <v>14237.255677151506</v>
      </c>
      <c r="U14" s="14">
        <f t="shared" si="45"/>
        <v>3501.8808626945397</v>
      </c>
      <c r="V14" s="14">
        <f t="shared" si="45"/>
        <v>5484.1771790109105</v>
      </c>
      <c r="W14" s="14">
        <f t="shared" si="45"/>
        <v>5483.3244551445459</v>
      </c>
      <c r="X14" s="14">
        <f t="shared" si="45"/>
        <v>6855.973842871229</v>
      </c>
      <c r="Y14" s="14">
        <f t="shared" si="45"/>
        <v>6688.7046136134741</v>
      </c>
      <c r="Z14" s="14">
        <f t="shared" si="45"/>
        <v>6849.9674167497005</v>
      </c>
      <c r="AA14" s="14">
        <f t="shared" si="45"/>
        <v>12871.436685579083</v>
      </c>
      <c r="AB14" s="14">
        <f t="shared" si="45"/>
        <v>12546.162575170751</v>
      </c>
      <c r="AC14" s="14">
        <f t="shared" si="45"/>
        <v>15375.012897278506</v>
      </c>
      <c r="AD14" s="14">
        <f t="shared" si="45"/>
        <v>6040.6847974965622</v>
      </c>
      <c r="AE14" s="14">
        <f t="shared" si="45"/>
        <v>6594.8895161655691</v>
      </c>
      <c r="AF14" s="14">
        <f t="shared" si="45"/>
        <v>9015.9275652482229</v>
      </c>
      <c r="AG14" s="14">
        <f t="shared" si="45"/>
        <v>8977.3737714494182</v>
      </c>
      <c r="AH14" s="14">
        <f t="shared" si="45"/>
        <v>9457.2602081737423</v>
      </c>
      <c r="AI14" s="14">
        <f t="shared" si="45"/>
        <v>9704.0195655074222</v>
      </c>
      <c r="AJ14" s="14">
        <f t="shared" si="45"/>
        <v>10469.572264507829</v>
      </c>
      <c r="AK14" s="14">
        <f t="shared" si="45"/>
        <v>16836.620142678079</v>
      </c>
      <c r="AL14" s="14">
        <f t="shared" si="45"/>
        <v>18525.354259882592</v>
      </c>
      <c r="AM14" s="14">
        <f t="shared" si="45"/>
        <v>18014.120748284975</v>
      </c>
      <c r="AN14" s="14">
        <f t="shared" si="45"/>
        <v>18489.528337675802</v>
      </c>
      <c r="AO14" s="14">
        <f t="shared" si="45"/>
        <v>23466.555343360356</v>
      </c>
      <c r="AP14" s="14">
        <f t="shared" si="45"/>
        <v>20633.04718687975</v>
      </c>
      <c r="AQ14" s="14">
        <f t="shared" si="45"/>
        <v>23553.076444179111</v>
      </c>
      <c r="AR14" s="14">
        <f t="shared" si="45"/>
        <v>26892.99968140206</v>
      </c>
      <c r="AS14" s="14">
        <f t="shared" si="45"/>
        <v>28036.832398308117</v>
      </c>
      <c r="AT14" s="14">
        <f t="shared" si="45"/>
        <v>29334.901065238872</v>
      </c>
      <c r="AU14" s="14">
        <f t="shared" si="45"/>
        <v>29003.678024294488</v>
      </c>
      <c r="AV14" s="14">
        <f t="shared" si="45"/>
        <v>29802.055445362363</v>
      </c>
      <c r="AW14" s="14">
        <f t="shared" si="45"/>
        <v>29551.222486317096</v>
      </c>
      <c r="AX14" s="14">
        <f t="shared" ref="AX14:BU14" si="46">SUM(AX7,AX10:AX12)</f>
        <v>28571.181343486674</v>
      </c>
      <c r="AY14" s="14">
        <f t="shared" si="46"/>
        <v>27620.541434941166</v>
      </c>
      <c r="AZ14" s="14">
        <f t="shared" si="46"/>
        <v>26083.67358279258</v>
      </c>
      <c r="BA14" s="14">
        <f t="shared" si="46"/>
        <v>35756.358993824906</v>
      </c>
      <c r="BB14" s="14">
        <f t="shared" si="46"/>
        <v>25863.564271147057</v>
      </c>
      <c r="BC14" s="14">
        <f t="shared" si="46"/>
        <v>27748.194881163414</v>
      </c>
      <c r="BD14" s="14">
        <f t="shared" si="46"/>
        <v>30739.805504168879</v>
      </c>
      <c r="BE14" s="14">
        <f t="shared" si="46"/>
        <v>32544.09717194831</v>
      </c>
      <c r="BF14" s="14">
        <f t="shared" si="46"/>
        <v>34332.664474086974</v>
      </c>
      <c r="BG14" s="14">
        <f t="shared" si="46"/>
        <v>35245.198811912865</v>
      </c>
      <c r="BH14" s="14">
        <f t="shared" si="46"/>
        <v>36176.356299490275</v>
      </c>
      <c r="BI14" s="14">
        <f t="shared" si="46"/>
        <v>34512.843818810288</v>
      </c>
      <c r="BJ14" s="14">
        <f t="shared" si="46"/>
        <v>33166.012961864559</v>
      </c>
      <c r="BK14" s="14">
        <f t="shared" si="46"/>
        <v>31859.587030627212</v>
      </c>
      <c r="BL14" s="14">
        <f t="shared" si="46"/>
        <v>30593.702275514934</v>
      </c>
      <c r="BM14" s="14">
        <f t="shared" si="46"/>
        <v>43123.88172662921</v>
      </c>
      <c r="BN14" s="14">
        <f t="shared" si="46"/>
        <v>30470.077374499542</v>
      </c>
      <c r="BO14" s="14">
        <f t="shared" si="46"/>
        <v>32664.894726808743</v>
      </c>
      <c r="BP14" s="14">
        <f t="shared" si="46"/>
        <v>37295.819575148518</v>
      </c>
      <c r="BQ14" s="14">
        <f t="shared" si="46"/>
        <v>39394.673454755764</v>
      </c>
      <c r="BR14" s="14">
        <f t="shared" si="46"/>
        <v>41480.728535109105</v>
      </c>
      <c r="BS14" s="14">
        <f t="shared" si="46"/>
        <v>42545.042351615928</v>
      </c>
      <c r="BT14" s="14">
        <f t="shared" si="46"/>
        <v>43631.076858255517</v>
      </c>
      <c r="BU14" s="14">
        <f t="shared" si="46"/>
        <v>41693.73846458902</v>
      </c>
      <c r="BV14" s="14">
        <f t="shared" ref="BV14:BX14" si="47">SUM(BV7,BV10:BV12)</f>
        <v>40122.806856439602</v>
      </c>
      <c r="BW14" s="14">
        <f t="shared" si="47"/>
        <v>39637.833359274278</v>
      </c>
      <c r="BX14" s="14">
        <f t="shared" si="47"/>
        <v>37122.409267624331</v>
      </c>
      <c r="BY14" s="14">
        <f t="shared" ref="BY14:CK14" si="48">SUM(BY7,BY10:BY12)</f>
        <v>51751.311957676626</v>
      </c>
      <c r="BZ14" s="14">
        <f t="shared" si="48"/>
        <v>34921.846302175189</v>
      </c>
      <c r="CA14" s="14">
        <f t="shared" si="48"/>
        <v>37116.106346056462</v>
      </c>
      <c r="CB14" s="14">
        <f t="shared" si="48"/>
        <v>43687.971297127908</v>
      </c>
      <c r="CC14" s="14">
        <f t="shared" si="48"/>
        <v>46094.914389074198</v>
      </c>
      <c r="CD14" s="14">
        <f t="shared" si="48"/>
        <v>48476.150396535544</v>
      </c>
      <c r="CE14" s="14">
        <f t="shared" si="48"/>
        <v>49697.805411728245</v>
      </c>
      <c r="CF14" s="14">
        <f t="shared" si="48"/>
        <v>50944.656631503138</v>
      </c>
      <c r="CG14" s="14">
        <f t="shared" si="48"/>
        <v>48750.38905648225</v>
      </c>
      <c r="CH14" s="14">
        <f t="shared" si="48"/>
        <v>48226.880140215515</v>
      </c>
      <c r="CI14" s="14">
        <f t="shared" si="48"/>
        <v>46469.643831469439</v>
      </c>
      <c r="CJ14" s="14">
        <f t="shared" si="48"/>
        <v>43620.129221939897</v>
      </c>
      <c r="CK14" s="14">
        <f t="shared" si="48"/>
        <v>60224.099644317597</v>
      </c>
      <c r="CM14" s="14">
        <f t="shared" ref="CM14" si="49">SUM(CM7,CM10:CM12)</f>
        <v>15388</v>
      </c>
      <c r="CN14" s="14">
        <f t="shared" si="45"/>
        <v>23075</v>
      </c>
      <c r="CO14" s="14">
        <f t="shared" si="45"/>
        <v>72726.70727630741</v>
      </c>
      <c r="CP14" s="14">
        <f t="shared" si="45"/>
        <v>95854.630321933349</v>
      </c>
      <c r="CQ14" s="14">
        <f t="shared" ref="CQ14:CS14" si="50">SUM(CQ7,CQ10:CQ12)</f>
        <v>155591.90652043064</v>
      </c>
      <c r="CR14" s="14">
        <f t="shared" si="50"/>
        <v>334839.56808702723</v>
      </c>
      <c r="CS14" s="14">
        <f t="shared" si="50"/>
        <v>395905.90922736411</v>
      </c>
      <c r="CT14" s="14">
        <f t="shared" ref="CT14:CU14" si="51">SUM(CT7,CT10:CT12)</f>
        <v>477810.41278179688</v>
      </c>
      <c r="CU14" s="14">
        <f t="shared" si="51"/>
        <v>558230.59266862506</v>
      </c>
    </row>
    <row r="15" spans="2:99" x14ac:dyDescent="0.2">
      <c r="B15" s="92"/>
      <c r="C15" s="91"/>
      <c r="D15" s="9"/>
      <c r="E15" s="9"/>
    </row>
    <row r="16" spans="2:99" x14ac:dyDescent="0.2">
      <c r="B16" s="90" t="s">
        <v>55</v>
      </c>
      <c r="C16" s="91" t="s">
        <v>4</v>
      </c>
      <c r="D16" s="9"/>
      <c r="E16" s="9"/>
      <c r="F16" s="11">
        <f>-755.945-84.633</f>
        <v>-840.57800000000009</v>
      </c>
      <c r="G16" s="11">
        <f>-770.843-83.962</f>
        <v>-854.80499999999995</v>
      </c>
      <c r="H16" s="11">
        <f>-770.843-83.962</f>
        <v>-854.80499999999995</v>
      </c>
      <c r="I16" s="11">
        <f>-778-83.962</f>
        <v>-861.96199999999999</v>
      </c>
      <c r="J16" s="11">
        <f>-703-84.943</f>
        <v>-787.94299999999998</v>
      </c>
      <c r="K16" s="11">
        <f>-707-85.996</f>
        <v>-792.99599999999998</v>
      </c>
      <c r="L16" s="11">
        <f>-707-86.685</f>
        <v>-793.68499999999995</v>
      </c>
      <c r="M16" s="11">
        <f>-673-86.685</f>
        <v>-759.68499999999995</v>
      </c>
      <c r="N16" s="11">
        <f>-649.496-86.904</f>
        <v>-736.4</v>
      </c>
      <c r="O16" s="11">
        <f>-651.302-87.593</f>
        <v>-738.89499999999998</v>
      </c>
      <c r="P16" s="11">
        <f>-651.302-87.593</f>
        <v>-738.89499999999998</v>
      </c>
      <c r="Q16" s="11">
        <f>-217.943-87.593</f>
        <v>-305.536</v>
      </c>
      <c r="R16" s="11">
        <f>-R129</f>
        <v>-187.66666666666669</v>
      </c>
      <c r="S16" s="11">
        <f t="shared" ref="S16:BX16" si="52">-S129</f>
        <v>-187.66666666666669</v>
      </c>
      <c r="T16" s="11">
        <f t="shared" si="52"/>
        <v>-187.66666666666669</v>
      </c>
      <c r="U16" s="11">
        <f t="shared" si="52"/>
        <v>-187.66666666666669</v>
      </c>
      <c r="V16" s="11">
        <f t="shared" si="52"/>
        <v>-187.66666666666669</v>
      </c>
      <c r="W16" s="11">
        <f t="shared" si="52"/>
        <v>-187.66666666666669</v>
      </c>
      <c r="X16" s="11">
        <f t="shared" si="52"/>
        <v>-491.5</v>
      </c>
      <c r="Y16" s="11">
        <f t="shared" si="52"/>
        <v>-491.5</v>
      </c>
      <c r="Z16" s="11">
        <f t="shared" si="52"/>
        <v>-491.5</v>
      </c>
      <c r="AA16" s="11">
        <f t="shared" si="52"/>
        <v>-491.5</v>
      </c>
      <c r="AB16" s="11">
        <f t="shared" si="52"/>
        <v>-491.5</v>
      </c>
      <c r="AC16" s="11">
        <f t="shared" si="52"/>
        <v>-491.5</v>
      </c>
      <c r="AD16" s="11">
        <f t="shared" si="52"/>
        <v>-275.83194444444439</v>
      </c>
      <c r="AE16" s="11">
        <f t="shared" si="52"/>
        <v>-274.75209490740735</v>
      </c>
      <c r="AF16" s="11">
        <f t="shared" si="52"/>
        <v>-283.3201330054012</v>
      </c>
      <c r="AG16" s="11">
        <f t="shared" si="52"/>
        <v>-324.87649300813393</v>
      </c>
      <c r="AH16" s="11">
        <f t="shared" si="52"/>
        <v>-445.4157166775106</v>
      </c>
      <c r="AI16" s="11">
        <f t="shared" si="52"/>
        <v>-545.79766903853135</v>
      </c>
      <c r="AJ16" s="11">
        <f t="shared" si="52"/>
        <v>-2853.6764384632102</v>
      </c>
      <c r="AK16" s="11">
        <f t="shared" si="52"/>
        <v>-2902.7395514760165</v>
      </c>
      <c r="AL16" s="11">
        <f t="shared" si="52"/>
        <v>-2902.7826941026055</v>
      </c>
      <c r="AM16" s="11">
        <f t="shared" si="52"/>
        <v>-2883.7282549850838</v>
      </c>
      <c r="AN16" s="11">
        <f t="shared" si="52"/>
        <v>-2864.8326028602082</v>
      </c>
      <c r="AO16" s="11">
        <f t="shared" si="52"/>
        <v>-2846.0944145030394</v>
      </c>
      <c r="AP16" s="11">
        <f t="shared" si="52"/>
        <v>-2827.5123777155145</v>
      </c>
      <c r="AQ16" s="11">
        <f t="shared" si="52"/>
        <v>-2809.085191234552</v>
      </c>
      <c r="AR16" s="11">
        <f t="shared" si="52"/>
        <v>-2790.8115646409306</v>
      </c>
      <c r="AS16" s="11">
        <f t="shared" si="52"/>
        <v>-2772.6902182689228</v>
      </c>
      <c r="AT16" s="11">
        <f t="shared" si="52"/>
        <v>-2754.719883116682</v>
      </c>
      <c r="AU16" s="11">
        <f t="shared" si="52"/>
        <v>-2736.8993007573763</v>
      </c>
      <c r="AV16" s="11">
        <f t="shared" si="52"/>
        <v>-2719.227223251065</v>
      </c>
      <c r="AW16" s="11">
        <f t="shared" si="52"/>
        <v>-2701.7024130573059</v>
      </c>
      <c r="AX16" s="11">
        <f t="shared" si="52"/>
        <v>-2684.323642948495</v>
      </c>
      <c r="AY16" s="11">
        <f t="shared" si="52"/>
        <v>-2667.0896959239244</v>
      </c>
      <c r="AZ16" s="11">
        <f t="shared" si="52"/>
        <v>-2649.9993651245586</v>
      </c>
      <c r="BA16" s="11">
        <f t="shared" si="52"/>
        <v>-2633.0514537485205</v>
      </c>
      <c r="BB16" s="11">
        <f t="shared" si="52"/>
        <v>-2616.2447749672824</v>
      </c>
      <c r="BC16" s="11">
        <f t="shared" si="52"/>
        <v>-2599.5781518425556</v>
      </c>
      <c r="BD16" s="11">
        <f t="shared" si="52"/>
        <v>-2583.0504172438673</v>
      </c>
      <c r="BE16" s="11">
        <f t="shared" si="52"/>
        <v>-2566.6604137668351</v>
      </c>
      <c r="BF16" s="11">
        <f t="shared" si="52"/>
        <v>-2550.4069936521114</v>
      </c>
      <c r="BG16" s="11">
        <f t="shared" si="52"/>
        <v>-2534.2890187050102</v>
      </c>
      <c r="BH16" s="11">
        <f t="shared" si="52"/>
        <v>-2518.305360215802</v>
      </c>
      <c r="BI16" s="11">
        <f t="shared" si="52"/>
        <v>-2502.4548988806705</v>
      </c>
      <c r="BJ16" s="11">
        <f t="shared" si="52"/>
        <v>-2486.7365247233315</v>
      </c>
      <c r="BK16" s="11">
        <f t="shared" si="52"/>
        <v>-2471.1491370173035</v>
      </c>
      <c r="BL16" s="11">
        <f t="shared" si="52"/>
        <v>-2455.6916442088259</v>
      </c>
      <c r="BM16" s="11">
        <f t="shared" si="52"/>
        <v>-2440.3629638404186</v>
      </c>
      <c r="BN16" s="11">
        <f t="shared" si="52"/>
        <v>-2425.1620224750818</v>
      </c>
      <c r="BO16" s="11">
        <f t="shared" si="52"/>
        <v>-2410.0877556211226</v>
      </c>
      <c r="BP16" s="11">
        <f t="shared" si="52"/>
        <v>-2395.1391076576133</v>
      </c>
      <c r="BQ16" s="11">
        <f t="shared" si="52"/>
        <v>-2380.3150317604668</v>
      </c>
      <c r="BR16" s="11">
        <f t="shared" si="52"/>
        <v>-2365.6144898291295</v>
      </c>
      <c r="BS16" s="11">
        <f t="shared" si="52"/>
        <v>-2351.0364524138868</v>
      </c>
      <c r="BT16" s="11">
        <f t="shared" si="52"/>
        <v>-2336.5798986437712</v>
      </c>
      <c r="BU16" s="11">
        <f t="shared" si="52"/>
        <v>-2322.2438161550731</v>
      </c>
      <c r="BV16" s="11">
        <f t="shared" si="52"/>
        <v>-2308.0272010204476</v>
      </c>
      <c r="BW16" s="11">
        <f t="shared" si="52"/>
        <v>-2293.9290576786102</v>
      </c>
      <c r="BX16" s="11">
        <f t="shared" si="52"/>
        <v>-2279.948398864622</v>
      </c>
      <c r="BY16" s="11">
        <f t="shared" ref="BY16:CK16" si="53">-BY129</f>
        <v>-2266.0842455407501</v>
      </c>
      <c r="BZ16" s="11">
        <f t="shared" si="53"/>
        <v>-2252.3356268279103</v>
      </c>
      <c r="CA16" s="11">
        <f t="shared" si="53"/>
        <v>-2238.7015799376777</v>
      </c>
      <c r="CB16" s="11">
        <f t="shared" si="53"/>
        <v>-2225.1811501048637</v>
      </c>
      <c r="CC16" s="11">
        <f t="shared" si="53"/>
        <v>-2211.7733905206569</v>
      </c>
      <c r="CD16" s="11">
        <f t="shared" si="53"/>
        <v>-2198.4773622663179</v>
      </c>
      <c r="CE16" s="11">
        <f t="shared" si="53"/>
        <v>-2185.2921342474319</v>
      </c>
      <c r="CF16" s="11">
        <f t="shared" si="53"/>
        <v>-2172.2167831287034</v>
      </c>
      <c r="CG16" s="11">
        <f t="shared" si="53"/>
        <v>-2159.2503932692975</v>
      </c>
      <c r="CH16" s="11">
        <f t="shared" si="53"/>
        <v>-2146.3920566587203</v>
      </c>
      <c r="CI16" s="11">
        <f t="shared" si="53"/>
        <v>-2133.6408728532306</v>
      </c>
      <c r="CJ16" s="11">
        <f t="shared" si="53"/>
        <v>-2120.9959489127873</v>
      </c>
      <c r="CK16" s="11">
        <f t="shared" si="53"/>
        <v>-2108.4563993385141</v>
      </c>
      <c r="CM16" s="11">
        <f>SUMIF($L$2:$CK$2,CM$3,$L16:$CK16)</f>
        <v>0</v>
      </c>
      <c r="CN16" s="11">
        <f>SUMIF($L$2:$CK$2,CN$3,$L16:$CK16)</f>
        <v>0</v>
      </c>
      <c r="CO16" s="11">
        <f>SUMIF($F$2:$CK$2,CO$3,$F16:$CK16)</f>
        <v>-9066.1849999999995</v>
      </c>
      <c r="CP16" s="11">
        <f>SUMIF($L$2:$CK$2,CP$3,$L16:$CK16)</f>
        <v>-4075</v>
      </c>
      <c r="CQ16" s="11">
        <f>SUMIF($L$2:$CK$2,CQ$3,$L16:$CK16)</f>
        <v>-19403.848007471595</v>
      </c>
      <c r="CR16" s="11">
        <f>SUMIF($L$2:$CK$2,CR$3,$L16:$CK16)</f>
        <v>-32747.112329787851</v>
      </c>
      <c r="CS16" s="11">
        <f>SUMIF($L$2:$CK$2,CS$3,$L16:$CK16)</f>
        <v>-30324.930299064017</v>
      </c>
      <c r="CT16" s="11">
        <f t="shared" ref="CT16:CU16" si="54">SUMIF($L$2:$CK$2,CT$3,$L16:$CK16)</f>
        <v>-28134.167477660572</v>
      </c>
      <c r="CU16" s="11">
        <f t="shared" si="54"/>
        <v>-26152.713698066109</v>
      </c>
    </row>
    <row r="17" spans="2:99" x14ac:dyDescent="0.2">
      <c r="B17" s="92"/>
      <c r="C17" s="91"/>
      <c r="D17" s="9"/>
      <c r="E17" s="9"/>
    </row>
    <row r="18" spans="2:99" s="12" customFormat="1" x14ac:dyDescent="0.2">
      <c r="B18" s="88" t="s">
        <v>61</v>
      </c>
      <c r="C18" s="89" t="s">
        <v>4</v>
      </c>
      <c r="D18" s="13"/>
      <c r="E18" s="13"/>
      <c r="F18" s="14">
        <f t="shared" ref="F18:K18" si="55">SUM(F14,F16)</f>
        <v>2058.4852381483743</v>
      </c>
      <c r="G18" s="14">
        <f t="shared" si="55"/>
        <v>5149.3375275538992</v>
      </c>
      <c r="H18" s="14">
        <f t="shared" si="55"/>
        <v>3870.7990478909437</v>
      </c>
      <c r="I18" s="14">
        <f t="shared" si="55"/>
        <v>5112.7304733593046</v>
      </c>
      <c r="J18" s="14">
        <f t="shared" si="55"/>
        <v>5217.9738453254267</v>
      </c>
      <c r="K18" s="14">
        <f t="shared" si="55"/>
        <v>4282.4298018986492</v>
      </c>
      <c r="L18" s="14">
        <f>SUM(L14,L16)</f>
        <v>6650.2285850994267</v>
      </c>
      <c r="M18" s="14">
        <f t="shared" ref="M18:AW18" si="56">SUM(M14,M16)</f>
        <v>5787.1017175171946</v>
      </c>
      <c r="N18" s="14">
        <f t="shared" si="56"/>
        <v>5442.9200387209366</v>
      </c>
      <c r="O18" s="14">
        <f t="shared" si="56"/>
        <v>4893.7436499708947</v>
      </c>
      <c r="P18" s="14">
        <f t="shared" si="56"/>
        <v>6670.8009818713435</v>
      </c>
      <c r="Q18" s="14">
        <f t="shared" si="56"/>
        <v>8523.9713689510882</v>
      </c>
      <c r="R18" s="14">
        <f t="shared" si="56"/>
        <v>3970.2902809963612</v>
      </c>
      <c r="S18" s="14">
        <f t="shared" si="56"/>
        <v>1615.1105023393898</v>
      </c>
      <c r="T18" s="14">
        <f t="shared" si="56"/>
        <v>14049.58901048484</v>
      </c>
      <c r="U18" s="14">
        <f t="shared" si="56"/>
        <v>3314.2141960278732</v>
      </c>
      <c r="V18" s="14">
        <f t="shared" si="56"/>
        <v>5296.5105123442436</v>
      </c>
      <c r="W18" s="14">
        <f t="shared" si="56"/>
        <v>5295.657788477879</v>
      </c>
      <c r="X18" s="14">
        <f t="shared" si="56"/>
        <v>6364.473842871229</v>
      </c>
      <c r="Y18" s="14">
        <f t="shared" si="56"/>
        <v>6197.2046136134741</v>
      </c>
      <c r="Z18" s="14">
        <f t="shared" si="56"/>
        <v>6358.4674167497005</v>
      </c>
      <c r="AA18" s="14">
        <f t="shared" si="56"/>
        <v>12379.936685579083</v>
      </c>
      <c r="AB18" s="14">
        <f t="shared" si="56"/>
        <v>12054.662575170751</v>
      </c>
      <c r="AC18" s="14">
        <f t="shared" si="56"/>
        <v>14883.512897278506</v>
      </c>
      <c r="AD18" s="14">
        <f t="shared" si="56"/>
        <v>5764.852853052118</v>
      </c>
      <c r="AE18" s="14">
        <f t="shared" si="56"/>
        <v>6320.1374212581613</v>
      </c>
      <c r="AF18" s="14">
        <f t="shared" si="56"/>
        <v>8732.6074322428212</v>
      </c>
      <c r="AG18" s="14">
        <f t="shared" si="56"/>
        <v>8652.4972784412839</v>
      </c>
      <c r="AH18" s="14">
        <f t="shared" si="56"/>
        <v>9011.8444914962311</v>
      </c>
      <c r="AI18" s="14">
        <f t="shared" si="56"/>
        <v>9158.2218964688909</v>
      </c>
      <c r="AJ18" s="14">
        <f t="shared" si="56"/>
        <v>7615.8958260446198</v>
      </c>
      <c r="AK18" s="14">
        <f t="shared" si="56"/>
        <v>13933.880591202062</v>
      </c>
      <c r="AL18" s="14">
        <f t="shared" si="56"/>
        <v>15622.571565779986</v>
      </c>
      <c r="AM18" s="14">
        <f t="shared" si="56"/>
        <v>15130.392493299891</v>
      </c>
      <c r="AN18" s="14">
        <f t="shared" si="56"/>
        <v>15624.695734815594</v>
      </c>
      <c r="AO18" s="14">
        <f t="shared" si="56"/>
        <v>20620.460928857316</v>
      </c>
      <c r="AP18" s="14">
        <f t="shared" si="56"/>
        <v>17805.534809164237</v>
      </c>
      <c r="AQ18" s="14">
        <f t="shared" si="56"/>
        <v>20743.991252944557</v>
      </c>
      <c r="AR18" s="14">
        <f t="shared" si="56"/>
        <v>24102.188116761128</v>
      </c>
      <c r="AS18" s="14">
        <f t="shared" si="56"/>
        <v>25264.142180039194</v>
      </c>
      <c r="AT18" s="14">
        <f t="shared" si="56"/>
        <v>26580.181182122189</v>
      </c>
      <c r="AU18" s="14">
        <f t="shared" si="56"/>
        <v>26266.778723537111</v>
      </c>
      <c r="AV18" s="14">
        <f t="shared" si="56"/>
        <v>27082.828222111297</v>
      </c>
      <c r="AW18" s="14">
        <f t="shared" si="56"/>
        <v>26849.520073259791</v>
      </c>
      <c r="AX18" s="14">
        <f t="shared" ref="AX18:BU18" si="57">SUM(AX14,AX16)</f>
        <v>25886.857700538181</v>
      </c>
      <c r="AY18" s="14">
        <f t="shared" si="57"/>
        <v>24953.45173901724</v>
      </c>
      <c r="AZ18" s="14">
        <f t="shared" si="57"/>
        <v>23433.67421766802</v>
      </c>
      <c r="BA18" s="14">
        <f t="shared" si="57"/>
        <v>33123.307540076385</v>
      </c>
      <c r="BB18" s="14">
        <f t="shared" si="57"/>
        <v>23247.319496179774</v>
      </c>
      <c r="BC18" s="14">
        <f t="shared" si="57"/>
        <v>25148.616729320856</v>
      </c>
      <c r="BD18" s="14">
        <f t="shared" si="57"/>
        <v>28156.755086925012</v>
      </c>
      <c r="BE18" s="14">
        <f t="shared" si="57"/>
        <v>29977.436758181473</v>
      </c>
      <c r="BF18" s="14">
        <f t="shared" si="57"/>
        <v>31782.257480434862</v>
      </c>
      <c r="BG18" s="14">
        <f t="shared" si="57"/>
        <v>32710.909793207855</v>
      </c>
      <c r="BH18" s="14">
        <f t="shared" si="57"/>
        <v>33658.050939274472</v>
      </c>
      <c r="BI18" s="14">
        <f t="shared" si="57"/>
        <v>32010.388919929617</v>
      </c>
      <c r="BJ18" s="14">
        <f t="shared" si="57"/>
        <v>30679.276437141227</v>
      </c>
      <c r="BK18" s="14">
        <f t="shared" si="57"/>
        <v>29388.437893609909</v>
      </c>
      <c r="BL18" s="14">
        <f t="shared" si="57"/>
        <v>28138.010631306108</v>
      </c>
      <c r="BM18" s="14">
        <f t="shared" si="57"/>
        <v>40683.518762788794</v>
      </c>
      <c r="BN18" s="14">
        <f t="shared" si="57"/>
        <v>28044.915352024462</v>
      </c>
      <c r="BO18" s="14">
        <f t="shared" si="57"/>
        <v>30254.80697118762</v>
      </c>
      <c r="BP18" s="14">
        <f t="shared" si="57"/>
        <v>34900.680467490907</v>
      </c>
      <c r="BQ18" s="14">
        <f t="shared" si="57"/>
        <v>37014.358422995298</v>
      </c>
      <c r="BR18" s="14">
        <f t="shared" si="57"/>
        <v>39115.114045279974</v>
      </c>
      <c r="BS18" s="14">
        <f t="shared" si="57"/>
        <v>40194.005899202042</v>
      </c>
      <c r="BT18" s="14">
        <f t="shared" si="57"/>
        <v>41294.496959611744</v>
      </c>
      <c r="BU18" s="14">
        <f t="shared" si="57"/>
        <v>39371.494648433945</v>
      </c>
      <c r="BV18" s="14">
        <f t="shared" ref="BV18:BX18" si="58">SUM(BV14,BV16)</f>
        <v>37814.779655419152</v>
      </c>
      <c r="BW18" s="14">
        <f t="shared" si="58"/>
        <v>37343.90430159567</v>
      </c>
      <c r="BX18" s="14">
        <f t="shared" si="58"/>
        <v>34842.460868759706</v>
      </c>
      <c r="BY18" s="14">
        <f t="shared" ref="BY18:CK18" si="59">SUM(BY14,BY16)</f>
        <v>49485.227712135878</v>
      </c>
      <c r="BZ18" s="14">
        <f t="shared" si="59"/>
        <v>32669.510675347279</v>
      </c>
      <c r="CA18" s="14">
        <f t="shared" si="59"/>
        <v>34877.404766118787</v>
      </c>
      <c r="CB18" s="14">
        <f t="shared" si="59"/>
        <v>41462.790147023043</v>
      </c>
      <c r="CC18" s="14">
        <f t="shared" si="59"/>
        <v>43883.140998553543</v>
      </c>
      <c r="CD18" s="14">
        <f t="shared" si="59"/>
        <v>46277.673034269224</v>
      </c>
      <c r="CE18" s="14">
        <f t="shared" si="59"/>
        <v>47512.513277480815</v>
      </c>
      <c r="CF18" s="14">
        <f t="shared" si="59"/>
        <v>48772.439848374437</v>
      </c>
      <c r="CG18" s="14">
        <f t="shared" si="59"/>
        <v>46591.138663212951</v>
      </c>
      <c r="CH18" s="14">
        <f t="shared" si="59"/>
        <v>46080.488083556796</v>
      </c>
      <c r="CI18" s="14">
        <f t="shared" si="59"/>
        <v>44336.002958616205</v>
      </c>
      <c r="CJ18" s="14">
        <f t="shared" si="59"/>
        <v>41499.13327302711</v>
      </c>
      <c r="CK18" s="14">
        <f t="shared" si="59"/>
        <v>58115.643244979081</v>
      </c>
      <c r="CM18" s="14">
        <f>SUM(CM14,CM16)</f>
        <v>15388</v>
      </c>
      <c r="CN18" s="14">
        <f>SUM(CN14,CN16)</f>
        <v>23075</v>
      </c>
      <c r="CO18" s="14">
        <f t="shared" ref="CO18:CP18" si="60">SUM(CO14,CO16)</f>
        <v>63660.522276307413</v>
      </c>
      <c r="CP18" s="14">
        <f t="shared" si="60"/>
        <v>91779.630321933349</v>
      </c>
      <c r="CQ18" s="14">
        <f t="shared" ref="CQ18:CS18" si="61">SUM(CQ14,CQ16)</f>
        <v>136188.05851295905</v>
      </c>
      <c r="CR18" s="14">
        <f t="shared" si="61"/>
        <v>302092.45575723937</v>
      </c>
      <c r="CS18" s="14">
        <f t="shared" si="61"/>
        <v>365580.97892830009</v>
      </c>
      <c r="CT18" s="14">
        <f t="shared" ref="CT18:CU18" si="62">SUM(CT14,CT16)</f>
        <v>449676.2453041363</v>
      </c>
      <c r="CU18" s="14">
        <f t="shared" si="62"/>
        <v>532077.87897055899</v>
      </c>
    </row>
    <row r="19" spans="2:99" x14ac:dyDescent="0.2">
      <c r="B19" s="92"/>
      <c r="C19" s="91"/>
      <c r="D19" s="9"/>
      <c r="E19" s="9"/>
      <c r="CO19" s="11">
        <f t="shared" ref="CO19:CS23" si="63">SUMIF($F$2:$CK$2,CO$3,$F19:$CK19)</f>
        <v>0</v>
      </c>
      <c r="CP19" s="11">
        <f t="shared" si="63"/>
        <v>0</v>
      </c>
      <c r="CQ19" s="11">
        <f t="shared" si="63"/>
        <v>0</v>
      </c>
      <c r="CR19" s="11">
        <f t="shared" si="63"/>
        <v>0</v>
      </c>
      <c r="CS19" s="11">
        <f t="shared" si="63"/>
        <v>0</v>
      </c>
      <c r="CT19" s="11">
        <f t="shared" ref="CT19:CU23" si="64">SUMIF($F$2:$CK$2,CT$3,$F19:$CK19)</f>
        <v>0</v>
      </c>
      <c r="CU19" s="11">
        <f t="shared" si="64"/>
        <v>0</v>
      </c>
    </row>
    <row r="20" spans="2:99" x14ac:dyDescent="0.2">
      <c r="B20" s="90" t="s">
        <v>63</v>
      </c>
      <c r="C20" s="91" t="s">
        <v>4</v>
      </c>
      <c r="D20" s="9"/>
      <c r="E20" s="9"/>
      <c r="F20" s="11">
        <f>Свод_ОФР!F22+Свод_ОФР!F23</f>
        <v>-469.6173</v>
      </c>
      <c r="G20" s="11">
        <f>Свод_ОФР!G22+Свод_ОФР!G23</f>
        <v>-480.14777000000004</v>
      </c>
      <c r="H20" s="11">
        <f>Свод_ОФР!H22+Свод_ОФР!H23</f>
        <v>-443.57821999999999</v>
      </c>
      <c r="I20" s="11">
        <f>Свод_ОФР!I22+Свод_ОФР!I23</f>
        <v>-561.64537000000007</v>
      </c>
      <c r="J20" s="11">
        <f>Свод_ОФР!J22+Свод_ОФР!J23</f>
        <v>-479.55033000000003</v>
      </c>
      <c r="K20" s="11">
        <f>Свод_ОФР!K22+Свод_ОФР!K23</f>
        <v>-497.24459000000002</v>
      </c>
      <c r="L20" s="11">
        <f>Свод_ОФР!L22+Свод_ОФР!L23</f>
        <v>-459.42226999999997</v>
      </c>
      <c r="M20" s="11">
        <f>Свод_ОФР!M22+Свод_ОФР!M23</f>
        <v>-495.29108999999994</v>
      </c>
      <c r="N20" s="11">
        <f>Свод_ОФР!N22+Свод_ОФР!N23</f>
        <v>-503.63000000000005</v>
      </c>
      <c r="O20" s="11">
        <f>Свод_ОФР!O22+Свод_ОФР!O23</f>
        <v>-507.21240999999998</v>
      </c>
      <c r="P20" s="11">
        <f>Свод_ОФР!P22+Свод_ОФР!P23</f>
        <v>-625.54854999999998</v>
      </c>
      <c r="Q20" s="11">
        <f>Свод_ОФР!Q22+Свод_ОФР!Q23</f>
        <v>-692.33453999999995</v>
      </c>
      <c r="CM20" s="11"/>
      <c r="CN20" s="11">
        <f>-3516</f>
        <v>-3516</v>
      </c>
      <c r="CO20" s="11">
        <f t="shared" si="63"/>
        <v>-6215.2224399999996</v>
      </c>
      <c r="CP20" s="11">
        <f t="shared" si="63"/>
        <v>0</v>
      </c>
      <c r="CQ20" s="11">
        <f t="shared" si="63"/>
        <v>0</v>
      </c>
      <c r="CR20" s="11">
        <f t="shared" si="63"/>
        <v>0</v>
      </c>
      <c r="CS20" s="11">
        <f t="shared" si="63"/>
        <v>0</v>
      </c>
      <c r="CT20" s="11">
        <f t="shared" si="64"/>
        <v>0</v>
      </c>
      <c r="CU20" s="11">
        <f t="shared" si="64"/>
        <v>0</v>
      </c>
    </row>
    <row r="21" spans="2:99" x14ac:dyDescent="0.2">
      <c r="B21" s="90"/>
      <c r="C21" s="91"/>
      <c r="D21" s="9"/>
      <c r="E21" s="9"/>
      <c r="CM21" s="11"/>
      <c r="CN21" s="11"/>
      <c r="CO21" s="11">
        <f t="shared" si="63"/>
        <v>0</v>
      </c>
      <c r="CP21" s="11">
        <f t="shared" si="63"/>
        <v>0</v>
      </c>
      <c r="CQ21" s="11">
        <f t="shared" si="63"/>
        <v>0</v>
      </c>
      <c r="CR21" s="11">
        <f t="shared" si="63"/>
        <v>0</v>
      </c>
      <c r="CS21" s="11">
        <f t="shared" si="63"/>
        <v>0</v>
      </c>
      <c r="CT21" s="11">
        <f t="shared" si="64"/>
        <v>0</v>
      </c>
      <c r="CU21" s="11">
        <f t="shared" si="64"/>
        <v>0</v>
      </c>
    </row>
    <row r="22" spans="2:99" x14ac:dyDescent="0.2">
      <c r="B22" s="90" t="s">
        <v>287</v>
      </c>
      <c r="C22" s="91" t="s">
        <v>4</v>
      </c>
      <c r="D22" s="9"/>
      <c r="E22" s="9"/>
      <c r="F22" s="11">
        <v>15673.56554</v>
      </c>
      <c r="G22" s="11">
        <v>18647.52162</v>
      </c>
      <c r="H22" s="11">
        <v>12690.634109999999</v>
      </c>
      <c r="I22" s="11">
        <v>19270.870260000003</v>
      </c>
      <c r="J22" s="11">
        <v>14302.572529999999</v>
      </c>
      <c r="K22" s="11">
        <v>12414.98207</v>
      </c>
      <c r="L22" s="11">
        <v>16799.87443</v>
      </c>
      <c r="M22" s="11">
        <v>12510.46135</v>
      </c>
      <c r="N22" s="11">
        <v>14126.82352</v>
      </c>
      <c r="O22" s="11">
        <v>16167.58382</v>
      </c>
      <c r="P22" s="11">
        <v>15416.669</v>
      </c>
      <c r="Q22" s="11">
        <v>16450.571449999999</v>
      </c>
      <c r="R22" s="11">
        <f>77067/6</f>
        <v>12844.5</v>
      </c>
      <c r="S22" s="11">
        <f>R22</f>
        <v>12844.5</v>
      </c>
      <c r="T22" s="11">
        <f t="shared" ref="T22:W22" si="65">S22</f>
        <v>12844.5</v>
      </c>
      <c r="U22" s="11">
        <f t="shared" si="65"/>
        <v>12844.5</v>
      </c>
      <c r="V22" s="11">
        <f t="shared" si="65"/>
        <v>12844.5</v>
      </c>
      <c r="W22" s="11">
        <f t="shared" si="65"/>
        <v>12844.5</v>
      </c>
      <c r="X22" s="11">
        <f>(110347-12845*6)/6</f>
        <v>5546.166666666667</v>
      </c>
      <c r="Y22" s="11">
        <f t="shared" ref="Y22:AC22" si="66">(110347-12845*6)/6</f>
        <v>5546.166666666667</v>
      </c>
      <c r="Z22" s="11">
        <f t="shared" si="66"/>
        <v>5546.166666666667</v>
      </c>
      <c r="AA22" s="11">
        <f t="shared" si="66"/>
        <v>5546.166666666667</v>
      </c>
      <c r="AB22" s="11">
        <f t="shared" si="66"/>
        <v>5546.166666666667</v>
      </c>
      <c r="AC22" s="11">
        <f t="shared" si="66"/>
        <v>5546.166666666667</v>
      </c>
      <c r="CM22" s="11">
        <v>129085</v>
      </c>
      <c r="CN22" s="11">
        <v>109315</v>
      </c>
      <c r="CO22" s="11">
        <f t="shared" si="63"/>
        <v>184472.12969999999</v>
      </c>
      <c r="CP22" s="11">
        <f t="shared" si="63"/>
        <v>110344.00000000003</v>
      </c>
      <c r="CQ22" s="11">
        <f t="shared" si="63"/>
        <v>0</v>
      </c>
      <c r="CR22" s="11">
        <f t="shared" si="63"/>
        <v>0</v>
      </c>
      <c r="CS22" s="11">
        <f t="shared" si="63"/>
        <v>0</v>
      </c>
      <c r="CT22" s="11">
        <f t="shared" si="64"/>
        <v>0</v>
      </c>
      <c r="CU22" s="11">
        <f t="shared" si="64"/>
        <v>0</v>
      </c>
    </row>
    <row r="23" spans="2:99" x14ac:dyDescent="0.2">
      <c r="B23" s="90" t="s">
        <v>288</v>
      </c>
      <c r="C23" s="91" t="s">
        <v>4</v>
      </c>
      <c r="D23" s="9"/>
      <c r="E23" s="9"/>
      <c r="F23" s="11">
        <v>-16386.82848</v>
      </c>
      <c r="G23" s="11">
        <v>-19304.781440000002</v>
      </c>
      <c r="H23" s="11">
        <v>-13080.367490000001</v>
      </c>
      <c r="I23" s="11">
        <v>-18622.580329999997</v>
      </c>
      <c r="J23" s="11">
        <v>-14764.73848</v>
      </c>
      <c r="K23" s="11">
        <v>-12872.53667</v>
      </c>
      <c r="L23" s="11">
        <v>-17415.895350000003</v>
      </c>
      <c r="M23" s="11">
        <v>-13073.88751</v>
      </c>
      <c r="N23" s="11">
        <v>-14435.493269999999</v>
      </c>
      <c r="O23" s="11">
        <v>-16778.089019999999</v>
      </c>
      <c r="P23" s="11">
        <v>-15972.73827</v>
      </c>
      <c r="Q23" s="11">
        <v>-17053.656030000002</v>
      </c>
      <c r="R23" s="11">
        <f>-80706/6</f>
        <v>-13451</v>
      </c>
      <c r="S23" s="11">
        <f t="shared" ref="S23:W23" si="67">-80706/6</f>
        <v>-13451</v>
      </c>
      <c r="T23" s="11">
        <f t="shared" si="67"/>
        <v>-13451</v>
      </c>
      <c r="U23" s="11">
        <f t="shared" si="67"/>
        <v>-13451</v>
      </c>
      <c r="V23" s="11">
        <f t="shared" si="67"/>
        <v>-13451</v>
      </c>
      <c r="W23" s="11">
        <f t="shared" si="67"/>
        <v>-13451</v>
      </c>
      <c r="X23" s="11">
        <f>-(114203-80706)/6</f>
        <v>-5582.833333333333</v>
      </c>
      <c r="Y23" s="11">
        <f t="shared" ref="Y23:AC23" si="68">-(114203-80706)/6</f>
        <v>-5582.833333333333</v>
      </c>
      <c r="Z23" s="11">
        <f t="shared" si="68"/>
        <v>-5582.833333333333</v>
      </c>
      <c r="AA23" s="11">
        <f t="shared" si="68"/>
        <v>-5582.833333333333</v>
      </c>
      <c r="AB23" s="11">
        <f t="shared" si="68"/>
        <v>-5582.833333333333</v>
      </c>
      <c r="AC23" s="11">
        <f t="shared" si="68"/>
        <v>-5582.833333333333</v>
      </c>
      <c r="CL23" s="11"/>
      <c r="CM23" s="11">
        <f>-136268</f>
        <v>-136268</v>
      </c>
      <c r="CN23" s="11">
        <f>-110364</f>
        <v>-110364</v>
      </c>
      <c r="CO23" s="11">
        <f t="shared" si="63"/>
        <v>-189761.59234</v>
      </c>
      <c r="CP23" s="11">
        <f t="shared" si="63"/>
        <v>-114202.99999999997</v>
      </c>
      <c r="CQ23" s="11">
        <f t="shared" si="63"/>
        <v>0</v>
      </c>
      <c r="CR23" s="11">
        <f t="shared" si="63"/>
        <v>0</v>
      </c>
      <c r="CS23" s="11">
        <f t="shared" si="63"/>
        <v>0</v>
      </c>
      <c r="CT23" s="11">
        <f t="shared" si="64"/>
        <v>0</v>
      </c>
      <c r="CU23" s="11">
        <f t="shared" si="64"/>
        <v>0</v>
      </c>
    </row>
    <row r="24" spans="2:99" x14ac:dyDescent="0.2">
      <c r="B24" s="92"/>
      <c r="C24" s="91"/>
      <c r="D24" s="9"/>
      <c r="E24" s="9"/>
    </row>
    <row r="25" spans="2:99" s="12" customFormat="1" x14ac:dyDescent="0.2">
      <c r="B25" s="88" t="s">
        <v>62</v>
      </c>
      <c r="C25" s="89" t="s">
        <v>4</v>
      </c>
      <c r="D25" s="13"/>
      <c r="E25" s="13"/>
      <c r="F25" s="14">
        <f>F18+F20+F22+F23</f>
        <v>875.60499814837385</v>
      </c>
      <c r="G25" s="14">
        <f t="shared" ref="G25:BR25" si="69">G18+G20+G22+G23</f>
        <v>4011.929937553894</v>
      </c>
      <c r="H25" s="14">
        <f t="shared" si="69"/>
        <v>3037.4874478909423</v>
      </c>
      <c r="I25" s="14">
        <f t="shared" si="69"/>
        <v>5199.3750333593125</v>
      </c>
      <c r="J25" s="14">
        <f t="shared" si="69"/>
        <v>4276.2575653254244</v>
      </c>
      <c r="K25" s="14">
        <f t="shared" si="69"/>
        <v>3327.6306118986486</v>
      </c>
      <c r="L25" s="14">
        <f t="shared" si="69"/>
        <v>5574.7853950994249</v>
      </c>
      <c r="M25" s="14">
        <f t="shared" si="69"/>
        <v>4728.3844675171931</v>
      </c>
      <c r="N25" s="14">
        <f t="shared" si="69"/>
        <v>4630.6202887209365</v>
      </c>
      <c r="O25" s="14">
        <f t="shared" si="69"/>
        <v>3776.0260399708932</v>
      </c>
      <c r="P25" s="14">
        <f t="shared" si="69"/>
        <v>5489.1831618713422</v>
      </c>
      <c r="Q25" s="14">
        <f t="shared" si="69"/>
        <v>7228.5522489510877</v>
      </c>
      <c r="R25" s="14">
        <f t="shared" si="69"/>
        <v>3363.7902809963598</v>
      </c>
      <c r="S25" s="14">
        <f t="shared" si="69"/>
        <v>1008.6105023393902</v>
      </c>
      <c r="T25" s="14">
        <f t="shared" si="69"/>
        <v>13443.08901048484</v>
      </c>
      <c r="U25" s="14">
        <f t="shared" si="69"/>
        <v>2707.7141960278732</v>
      </c>
      <c r="V25" s="14">
        <f t="shared" si="69"/>
        <v>4690.0105123442445</v>
      </c>
      <c r="W25" s="14">
        <f t="shared" si="69"/>
        <v>4689.1577884778781</v>
      </c>
      <c r="X25" s="14">
        <f t="shared" si="69"/>
        <v>6327.8071762045629</v>
      </c>
      <c r="Y25" s="14">
        <f t="shared" si="69"/>
        <v>6160.5379469468089</v>
      </c>
      <c r="Z25" s="14">
        <f t="shared" si="69"/>
        <v>6321.8007500830345</v>
      </c>
      <c r="AA25" s="14">
        <f t="shared" si="69"/>
        <v>12343.270018912419</v>
      </c>
      <c r="AB25" s="14">
        <f t="shared" si="69"/>
        <v>12017.995908504086</v>
      </c>
      <c r="AC25" s="14">
        <f t="shared" si="69"/>
        <v>14846.846230611842</v>
      </c>
      <c r="AD25" s="14">
        <f t="shared" si="69"/>
        <v>5764.852853052118</v>
      </c>
      <c r="AE25" s="14">
        <f t="shared" si="69"/>
        <v>6320.1374212581613</v>
      </c>
      <c r="AF25" s="14">
        <f t="shared" si="69"/>
        <v>8732.6074322428212</v>
      </c>
      <c r="AG25" s="14">
        <f t="shared" si="69"/>
        <v>8652.4972784412839</v>
      </c>
      <c r="AH25" s="14">
        <f t="shared" si="69"/>
        <v>9011.8444914962311</v>
      </c>
      <c r="AI25" s="14">
        <f t="shared" si="69"/>
        <v>9158.2218964688909</v>
      </c>
      <c r="AJ25" s="14">
        <f t="shared" si="69"/>
        <v>7615.8958260446198</v>
      </c>
      <c r="AK25" s="14">
        <f t="shared" si="69"/>
        <v>13933.880591202062</v>
      </c>
      <c r="AL25" s="14">
        <f t="shared" si="69"/>
        <v>15622.571565779986</v>
      </c>
      <c r="AM25" s="14">
        <f t="shared" si="69"/>
        <v>15130.392493299891</v>
      </c>
      <c r="AN25" s="14">
        <f t="shared" si="69"/>
        <v>15624.695734815594</v>
      </c>
      <c r="AO25" s="14">
        <f t="shared" si="69"/>
        <v>20620.460928857316</v>
      </c>
      <c r="AP25" s="14">
        <f t="shared" si="69"/>
        <v>17805.534809164237</v>
      </c>
      <c r="AQ25" s="14">
        <f t="shared" si="69"/>
        <v>20743.991252944557</v>
      </c>
      <c r="AR25" s="14">
        <f t="shared" si="69"/>
        <v>24102.188116761128</v>
      </c>
      <c r="AS25" s="14">
        <f t="shared" si="69"/>
        <v>25264.142180039194</v>
      </c>
      <c r="AT25" s="14">
        <f t="shared" si="69"/>
        <v>26580.181182122189</v>
      </c>
      <c r="AU25" s="14">
        <f t="shared" si="69"/>
        <v>26266.778723537111</v>
      </c>
      <c r="AV25" s="14">
        <f t="shared" si="69"/>
        <v>27082.828222111297</v>
      </c>
      <c r="AW25" s="14">
        <f t="shared" si="69"/>
        <v>26849.520073259791</v>
      </c>
      <c r="AX25" s="14">
        <f t="shared" si="69"/>
        <v>25886.857700538181</v>
      </c>
      <c r="AY25" s="14">
        <f t="shared" si="69"/>
        <v>24953.45173901724</v>
      </c>
      <c r="AZ25" s="14">
        <f t="shared" si="69"/>
        <v>23433.67421766802</v>
      </c>
      <c r="BA25" s="14">
        <f t="shared" si="69"/>
        <v>33123.307540076385</v>
      </c>
      <c r="BB25" s="14">
        <f t="shared" si="69"/>
        <v>23247.319496179774</v>
      </c>
      <c r="BC25" s="14">
        <f t="shared" si="69"/>
        <v>25148.616729320856</v>
      </c>
      <c r="BD25" s="14">
        <f t="shared" si="69"/>
        <v>28156.755086925012</v>
      </c>
      <c r="BE25" s="14">
        <f t="shared" si="69"/>
        <v>29977.436758181473</v>
      </c>
      <c r="BF25" s="14">
        <f t="shared" si="69"/>
        <v>31782.257480434862</v>
      </c>
      <c r="BG25" s="14">
        <f t="shared" si="69"/>
        <v>32710.909793207855</v>
      </c>
      <c r="BH25" s="14">
        <f t="shared" si="69"/>
        <v>33658.050939274472</v>
      </c>
      <c r="BI25" s="14">
        <f t="shared" si="69"/>
        <v>32010.388919929617</v>
      </c>
      <c r="BJ25" s="14">
        <f t="shared" si="69"/>
        <v>30679.276437141227</v>
      </c>
      <c r="BK25" s="14">
        <f t="shared" si="69"/>
        <v>29388.437893609909</v>
      </c>
      <c r="BL25" s="14">
        <f t="shared" si="69"/>
        <v>28138.010631306108</v>
      </c>
      <c r="BM25" s="14">
        <f t="shared" si="69"/>
        <v>40683.518762788794</v>
      </c>
      <c r="BN25" s="14">
        <f t="shared" si="69"/>
        <v>28044.915352024462</v>
      </c>
      <c r="BO25" s="14">
        <f t="shared" si="69"/>
        <v>30254.80697118762</v>
      </c>
      <c r="BP25" s="14">
        <f t="shared" si="69"/>
        <v>34900.680467490907</v>
      </c>
      <c r="BQ25" s="14">
        <f t="shared" si="69"/>
        <v>37014.358422995298</v>
      </c>
      <c r="BR25" s="14">
        <f t="shared" si="69"/>
        <v>39115.114045279974</v>
      </c>
      <c r="BS25" s="14">
        <f t="shared" ref="BS25:BV25" si="70">BS18+BS20+BS22+BS23</f>
        <v>40194.005899202042</v>
      </c>
      <c r="BT25" s="14">
        <f t="shared" si="70"/>
        <v>41294.496959611744</v>
      </c>
      <c r="BU25" s="14">
        <f t="shared" si="70"/>
        <v>39371.494648433945</v>
      </c>
      <c r="BV25" s="14">
        <f t="shared" si="70"/>
        <v>37814.779655419152</v>
      </c>
      <c r="BW25" s="14">
        <f t="shared" ref="BW25:BX25" si="71">BW18+BW20+BW22+BW23</f>
        <v>37343.90430159567</v>
      </c>
      <c r="BX25" s="14">
        <f t="shared" si="71"/>
        <v>34842.460868759706</v>
      </c>
      <c r="BY25" s="14">
        <f t="shared" ref="BY25:CK25" si="72">BY18+BY20+BY22+BY23</f>
        <v>49485.227712135878</v>
      </c>
      <c r="BZ25" s="14">
        <f t="shared" si="72"/>
        <v>32669.510675347279</v>
      </c>
      <c r="CA25" s="14">
        <f t="shared" si="72"/>
        <v>34877.404766118787</v>
      </c>
      <c r="CB25" s="14">
        <f t="shared" si="72"/>
        <v>41462.790147023043</v>
      </c>
      <c r="CC25" s="14">
        <f t="shared" si="72"/>
        <v>43883.140998553543</v>
      </c>
      <c r="CD25" s="14">
        <f t="shared" si="72"/>
        <v>46277.673034269224</v>
      </c>
      <c r="CE25" s="14">
        <f t="shared" si="72"/>
        <v>47512.513277480815</v>
      </c>
      <c r="CF25" s="14">
        <f t="shared" si="72"/>
        <v>48772.439848374437</v>
      </c>
      <c r="CG25" s="14">
        <f t="shared" si="72"/>
        <v>46591.138663212951</v>
      </c>
      <c r="CH25" s="14">
        <f t="shared" si="72"/>
        <v>46080.488083556796</v>
      </c>
      <c r="CI25" s="14">
        <f t="shared" si="72"/>
        <v>44336.002958616205</v>
      </c>
      <c r="CJ25" s="14">
        <f t="shared" si="72"/>
        <v>41499.13327302711</v>
      </c>
      <c r="CK25" s="14">
        <f t="shared" si="72"/>
        <v>58115.643244979081</v>
      </c>
      <c r="CM25" s="14">
        <f>SUM(CM18,CM20,CM22:CM23)</f>
        <v>8205</v>
      </c>
      <c r="CN25" s="14">
        <f>SUM(CN18,CN20,CN22:CN23)</f>
        <v>18510</v>
      </c>
      <c r="CO25" s="14">
        <f t="shared" ref="CO25:CP25" si="73">SUM(CO18,CO20)</f>
        <v>57445.299836307415</v>
      </c>
      <c r="CP25" s="14">
        <f t="shared" si="73"/>
        <v>91779.630321933349</v>
      </c>
      <c r="CQ25" s="14">
        <f t="shared" ref="CQ25:CS25" si="74">SUM(CQ18,CQ20)</f>
        <v>136188.05851295905</v>
      </c>
      <c r="CR25" s="14">
        <f t="shared" si="74"/>
        <v>302092.45575723937</v>
      </c>
      <c r="CS25" s="14">
        <f t="shared" si="74"/>
        <v>365580.97892830009</v>
      </c>
      <c r="CT25" s="14">
        <f t="shared" ref="CT25:CU25" si="75">SUM(CT18,CT20)</f>
        <v>449676.2453041363</v>
      </c>
      <c r="CU25" s="14">
        <f t="shared" si="75"/>
        <v>532077.87897055899</v>
      </c>
    </row>
    <row r="26" spans="2:99" x14ac:dyDescent="0.2">
      <c r="B26" s="92"/>
      <c r="C26" s="91"/>
      <c r="D26" s="9" t="s">
        <v>322</v>
      </c>
      <c r="E26" s="9"/>
    </row>
    <row r="27" spans="2:99" x14ac:dyDescent="0.2">
      <c r="B27" s="90" t="s">
        <v>60</v>
      </c>
      <c r="C27" s="91" t="s">
        <v>4</v>
      </c>
      <c r="D27" s="234">
        <v>0.25</v>
      </c>
      <c r="E27" s="9"/>
      <c r="F27" s="11">
        <v>0</v>
      </c>
      <c r="G27" s="11">
        <v>0</v>
      </c>
      <c r="H27" s="11">
        <v>-369</v>
      </c>
      <c r="I27" s="11">
        <v>-1929.8381803333345</v>
      </c>
      <c r="J27" s="11">
        <v>-341.59955139674423</v>
      </c>
      <c r="K27" s="11">
        <v>-447.96867929024523</v>
      </c>
      <c r="L27" s="11">
        <f>-L25*0.2</f>
        <v>-1114.957079019885</v>
      </c>
      <c r="M27" s="11">
        <f t="shared" ref="M27:Q27" si="76">-M25*0.2</f>
        <v>-945.67689350343869</v>
      </c>
      <c r="N27" s="11">
        <f t="shared" si="76"/>
        <v>-926.12405774418733</v>
      </c>
      <c r="O27" s="11">
        <f t="shared" si="76"/>
        <v>-755.20520799417864</v>
      </c>
      <c r="P27" s="11">
        <f t="shared" si="76"/>
        <v>-1097.8366323742684</v>
      </c>
      <c r="Q27" s="11">
        <f t="shared" si="76"/>
        <v>-1445.7104497902176</v>
      </c>
      <c r="R27" s="11">
        <f>-R25*$D27</f>
        <v>-840.94757024908995</v>
      </c>
      <c r="S27" s="11">
        <f t="shared" ref="S27:BX27" si="77">-S25*$D27</f>
        <v>-252.15262558484756</v>
      </c>
      <c r="T27" s="11">
        <f>-T25*$D27</f>
        <v>-3360.7722526212101</v>
      </c>
      <c r="U27" s="11">
        <f t="shared" si="77"/>
        <v>-676.9285490069683</v>
      </c>
      <c r="V27" s="11">
        <f t="shared" si="77"/>
        <v>-1172.5026280860611</v>
      </c>
      <c r="W27" s="11">
        <f t="shared" si="77"/>
        <v>-1172.2894471194695</v>
      </c>
      <c r="X27" s="11">
        <f t="shared" si="77"/>
        <v>-1581.9517940511407</v>
      </c>
      <c r="Y27" s="11">
        <f t="shared" si="77"/>
        <v>-1540.1344867367022</v>
      </c>
      <c r="Z27" s="11">
        <f t="shared" si="77"/>
        <v>-1580.4501875207586</v>
      </c>
      <c r="AA27" s="11">
        <f t="shared" si="77"/>
        <v>-3085.8175047281047</v>
      </c>
      <c r="AB27" s="11">
        <f t="shared" si="77"/>
        <v>-3004.4989771260216</v>
      </c>
      <c r="AC27" s="11">
        <f t="shared" si="77"/>
        <v>-3711.7115576529604</v>
      </c>
      <c r="AD27" s="11">
        <f t="shared" si="77"/>
        <v>-1441.2132132630295</v>
      </c>
      <c r="AE27" s="11">
        <f t="shared" si="77"/>
        <v>-1580.0343553145403</v>
      </c>
      <c r="AF27" s="11">
        <f t="shared" si="77"/>
        <v>-2183.1518580607053</v>
      </c>
      <c r="AG27" s="11">
        <f t="shared" si="77"/>
        <v>-2163.124319610321</v>
      </c>
      <c r="AH27" s="11">
        <f t="shared" si="77"/>
        <v>-2252.9611228740578</v>
      </c>
      <c r="AI27" s="11">
        <f t="shared" si="77"/>
        <v>-2289.5554741172227</v>
      </c>
      <c r="AJ27" s="11">
        <f t="shared" si="77"/>
        <v>-1903.9739565111549</v>
      </c>
      <c r="AK27" s="11">
        <f t="shared" si="77"/>
        <v>-3483.4701478005154</v>
      </c>
      <c r="AL27" s="11">
        <f t="shared" si="77"/>
        <v>-3905.6428914449966</v>
      </c>
      <c r="AM27" s="11">
        <f t="shared" si="77"/>
        <v>-3782.5981233249727</v>
      </c>
      <c r="AN27" s="11">
        <f t="shared" si="77"/>
        <v>-3906.1739337038985</v>
      </c>
      <c r="AO27" s="11">
        <f t="shared" si="77"/>
        <v>-5155.1152322143289</v>
      </c>
      <c r="AP27" s="11">
        <f t="shared" si="77"/>
        <v>-4451.3837022910593</v>
      </c>
      <c r="AQ27" s="11">
        <f t="shared" si="77"/>
        <v>-5185.9978132361393</v>
      </c>
      <c r="AR27" s="11">
        <f t="shared" si="77"/>
        <v>-6025.547029190282</v>
      </c>
      <c r="AS27" s="11">
        <f t="shared" si="77"/>
        <v>-6316.0355450097986</v>
      </c>
      <c r="AT27" s="11">
        <f t="shared" si="77"/>
        <v>-6645.0452955305473</v>
      </c>
      <c r="AU27" s="11">
        <f t="shared" si="77"/>
        <v>-6566.6946808842777</v>
      </c>
      <c r="AV27" s="11">
        <f t="shared" si="77"/>
        <v>-6770.7070555278242</v>
      </c>
      <c r="AW27" s="11">
        <f t="shared" si="77"/>
        <v>-6712.3800183149478</v>
      </c>
      <c r="AX27" s="11">
        <f t="shared" si="77"/>
        <v>-6471.7144251345453</v>
      </c>
      <c r="AY27" s="11">
        <f t="shared" si="77"/>
        <v>-6238.3629347543101</v>
      </c>
      <c r="AZ27" s="11">
        <f t="shared" si="77"/>
        <v>-5858.418554417005</v>
      </c>
      <c r="BA27" s="11">
        <f t="shared" si="77"/>
        <v>-8280.8268850190962</v>
      </c>
      <c r="BB27" s="11">
        <f t="shared" si="77"/>
        <v>-5811.8298740449436</v>
      </c>
      <c r="BC27" s="11">
        <f t="shared" si="77"/>
        <v>-6287.1541823302141</v>
      </c>
      <c r="BD27" s="11">
        <f t="shared" si="77"/>
        <v>-7039.1887717312529</v>
      </c>
      <c r="BE27" s="11">
        <f t="shared" si="77"/>
        <v>-7494.3591895453683</v>
      </c>
      <c r="BF27" s="11">
        <f t="shared" si="77"/>
        <v>-7945.5643701087156</v>
      </c>
      <c r="BG27" s="11">
        <f t="shared" si="77"/>
        <v>-8177.7274483019637</v>
      </c>
      <c r="BH27" s="11">
        <f t="shared" si="77"/>
        <v>-8414.5127348186179</v>
      </c>
      <c r="BI27" s="11">
        <f t="shared" si="77"/>
        <v>-8002.5972299824043</v>
      </c>
      <c r="BJ27" s="11">
        <f t="shared" si="77"/>
        <v>-7669.8191092853067</v>
      </c>
      <c r="BK27" s="11">
        <f t="shared" si="77"/>
        <v>-7347.1094734024773</v>
      </c>
      <c r="BL27" s="11">
        <f t="shared" si="77"/>
        <v>-7034.502657826527</v>
      </c>
      <c r="BM27" s="11">
        <f t="shared" si="77"/>
        <v>-10170.879690697198</v>
      </c>
      <c r="BN27" s="11">
        <f t="shared" si="77"/>
        <v>-7011.2288380061154</v>
      </c>
      <c r="BO27" s="11">
        <f t="shared" si="77"/>
        <v>-7563.7017427969049</v>
      </c>
      <c r="BP27" s="11">
        <f t="shared" si="77"/>
        <v>-8725.1701168727268</v>
      </c>
      <c r="BQ27" s="11">
        <f t="shared" si="77"/>
        <v>-9253.5896057488244</v>
      </c>
      <c r="BR27" s="11">
        <f t="shared" si="77"/>
        <v>-9778.7785113199934</v>
      </c>
      <c r="BS27" s="11">
        <f t="shared" si="77"/>
        <v>-10048.501474800511</v>
      </c>
      <c r="BT27" s="11">
        <f t="shared" si="77"/>
        <v>-10323.624239902936</v>
      </c>
      <c r="BU27" s="11">
        <f t="shared" si="77"/>
        <v>-9842.8736621084863</v>
      </c>
      <c r="BV27" s="11">
        <f t="shared" si="77"/>
        <v>-9453.694913854788</v>
      </c>
      <c r="BW27" s="11">
        <f t="shared" si="77"/>
        <v>-9335.9760753989176</v>
      </c>
      <c r="BX27" s="11">
        <f t="shared" si="77"/>
        <v>-8710.6152171899266</v>
      </c>
      <c r="BY27" s="11">
        <f t="shared" ref="BY27:CK27" si="78">-BY25*$D27</f>
        <v>-12371.30692803397</v>
      </c>
      <c r="BZ27" s="11">
        <f t="shared" si="78"/>
        <v>-8167.3776688368198</v>
      </c>
      <c r="CA27" s="11">
        <f t="shared" si="78"/>
        <v>-8719.3511915296967</v>
      </c>
      <c r="CB27" s="11">
        <f t="shared" si="78"/>
        <v>-10365.697536755761</v>
      </c>
      <c r="CC27" s="11">
        <f t="shared" si="78"/>
        <v>-10970.785249638386</v>
      </c>
      <c r="CD27" s="11">
        <f t="shared" si="78"/>
        <v>-11569.418258567306</v>
      </c>
      <c r="CE27" s="11">
        <f t="shared" si="78"/>
        <v>-11878.128319370204</v>
      </c>
      <c r="CF27" s="11">
        <f t="shared" si="78"/>
        <v>-12193.109962093609</v>
      </c>
      <c r="CG27" s="11">
        <f t="shared" si="78"/>
        <v>-11647.784665803238</v>
      </c>
      <c r="CH27" s="11">
        <f t="shared" si="78"/>
        <v>-11520.122020889199</v>
      </c>
      <c r="CI27" s="11">
        <f t="shared" si="78"/>
        <v>-11084.000739654051</v>
      </c>
      <c r="CJ27" s="11">
        <f t="shared" si="78"/>
        <v>-10374.783318256777</v>
      </c>
      <c r="CK27" s="11">
        <f t="shared" si="78"/>
        <v>-14528.91081124477</v>
      </c>
      <c r="CM27" s="11">
        <f>-840</f>
        <v>-840</v>
      </c>
      <c r="CN27" s="11">
        <f>-2925</f>
        <v>-2925</v>
      </c>
      <c r="CO27" s="11">
        <f>SUMIF($F$2:$CK$2,CO$3,$F27:$CK27)</f>
        <v>-9373.9167314464994</v>
      </c>
      <c r="CP27" s="11">
        <f>SUMIF($L$2:$CK$2,CP$3,$L27:$CK27)</f>
        <v>-21980.157580483337</v>
      </c>
      <c r="CQ27" s="11">
        <f>SUMIF($L$2:$CK$2,CQ$3,$L27:$CK27)</f>
        <v>-34047.014628239747</v>
      </c>
      <c r="CR27" s="11">
        <f>SUMIF($L$2:$CK$2,CR$3,$L27:$CK27)</f>
        <v>-75523.113939309842</v>
      </c>
      <c r="CS27" s="11">
        <f>SUMIF($L$2:$CK$2,CS$3,$L27:$CK27)</f>
        <v>-91395.244732074992</v>
      </c>
      <c r="CT27" s="11">
        <f t="shared" ref="CT27:CU27" si="79">SUMIF($L$2:$CK$2,CT$3,$L27:$CK27)</f>
        <v>-112419.06132603412</v>
      </c>
      <c r="CU27" s="11">
        <f t="shared" si="79"/>
        <v>-133019.46974263981</v>
      </c>
    </row>
    <row r="28" spans="2:99" x14ac:dyDescent="0.2">
      <c r="B28" s="92"/>
      <c r="C28" s="91"/>
      <c r="D28" s="9"/>
      <c r="E28" s="9"/>
    </row>
    <row r="29" spans="2:99" s="12" customFormat="1" x14ac:dyDescent="0.2">
      <c r="B29" s="88" t="s">
        <v>57</v>
      </c>
      <c r="C29" s="89" t="s">
        <v>4</v>
      </c>
      <c r="D29" s="13"/>
      <c r="E29" s="13"/>
      <c r="F29" s="93">
        <f t="shared" ref="F29:K29" si="80">F25+F27</f>
        <v>875.60499814837385</v>
      </c>
      <c r="G29" s="93">
        <f t="shared" si="80"/>
        <v>4011.929937553894</v>
      </c>
      <c r="H29" s="93">
        <f t="shared" si="80"/>
        <v>2668.4874478909423</v>
      </c>
      <c r="I29" s="93">
        <f t="shared" si="80"/>
        <v>3269.536853025978</v>
      </c>
      <c r="J29" s="93">
        <f t="shared" si="80"/>
        <v>3934.6580139286802</v>
      </c>
      <c r="K29" s="93">
        <f t="shared" si="80"/>
        <v>2879.6619326084033</v>
      </c>
      <c r="L29" s="93">
        <f>L25+L27</f>
        <v>4459.8283160795399</v>
      </c>
      <c r="M29" s="93">
        <f t="shared" ref="M29:AW29" si="81">M25+M27</f>
        <v>3782.7075740137543</v>
      </c>
      <c r="N29" s="93">
        <f t="shared" si="81"/>
        <v>3704.4962309767493</v>
      </c>
      <c r="O29" s="93">
        <f t="shared" si="81"/>
        <v>3020.8208319767145</v>
      </c>
      <c r="P29" s="93">
        <f t="shared" si="81"/>
        <v>4391.3465294970738</v>
      </c>
      <c r="Q29" s="93">
        <f t="shared" si="81"/>
        <v>5782.8417991608703</v>
      </c>
      <c r="R29" s="93">
        <f t="shared" si="81"/>
        <v>2522.8427107472698</v>
      </c>
      <c r="S29" s="93">
        <f t="shared" si="81"/>
        <v>756.45787675454267</v>
      </c>
      <c r="T29" s="93">
        <f t="shared" si="81"/>
        <v>10082.316757863631</v>
      </c>
      <c r="U29" s="93">
        <f t="shared" si="81"/>
        <v>2030.7856470209049</v>
      </c>
      <c r="V29" s="93">
        <f t="shared" si="81"/>
        <v>3517.5078842581834</v>
      </c>
      <c r="W29" s="93">
        <f t="shared" si="81"/>
        <v>3516.8683413584085</v>
      </c>
      <c r="X29" s="93">
        <f t="shared" si="81"/>
        <v>4745.8553821534224</v>
      </c>
      <c r="Y29" s="93">
        <f t="shared" si="81"/>
        <v>4620.4034602101065</v>
      </c>
      <c r="Z29" s="93">
        <f t="shared" si="81"/>
        <v>4741.3505625622756</v>
      </c>
      <c r="AA29" s="93">
        <f t="shared" si="81"/>
        <v>9257.4525141843151</v>
      </c>
      <c r="AB29" s="93">
        <f t="shared" si="81"/>
        <v>9013.4969313780639</v>
      </c>
      <c r="AC29" s="93">
        <f t="shared" si="81"/>
        <v>11135.13467295888</v>
      </c>
      <c r="AD29" s="93">
        <f t="shared" si="81"/>
        <v>4323.6396397890885</v>
      </c>
      <c r="AE29" s="93">
        <f t="shared" si="81"/>
        <v>4740.103065943621</v>
      </c>
      <c r="AF29" s="93">
        <f t="shared" si="81"/>
        <v>6549.4555741821159</v>
      </c>
      <c r="AG29" s="93">
        <f t="shared" si="81"/>
        <v>6489.3729588309634</v>
      </c>
      <c r="AH29" s="93">
        <f t="shared" si="81"/>
        <v>6758.8833686221733</v>
      </c>
      <c r="AI29" s="93">
        <f t="shared" si="81"/>
        <v>6868.6664223516682</v>
      </c>
      <c r="AJ29" s="93">
        <f t="shared" si="81"/>
        <v>5711.9218695334648</v>
      </c>
      <c r="AK29" s="93">
        <f t="shared" si="81"/>
        <v>10450.410443401546</v>
      </c>
      <c r="AL29" s="93">
        <f t="shared" si="81"/>
        <v>11716.928674334989</v>
      </c>
      <c r="AM29" s="93">
        <f t="shared" si="81"/>
        <v>11347.794369974918</v>
      </c>
      <c r="AN29" s="93">
        <f t="shared" si="81"/>
        <v>11718.521801111696</v>
      </c>
      <c r="AO29" s="93">
        <f t="shared" si="81"/>
        <v>15465.345696642988</v>
      </c>
      <c r="AP29" s="93">
        <f t="shared" si="81"/>
        <v>13354.151106873178</v>
      </c>
      <c r="AQ29" s="93">
        <f t="shared" si="81"/>
        <v>15557.993439708418</v>
      </c>
      <c r="AR29" s="93">
        <f t="shared" si="81"/>
        <v>18076.641087570846</v>
      </c>
      <c r="AS29" s="93">
        <f t="shared" si="81"/>
        <v>18948.106635029395</v>
      </c>
      <c r="AT29" s="93">
        <f t="shared" si="81"/>
        <v>19935.135886591641</v>
      </c>
      <c r="AU29" s="93">
        <f t="shared" si="81"/>
        <v>19700.084042652834</v>
      </c>
      <c r="AV29" s="93">
        <f t="shared" si="81"/>
        <v>20312.121166583471</v>
      </c>
      <c r="AW29" s="93">
        <f t="shared" si="81"/>
        <v>20137.140054944844</v>
      </c>
      <c r="AX29" s="93">
        <f t="shared" ref="AX29:BU29" si="82">AX25+AX27</f>
        <v>19415.143275403636</v>
      </c>
      <c r="AY29" s="93">
        <f t="shared" si="82"/>
        <v>18715.08880426293</v>
      </c>
      <c r="AZ29" s="93">
        <f t="shared" si="82"/>
        <v>17575.255663251017</v>
      </c>
      <c r="BA29" s="93">
        <f t="shared" si="82"/>
        <v>24842.48065505729</v>
      </c>
      <c r="BB29" s="93">
        <f t="shared" si="82"/>
        <v>17435.489622134832</v>
      </c>
      <c r="BC29" s="93">
        <f t="shared" si="82"/>
        <v>18861.462546990642</v>
      </c>
      <c r="BD29" s="93">
        <f t="shared" si="82"/>
        <v>21117.566315193759</v>
      </c>
      <c r="BE29" s="93">
        <f t="shared" si="82"/>
        <v>22483.077568636105</v>
      </c>
      <c r="BF29" s="93">
        <f t="shared" si="82"/>
        <v>23836.693110326145</v>
      </c>
      <c r="BG29" s="93">
        <f t="shared" si="82"/>
        <v>24533.18234490589</v>
      </c>
      <c r="BH29" s="93">
        <f t="shared" si="82"/>
        <v>25243.538204455854</v>
      </c>
      <c r="BI29" s="93">
        <f t="shared" si="82"/>
        <v>24007.791689947211</v>
      </c>
      <c r="BJ29" s="93">
        <f t="shared" si="82"/>
        <v>23009.457327855918</v>
      </c>
      <c r="BK29" s="93">
        <f t="shared" si="82"/>
        <v>22041.328420207432</v>
      </c>
      <c r="BL29" s="93">
        <f t="shared" si="82"/>
        <v>21103.50797347958</v>
      </c>
      <c r="BM29" s="93">
        <f t="shared" si="82"/>
        <v>30512.639072091595</v>
      </c>
      <c r="BN29" s="93">
        <f t="shared" si="82"/>
        <v>21033.686514018347</v>
      </c>
      <c r="BO29" s="93">
        <f t="shared" si="82"/>
        <v>22691.105228390716</v>
      </c>
      <c r="BP29" s="93">
        <f t="shared" si="82"/>
        <v>26175.51035061818</v>
      </c>
      <c r="BQ29" s="93">
        <f t="shared" si="82"/>
        <v>27760.768817246473</v>
      </c>
      <c r="BR29" s="93">
        <f t="shared" si="82"/>
        <v>29336.33553395998</v>
      </c>
      <c r="BS29" s="93">
        <f t="shared" si="82"/>
        <v>30145.50442440153</v>
      </c>
      <c r="BT29" s="93">
        <f t="shared" si="82"/>
        <v>30970.872719708808</v>
      </c>
      <c r="BU29" s="93">
        <f t="shared" si="82"/>
        <v>29528.620986325459</v>
      </c>
      <c r="BV29" s="93">
        <f t="shared" ref="BV29:BX29" si="83">BV25+BV27</f>
        <v>28361.084741564366</v>
      </c>
      <c r="BW29" s="93">
        <f t="shared" si="83"/>
        <v>28007.928226196753</v>
      </c>
      <c r="BX29" s="93">
        <f t="shared" si="83"/>
        <v>26131.84565156978</v>
      </c>
      <c r="BY29" s="93">
        <f t="shared" ref="BY29:CK29" si="84">BY25+BY27</f>
        <v>37113.920784101909</v>
      </c>
      <c r="BZ29" s="93">
        <f t="shared" si="84"/>
        <v>24502.133006510459</v>
      </c>
      <c r="CA29" s="93">
        <f t="shared" si="84"/>
        <v>26158.053574589088</v>
      </c>
      <c r="CB29" s="93">
        <f t="shared" si="84"/>
        <v>31097.092610267282</v>
      </c>
      <c r="CC29" s="93">
        <f t="shared" si="84"/>
        <v>32912.355748915157</v>
      </c>
      <c r="CD29" s="93">
        <f t="shared" si="84"/>
        <v>34708.25477570192</v>
      </c>
      <c r="CE29" s="93">
        <f t="shared" si="84"/>
        <v>35634.384958110611</v>
      </c>
      <c r="CF29" s="93">
        <f t="shared" si="84"/>
        <v>36579.32988628083</v>
      </c>
      <c r="CG29" s="93">
        <f t="shared" si="84"/>
        <v>34943.353997409715</v>
      </c>
      <c r="CH29" s="93">
        <f t="shared" si="84"/>
        <v>34560.366062667599</v>
      </c>
      <c r="CI29" s="93">
        <f t="shared" si="84"/>
        <v>33252.002218962152</v>
      </c>
      <c r="CJ29" s="93">
        <f t="shared" si="84"/>
        <v>31124.349954770332</v>
      </c>
      <c r="CK29" s="93">
        <f t="shared" si="84"/>
        <v>43586.732433734309</v>
      </c>
      <c r="CM29" s="94">
        <f>CM25+CM27</f>
        <v>7365</v>
      </c>
      <c r="CN29" s="94">
        <f>CN25+CN27</f>
        <v>15585</v>
      </c>
      <c r="CO29" s="94">
        <f t="shared" ref="CO29:CP29" si="85">CO25+CO27</f>
        <v>48071.383104860914</v>
      </c>
      <c r="CP29" s="94">
        <f t="shared" si="85"/>
        <v>69799.472741450008</v>
      </c>
      <c r="CQ29" s="94">
        <f t="shared" ref="CQ29:CS29" si="86">CQ25+CQ27</f>
        <v>102141.0438847193</v>
      </c>
      <c r="CR29" s="94">
        <f t="shared" si="86"/>
        <v>226569.34181792953</v>
      </c>
      <c r="CS29" s="94">
        <f t="shared" si="86"/>
        <v>274185.73419622506</v>
      </c>
      <c r="CT29" s="94">
        <f t="shared" ref="CT29:CU29" si="87">CT25+CT27</f>
        <v>337257.18397810217</v>
      </c>
      <c r="CU29" s="94">
        <f t="shared" si="87"/>
        <v>399058.40922791918</v>
      </c>
    </row>
    <row r="30" spans="2:99" s="5" customFormat="1" x14ac:dyDescent="0.2">
      <c r="B30" s="5" t="s">
        <v>64</v>
      </c>
      <c r="C30" s="15" t="s">
        <v>59</v>
      </c>
      <c r="F30" s="16">
        <f t="shared" ref="F30:L30" si="88">F29/F4</f>
        <v>2.5649959501018386E-2</v>
      </c>
      <c r="G30" s="16">
        <f t="shared" si="88"/>
        <v>0.10823539336385382</v>
      </c>
      <c r="H30" s="16">
        <f t="shared" si="88"/>
        <v>7.7907101712876556E-2</v>
      </c>
      <c r="I30" s="16">
        <f t="shared" si="88"/>
        <v>8.2281479087627771E-2</v>
      </c>
      <c r="J30" s="16">
        <f t="shared" si="88"/>
        <v>0.10018394489838696</v>
      </c>
      <c r="K30" s="16">
        <f t="shared" si="88"/>
        <v>7.2203402122462651E-2</v>
      </c>
      <c r="L30" s="16">
        <f t="shared" si="88"/>
        <v>9.7734886622323033E-2</v>
      </c>
      <c r="M30" s="16">
        <f t="shared" ref="M30:CN30" si="89">M29/M4</f>
        <v>9.0222966770897403E-2</v>
      </c>
      <c r="N30" s="16">
        <f t="shared" si="89"/>
        <v>9.3392833634411518E-2</v>
      </c>
      <c r="O30" s="16">
        <f t="shared" si="89"/>
        <v>6.5582784046318857E-2</v>
      </c>
      <c r="P30" s="16">
        <f t="shared" si="89"/>
        <v>0.10131671862123828</v>
      </c>
      <c r="Q30" s="16">
        <f t="shared" si="89"/>
        <v>0.11212676754960217</v>
      </c>
      <c r="R30" s="16">
        <f t="shared" si="89"/>
        <v>6.7904169386869814E-2</v>
      </c>
      <c r="S30" s="16">
        <f t="shared" si="89"/>
        <v>2.2206533398358978E-2</v>
      </c>
      <c r="T30" s="16">
        <f t="shared" si="89"/>
        <v>0.21196790210957733</v>
      </c>
      <c r="U30" s="16">
        <f t="shared" si="89"/>
        <v>5.383634611555952E-2</v>
      </c>
      <c r="V30" s="16">
        <f t="shared" si="89"/>
        <v>9.0497317644327085E-2</v>
      </c>
      <c r="W30" s="16">
        <f t="shared" si="89"/>
        <v>8.8310964922743776E-2</v>
      </c>
      <c r="X30" s="16">
        <f t="shared" si="89"/>
        <v>9.2503120986499612E-2</v>
      </c>
      <c r="Y30" s="16">
        <f t="shared" si="89"/>
        <v>9.2065249600570151E-2</v>
      </c>
      <c r="Z30" s="16">
        <f t="shared" si="89"/>
        <v>9.3083283555877333E-2</v>
      </c>
      <c r="AA30" s="16">
        <f t="shared" si="89"/>
        <v>0.19312660039721186</v>
      </c>
      <c r="AB30" s="16">
        <f t="shared" si="89"/>
        <v>0.19294845120365259</v>
      </c>
      <c r="AC30" s="16">
        <f t="shared" si="89"/>
        <v>0.2031433912628228</v>
      </c>
      <c r="AD30" s="16">
        <f t="shared" si="89"/>
        <v>0.12457763156277195</v>
      </c>
      <c r="AE30" s="16">
        <f t="shared" si="89"/>
        <v>0.12920818866071845</v>
      </c>
      <c r="AF30" s="16">
        <f t="shared" si="89"/>
        <v>0.14284159260856791</v>
      </c>
      <c r="AG30" s="16">
        <f t="shared" si="89"/>
        <v>0.14248124260906309</v>
      </c>
      <c r="AH30" s="16">
        <f t="shared" si="89"/>
        <v>0.1427019521206217</v>
      </c>
      <c r="AI30" s="16">
        <f t="shared" si="89"/>
        <v>0.14202129820651946</v>
      </c>
      <c r="AJ30" s="16">
        <f t="shared" si="89"/>
        <v>0.11120555852189047</v>
      </c>
      <c r="AK30" s="16">
        <f t="shared" si="89"/>
        <v>0.15125594062818029</v>
      </c>
      <c r="AL30" s="16">
        <f t="shared" si="89"/>
        <v>0.15163084166786459</v>
      </c>
      <c r="AM30" s="16">
        <f t="shared" si="89"/>
        <v>0.14644033091239336</v>
      </c>
      <c r="AN30" s="16">
        <f t="shared" si="89"/>
        <v>0.14271893247589534</v>
      </c>
      <c r="AO30" s="16">
        <f t="shared" si="89"/>
        <v>0.15769993294375237</v>
      </c>
      <c r="AP30" s="16">
        <f t="shared" si="89"/>
        <v>0.15807768222176721</v>
      </c>
      <c r="AQ30" s="16">
        <f t="shared" si="89"/>
        <v>0.15794499618897639</v>
      </c>
      <c r="AR30" s="16">
        <f t="shared" si="89"/>
        <v>0.15168338761397052</v>
      </c>
      <c r="AS30" s="16">
        <f t="shared" si="89"/>
        <v>0.14753665116196987</v>
      </c>
      <c r="AT30" s="16">
        <f t="shared" si="89"/>
        <v>0.14901312917355217</v>
      </c>
      <c r="AU30" s="16">
        <f t="shared" si="89"/>
        <v>0.14431101755113102</v>
      </c>
      <c r="AV30" s="16">
        <f t="shared" si="89"/>
        <v>0.14581854627972765</v>
      </c>
      <c r="AW30" s="16">
        <f t="shared" si="89"/>
        <v>0.1521764891429396</v>
      </c>
      <c r="AX30" s="16">
        <f t="shared" ref="AX30:BU30" si="90">AX29/AX4</f>
        <v>0.15125809805650037</v>
      </c>
      <c r="AY30" s="16">
        <f t="shared" si="90"/>
        <v>0.15031357130823181</v>
      </c>
      <c r="AZ30" s="16">
        <f t="shared" si="90"/>
        <v>0.14858820872058437</v>
      </c>
      <c r="BA30" s="16">
        <f t="shared" si="90"/>
        <v>0.15752116660935928</v>
      </c>
      <c r="BB30" s="16">
        <f t="shared" si="90"/>
        <v>0.17809938455665386</v>
      </c>
      <c r="BC30" s="16">
        <f t="shared" si="90"/>
        <v>0.16457504849167812</v>
      </c>
      <c r="BD30" s="16">
        <f t="shared" si="90"/>
        <v>0.15238457099580097</v>
      </c>
      <c r="BE30" s="16">
        <f t="shared" si="90"/>
        <v>0.15058584222141946</v>
      </c>
      <c r="BF30" s="16">
        <f t="shared" si="90"/>
        <v>0.15326592887298077</v>
      </c>
      <c r="BG30" s="16">
        <f t="shared" si="90"/>
        <v>0.15458935279490832</v>
      </c>
      <c r="BH30" s="16">
        <f t="shared" si="90"/>
        <v>0.15588416271682162</v>
      </c>
      <c r="BI30" s="16">
        <f t="shared" si="90"/>
        <v>0.15604204644114453</v>
      </c>
      <c r="BJ30" s="16">
        <f t="shared" si="90"/>
        <v>0.15417858833911921</v>
      </c>
      <c r="BK30" s="16">
        <f t="shared" si="90"/>
        <v>0.15225926195248263</v>
      </c>
      <c r="BL30" s="16">
        <f t="shared" si="90"/>
        <v>0.15135011626495201</v>
      </c>
      <c r="BM30" s="16">
        <f t="shared" si="90"/>
        <v>0.16640385554839399</v>
      </c>
      <c r="BN30" s="16">
        <f t="shared" si="90"/>
        <v>0.18451261815829939</v>
      </c>
      <c r="BO30" s="16">
        <f t="shared" si="90"/>
        <v>0.17016464639350812</v>
      </c>
      <c r="BP30" s="16">
        <f t="shared" si="90"/>
        <v>0.16242664149023431</v>
      </c>
      <c r="BQ30" s="16">
        <f t="shared" si="90"/>
        <v>0.1599344767342632</v>
      </c>
      <c r="BR30" s="16">
        <f t="shared" si="90"/>
        <v>0.16225111932812952</v>
      </c>
      <c r="BS30" s="16">
        <f t="shared" si="90"/>
        <v>0.16339187944281724</v>
      </c>
      <c r="BT30" s="16">
        <f t="shared" si="90"/>
        <v>0.16450815517321707</v>
      </c>
      <c r="BU30" s="16">
        <f t="shared" si="90"/>
        <v>0.16506700148148443</v>
      </c>
      <c r="BV30" s="16">
        <f t="shared" ref="BV30:BX30" si="91">BV29/BV4</f>
        <v>0.16344370555975388</v>
      </c>
      <c r="BW30" s="16">
        <f t="shared" si="91"/>
        <v>0.16411262875226496</v>
      </c>
      <c r="BX30" s="16">
        <f t="shared" si="91"/>
        <v>0.16117864347072239</v>
      </c>
      <c r="BY30" s="16">
        <f t="shared" ref="BY30:CK30" si="92">BY29/BY4</f>
        <v>0.17405436961774579</v>
      </c>
      <c r="BZ30" s="16">
        <f t="shared" si="92"/>
        <v>0.18880564522070029</v>
      </c>
      <c r="CA30" s="16">
        <f t="shared" si="92"/>
        <v>0.17202912096809519</v>
      </c>
      <c r="CB30" s="16">
        <f t="shared" si="92"/>
        <v>0.16901767982956512</v>
      </c>
      <c r="CC30" s="16">
        <f t="shared" si="92"/>
        <v>0.16597124669584501</v>
      </c>
      <c r="CD30" s="16">
        <f t="shared" si="92"/>
        <v>0.16800321409214411</v>
      </c>
      <c r="CE30" s="16">
        <f t="shared" si="92"/>
        <v>0.16901290173005479</v>
      </c>
      <c r="CF30" s="16">
        <f t="shared" si="92"/>
        <v>0.17000125259918925</v>
      </c>
      <c r="CG30" s="16">
        <f t="shared" si="92"/>
        <v>0.17092393167860032</v>
      </c>
      <c r="CH30" s="16">
        <f t="shared" si="92"/>
        <v>0.17181020028959207</v>
      </c>
      <c r="CI30" s="16">
        <f t="shared" si="92"/>
        <v>0.17039466984265511</v>
      </c>
      <c r="CJ30" s="16">
        <f t="shared" si="92"/>
        <v>0.16786270843548035</v>
      </c>
      <c r="CK30" s="16">
        <f t="shared" si="92"/>
        <v>0.17878894760029987</v>
      </c>
      <c r="CM30" s="16">
        <f t="shared" ref="CM30" si="93">CM29/CM4</f>
        <v>2.3415592590944063E-2</v>
      </c>
      <c r="CN30" s="16">
        <f t="shared" si="89"/>
        <v>4.6261528277860064E-2</v>
      </c>
      <c r="CO30" s="16">
        <f t="shared" ref="CO30" si="94">CO29/CO4</f>
        <v>9.7596861218286771E-2</v>
      </c>
      <c r="CP30" s="16">
        <f t="shared" ref="CP30:CS30" si="95">CP29/CP4</f>
        <v>0.12995917058008838</v>
      </c>
      <c r="CQ30" s="16">
        <f t="shared" si="95"/>
        <v>0.1430724112479107</v>
      </c>
      <c r="CR30" s="16">
        <f t="shared" si="95"/>
        <v>0.15090973964828081</v>
      </c>
      <c r="CS30" s="16">
        <f t="shared" si="95"/>
        <v>0.15692804225561291</v>
      </c>
      <c r="CT30" s="16">
        <f t="shared" ref="CT30:CU30" si="96">CT29/CT4</f>
        <v>0.16580351033794</v>
      </c>
      <c r="CU30" s="16">
        <f t="shared" si="96"/>
        <v>0.17151522160468111</v>
      </c>
    </row>
    <row r="32" spans="2:99" x14ac:dyDescent="0.2">
      <c r="I32" s="11"/>
    </row>
    <row r="33" spans="2:100" x14ac:dyDescent="0.2">
      <c r="F33" s="14"/>
      <c r="G33" s="14"/>
      <c r="H33" s="14"/>
      <c r="I33" s="14"/>
    </row>
    <row r="34" spans="2:100" x14ac:dyDescent="0.2">
      <c r="H34" s="11"/>
    </row>
    <row r="36" spans="2:100" s="443" customFormat="1" x14ac:dyDescent="0.2">
      <c r="B36" s="20" t="s">
        <v>89</v>
      </c>
      <c r="G36" s="368">
        <f>G47/F47-1</f>
        <v>8.3862433862433861E-2</v>
      </c>
      <c r="H36" s="368">
        <f t="shared" ref="H36:AC36" si="97">H47/G47-1</f>
        <v>-7.5616304613131513E-2</v>
      </c>
      <c r="I36" s="368">
        <f t="shared" si="97"/>
        <v>0.15982630967469369</v>
      </c>
      <c r="J36" s="368">
        <f t="shared" si="97"/>
        <v>-1.2770466492590948E-2</v>
      </c>
      <c r="K36" s="368">
        <f t="shared" si="97"/>
        <v>1.6050179872705517E-2</v>
      </c>
      <c r="L36" s="368">
        <f t="shared" si="97"/>
        <v>0.1436016114389469</v>
      </c>
      <c r="M36" s="368">
        <f t="shared" si="97"/>
        <v>-8.1049813417473415E-2</v>
      </c>
      <c r="N36" s="368">
        <f t="shared" si="97"/>
        <v>-5.2767255532082502E-2</v>
      </c>
      <c r="O36" s="368">
        <f t="shared" si="97"/>
        <v>0.15965725799510544</v>
      </c>
      <c r="P36" s="368">
        <f t="shared" si="97"/>
        <v>-5.8217210582613088E-2</v>
      </c>
      <c r="Q36" s="368">
        <f t="shared" si="97"/>
        <v>0.18653938246038804</v>
      </c>
      <c r="R36" s="368">
        <f t="shared" si="97"/>
        <v>-0.28095522165322384</v>
      </c>
      <c r="S36" s="368">
        <f t="shared" si="97"/>
        <v>-8.312475230135985E-2</v>
      </c>
      <c r="T36" s="368">
        <f t="shared" si="97"/>
        <v>0.39632416479129806</v>
      </c>
      <c r="U36" s="368">
        <f t="shared" si="97"/>
        <v>-0.20695419413803184</v>
      </c>
      <c r="V36" s="368">
        <f t="shared" si="97"/>
        <v>3.0411896141465222E-2</v>
      </c>
      <c r="W36" s="368">
        <f t="shared" si="97"/>
        <v>2.4571113772078768E-2</v>
      </c>
      <c r="X36" s="368">
        <f t="shared" si="97"/>
        <v>0.28829889459437408</v>
      </c>
      <c r="Y36" s="368">
        <f t="shared" si="97"/>
        <v>-2.180362023832827E-2</v>
      </c>
      <c r="Z36" s="368">
        <f t="shared" si="97"/>
        <v>1.495364300401314E-2</v>
      </c>
      <c r="AA36" s="368">
        <f t="shared" si="97"/>
        <v>-5.893629226759145E-2</v>
      </c>
      <c r="AB36" s="368">
        <f t="shared" si="97"/>
        <v>-2.5453376718292731E-2</v>
      </c>
      <c r="AC36" s="368">
        <f t="shared" si="97"/>
        <v>0.17338560846678774</v>
      </c>
      <c r="AD36" s="368">
        <f>AD47/AC47-1</f>
        <v>-0.36683537282580159</v>
      </c>
      <c r="AE36" s="368">
        <f>(AE40+AE43+AE46)/(AD40+AD43+AD46)-1</f>
        <v>-7.3228514156563729E-2</v>
      </c>
      <c r="AF36" s="368">
        <f>(AF40+AF43+AF46)/(AE40+AE43+AE46)-1</f>
        <v>0.26957230264014376</v>
      </c>
      <c r="AG36" s="368">
        <f>(AG41+AG43+AG46)/(AF40+AF43+AF46)-1</f>
        <v>-1</v>
      </c>
      <c r="AH36" s="368" t="e">
        <f t="shared" ref="AH36:AN36" si="98">(AH41+AH43+AH46)/(AG41+AG43+AG46)-1</f>
        <v>#DIV/0!</v>
      </c>
      <c r="AI36" s="368" t="e">
        <f t="shared" si="98"/>
        <v>#DIV/0!</v>
      </c>
      <c r="AJ36" s="368" t="e">
        <f t="shared" si="98"/>
        <v>#DIV/0!</v>
      </c>
      <c r="AK36" s="368" t="e">
        <f t="shared" si="98"/>
        <v>#DIV/0!</v>
      </c>
      <c r="AL36" s="368" t="e">
        <f t="shared" si="98"/>
        <v>#DIV/0!</v>
      </c>
      <c r="AM36" s="368" t="e">
        <f t="shared" si="98"/>
        <v>#DIV/0!</v>
      </c>
      <c r="AN36" s="368" t="e">
        <f t="shared" si="98"/>
        <v>#DIV/0!</v>
      </c>
      <c r="AO36" s="368">
        <v>0.2</v>
      </c>
      <c r="AP36" s="368">
        <v>-0.2</v>
      </c>
      <c r="AQ36" s="368">
        <v>0.04</v>
      </c>
      <c r="AR36" s="443">
        <v>3</v>
      </c>
      <c r="AS36" s="443">
        <v>3</v>
      </c>
      <c r="AT36" s="443">
        <v>4</v>
      </c>
      <c r="AU36" s="443">
        <v>2</v>
      </c>
      <c r="AV36" s="443">
        <v>2</v>
      </c>
      <c r="AW36" s="443">
        <v>-3</v>
      </c>
      <c r="AX36" s="443">
        <v>-3</v>
      </c>
      <c r="AY36" s="443">
        <v>-3</v>
      </c>
      <c r="AZ36" s="443">
        <v>-8</v>
      </c>
      <c r="BA36" s="443">
        <v>25</v>
      </c>
      <c r="BB36" s="443">
        <v>-20</v>
      </c>
      <c r="BC36" s="443">
        <v>4</v>
      </c>
      <c r="BD36" s="443">
        <v>3</v>
      </c>
      <c r="BE36" s="443">
        <v>3</v>
      </c>
      <c r="BF36" s="443">
        <v>4</v>
      </c>
      <c r="BG36" s="443">
        <v>2</v>
      </c>
      <c r="BH36" s="443">
        <v>2</v>
      </c>
      <c r="BI36" s="443">
        <v>-3</v>
      </c>
      <c r="BJ36" s="443">
        <v>-3</v>
      </c>
      <c r="BK36" s="443">
        <v>-3</v>
      </c>
      <c r="BL36" s="443">
        <v>-8</v>
      </c>
      <c r="BM36" s="443">
        <v>25</v>
      </c>
      <c r="BN36" s="443">
        <v>-20</v>
      </c>
      <c r="BO36" s="443">
        <v>4</v>
      </c>
      <c r="BP36" s="443">
        <v>3</v>
      </c>
      <c r="BQ36" s="443">
        <v>3</v>
      </c>
      <c r="BR36" s="443">
        <v>4</v>
      </c>
      <c r="BS36" s="443">
        <v>2</v>
      </c>
      <c r="BT36" s="443">
        <v>2</v>
      </c>
      <c r="BU36" s="443">
        <v>-3</v>
      </c>
      <c r="BV36" s="443">
        <v>-3</v>
      </c>
      <c r="BW36" s="443">
        <v>-3</v>
      </c>
      <c r="BX36" s="443">
        <v>-8</v>
      </c>
      <c r="BY36" s="443">
        <v>-7</v>
      </c>
      <c r="BZ36" s="443">
        <v>-6</v>
      </c>
      <c r="CA36" s="443">
        <v>-5</v>
      </c>
      <c r="CB36" s="443">
        <v>-4</v>
      </c>
      <c r="CC36" s="443">
        <v>-3</v>
      </c>
      <c r="CD36" s="443">
        <v>-2</v>
      </c>
      <c r="CE36" s="443">
        <v>-1</v>
      </c>
      <c r="CF36" s="443">
        <v>0</v>
      </c>
      <c r="CG36" s="443">
        <v>1</v>
      </c>
      <c r="CH36" s="443">
        <v>2</v>
      </c>
      <c r="CI36" s="443">
        <v>3</v>
      </c>
      <c r="CJ36" s="443">
        <v>4</v>
      </c>
      <c r="CK36" s="443">
        <v>5</v>
      </c>
    </row>
    <row r="37" spans="2:100" x14ac:dyDescent="0.2">
      <c r="R37" s="188" t="s">
        <v>284</v>
      </c>
      <c r="S37" s="188" t="s">
        <v>284</v>
      </c>
      <c r="T37" s="188" t="s">
        <v>284</v>
      </c>
      <c r="U37" s="188" t="s">
        <v>284</v>
      </c>
      <c r="V37" s="188" t="s">
        <v>284</v>
      </c>
      <c r="W37" s="188" t="s">
        <v>284</v>
      </c>
      <c r="X37" s="188" t="s">
        <v>284</v>
      </c>
      <c r="Y37" s="188" t="s">
        <v>284</v>
      </c>
      <c r="Z37" s="188" t="s">
        <v>284</v>
      </c>
      <c r="AA37" s="188" t="s">
        <v>284</v>
      </c>
      <c r="AB37" s="188" t="s">
        <v>284</v>
      </c>
      <c r="AC37" s="188" t="s">
        <v>284</v>
      </c>
      <c r="AD37" s="188" t="s">
        <v>284</v>
      </c>
      <c r="AE37" s="188" t="s">
        <v>284</v>
      </c>
      <c r="AF37" s="188" t="s">
        <v>284</v>
      </c>
      <c r="AG37" s="8" t="s">
        <v>452</v>
      </c>
    </row>
    <row r="38" spans="2:100" x14ac:dyDescent="0.2">
      <c r="B38" s="12" t="s">
        <v>65</v>
      </c>
      <c r="F38" s="188" t="s">
        <v>284</v>
      </c>
      <c r="G38" s="188" t="s">
        <v>284</v>
      </c>
      <c r="H38" s="188" t="s">
        <v>284</v>
      </c>
      <c r="I38" s="188" t="s">
        <v>284</v>
      </c>
      <c r="J38" s="188" t="s">
        <v>284</v>
      </c>
      <c r="K38" s="188" t="s">
        <v>284</v>
      </c>
      <c r="L38" s="188" t="s">
        <v>284</v>
      </c>
      <c r="M38" s="188" t="s">
        <v>284</v>
      </c>
      <c r="N38" s="188" t="s">
        <v>284</v>
      </c>
      <c r="O38" s="188" t="s">
        <v>284</v>
      </c>
      <c r="P38" s="188" t="s">
        <v>284</v>
      </c>
      <c r="Q38" s="188" t="s">
        <v>284</v>
      </c>
      <c r="R38" s="3">
        <v>1</v>
      </c>
      <c r="S38" s="3">
        <f>R38+1</f>
        <v>2</v>
      </c>
      <c r="T38" s="3">
        <f t="shared" ref="T38:BX38" si="99">S38+1</f>
        <v>3</v>
      </c>
      <c r="U38" s="3">
        <f t="shared" si="99"/>
        <v>4</v>
      </c>
      <c r="V38" s="3">
        <f t="shared" si="99"/>
        <v>5</v>
      </c>
      <c r="W38" s="3">
        <f t="shared" si="99"/>
        <v>6</v>
      </c>
      <c r="X38" s="3">
        <f t="shared" si="99"/>
        <v>7</v>
      </c>
      <c r="Y38" s="3">
        <f t="shared" si="99"/>
        <v>8</v>
      </c>
      <c r="Z38" s="3">
        <f t="shared" si="99"/>
        <v>9</v>
      </c>
      <c r="AA38" s="3">
        <f t="shared" si="99"/>
        <v>10</v>
      </c>
      <c r="AB38" s="3">
        <f t="shared" si="99"/>
        <v>11</v>
      </c>
      <c r="AC38" s="3">
        <f t="shared" si="99"/>
        <v>12</v>
      </c>
      <c r="AD38" s="3">
        <f t="shared" si="99"/>
        <v>13</v>
      </c>
      <c r="AE38" s="3">
        <f t="shared" si="99"/>
        <v>14</v>
      </c>
      <c r="AF38" s="3">
        <f t="shared" si="99"/>
        <v>15</v>
      </c>
      <c r="AG38" s="3">
        <f t="shared" si="99"/>
        <v>16</v>
      </c>
      <c r="AH38" s="3">
        <f t="shared" si="99"/>
        <v>17</v>
      </c>
      <c r="AI38" s="3">
        <f t="shared" si="99"/>
        <v>18</v>
      </c>
      <c r="AJ38" s="3">
        <f t="shared" si="99"/>
        <v>19</v>
      </c>
      <c r="AK38" s="3">
        <f t="shared" si="99"/>
        <v>20</v>
      </c>
      <c r="AL38" s="3">
        <f t="shared" si="99"/>
        <v>21</v>
      </c>
      <c r="AM38" s="3">
        <f t="shared" si="99"/>
        <v>22</v>
      </c>
      <c r="AN38" s="3">
        <f t="shared" si="99"/>
        <v>23</v>
      </c>
      <c r="AO38" s="3">
        <f t="shared" si="99"/>
        <v>24</v>
      </c>
      <c r="AP38" s="3">
        <f t="shared" si="99"/>
        <v>25</v>
      </c>
      <c r="AQ38" s="3">
        <f t="shared" si="99"/>
        <v>26</v>
      </c>
      <c r="AR38" s="3">
        <f t="shared" si="99"/>
        <v>27</v>
      </c>
      <c r="AS38" s="3">
        <f t="shared" si="99"/>
        <v>28</v>
      </c>
      <c r="AT38" s="3">
        <f t="shared" si="99"/>
        <v>29</v>
      </c>
      <c r="AU38" s="3">
        <f t="shared" si="99"/>
        <v>30</v>
      </c>
      <c r="AV38" s="3">
        <f t="shared" si="99"/>
        <v>31</v>
      </c>
      <c r="AW38" s="3">
        <f t="shared" si="99"/>
        <v>32</v>
      </c>
      <c r="AX38" s="3">
        <f t="shared" si="99"/>
        <v>33</v>
      </c>
      <c r="AY38" s="3">
        <f t="shared" si="99"/>
        <v>34</v>
      </c>
      <c r="AZ38" s="3">
        <f t="shared" si="99"/>
        <v>35</v>
      </c>
      <c r="BA38" s="3">
        <f t="shared" si="99"/>
        <v>36</v>
      </c>
      <c r="BB38" s="3">
        <f t="shared" si="99"/>
        <v>37</v>
      </c>
      <c r="BC38" s="3">
        <f t="shared" si="99"/>
        <v>38</v>
      </c>
      <c r="BD38" s="3">
        <f t="shared" si="99"/>
        <v>39</v>
      </c>
      <c r="BE38" s="3">
        <f t="shared" si="99"/>
        <v>40</v>
      </c>
      <c r="BF38" s="3">
        <f t="shared" si="99"/>
        <v>41</v>
      </c>
      <c r="BG38" s="3">
        <f t="shared" si="99"/>
        <v>42</v>
      </c>
      <c r="BH38" s="3">
        <f t="shared" si="99"/>
        <v>43</v>
      </c>
      <c r="BI38" s="3">
        <f t="shared" si="99"/>
        <v>44</v>
      </c>
      <c r="BJ38" s="3">
        <f t="shared" si="99"/>
        <v>45</v>
      </c>
      <c r="BK38" s="3">
        <f t="shared" si="99"/>
        <v>46</v>
      </c>
      <c r="BL38" s="3">
        <f t="shared" si="99"/>
        <v>47</v>
      </c>
      <c r="BM38" s="3">
        <f t="shared" si="99"/>
        <v>48</v>
      </c>
      <c r="BN38" s="3">
        <f t="shared" si="99"/>
        <v>49</v>
      </c>
      <c r="BO38" s="3">
        <f t="shared" si="99"/>
        <v>50</v>
      </c>
      <c r="BP38" s="3">
        <f t="shared" si="99"/>
        <v>51</v>
      </c>
      <c r="BQ38" s="3">
        <f t="shared" si="99"/>
        <v>52</v>
      </c>
      <c r="BR38" s="3">
        <f t="shared" si="99"/>
        <v>53</v>
      </c>
      <c r="BS38" s="3">
        <f t="shared" si="99"/>
        <v>54</v>
      </c>
      <c r="BT38" s="3">
        <f t="shared" si="99"/>
        <v>55</v>
      </c>
      <c r="BU38" s="3">
        <f t="shared" si="99"/>
        <v>56</v>
      </c>
      <c r="BV38" s="3">
        <f t="shared" si="99"/>
        <v>57</v>
      </c>
      <c r="BW38" s="3">
        <f t="shared" si="99"/>
        <v>58</v>
      </c>
      <c r="BX38" s="3">
        <f t="shared" si="99"/>
        <v>59</v>
      </c>
      <c r="BY38" s="3">
        <f t="shared" ref="BY38" si="100">BX38+1</f>
        <v>60</v>
      </c>
      <c r="BZ38" s="3">
        <f t="shared" ref="BZ38" si="101">BY38+1</f>
        <v>61</v>
      </c>
      <c r="CA38" s="3">
        <f t="shared" ref="CA38" si="102">BZ38+1</f>
        <v>62</v>
      </c>
      <c r="CB38" s="3">
        <f t="shared" ref="CB38" si="103">CA38+1</f>
        <v>63</v>
      </c>
      <c r="CC38" s="3">
        <f t="shared" ref="CC38" si="104">CB38+1</f>
        <v>64</v>
      </c>
      <c r="CD38" s="3">
        <f t="shared" ref="CD38" si="105">CC38+1</f>
        <v>65</v>
      </c>
      <c r="CE38" s="3">
        <f t="shared" ref="CE38" si="106">CD38+1</f>
        <v>66</v>
      </c>
      <c r="CF38" s="3">
        <f t="shared" ref="CF38" si="107">CE38+1</f>
        <v>67</v>
      </c>
      <c r="CG38" s="3">
        <f t="shared" ref="CG38" si="108">CF38+1</f>
        <v>68</v>
      </c>
      <c r="CH38" s="3">
        <f t="shared" ref="CH38" si="109">CG38+1</f>
        <v>69</v>
      </c>
      <c r="CI38" s="3">
        <f t="shared" ref="CI38" si="110">CH38+1</f>
        <v>70</v>
      </c>
      <c r="CJ38" s="3">
        <f t="shared" ref="CJ38" si="111">CI38+1</f>
        <v>71</v>
      </c>
      <c r="CK38" s="3">
        <f t="shared" ref="CK38" si="112">CJ38+1</f>
        <v>72</v>
      </c>
      <c r="CL38" s="3"/>
      <c r="CM38" s="3"/>
    </row>
    <row r="39" spans="2:100" x14ac:dyDescent="0.2">
      <c r="B39" s="200" t="s">
        <v>1</v>
      </c>
      <c r="C39" s="200" t="s">
        <v>2</v>
      </c>
      <c r="D39" s="102"/>
      <c r="E39" s="102"/>
      <c r="F39" s="201">
        <f t="shared" ref="F39:K39" si="113">F3</f>
        <v>45292</v>
      </c>
      <c r="G39" s="201">
        <f t="shared" si="113"/>
        <v>45323</v>
      </c>
      <c r="H39" s="201">
        <f t="shared" si="113"/>
        <v>45352</v>
      </c>
      <c r="I39" s="201">
        <f t="shared" si="113"/>
        <v>45383</v>
      </c>
      <c r="J39" s="201">
        <f t="shared" si="113"/>
        <v>45413</v>
      </c>
      <c r="K39" s="201">
        <f t="shared" si="113"/>
        <v>45444</v>
      </c>
      <c r="L39" s="201">
        <f>L3</f>
        <v>45474</v>
      </c>
      <c r="M39" s="201">
        <f t="shared" ref="M39:BU39" si="114">M3</f>
        <v>45505</v>
      </c>
      <c r="N39" s="201">
        <f t="shared" si="114"/>
        <v>45536</v>
      </c>
      <c r="O39" s="201">
        <f t="shared" si="114"/>
        <v>45566</v>
      </c>
      <c r="P39" s="201">
        <f t="shared" si="114"/>
        <v>45597</v>
      </c>
      <c r="Q39" s="201">
        <f t="shared" si="114"/>
        <v>45627</v>
      </c>
      <c r="R39" s="201">
        <f t="shared" si="114"/>
        <v>45658</v>
      </c>
      <c r="S39" s="201">
        <f t="shared" si="114"/>
        <v>45689</v>
      </c>
      <c r="T39" s="201">
        <f t="shared" si="114"/>
        <v>45717</v>
      </c>
      <c r="U39" s="201">
        <f t="shared" si="114"/>
        <v>45748</v>
      </c>
      <c r="V39" s="201">
        <f t="shared" si="114"/>
        <v>45778</v>
      </c>
      <c r="W39" s="201">
        <f t="shared" si="114"/>
        <v>45809</v>
      </c>
      <c r="X39" s="201">
        <f t="shared" si="114"/>
        <v>45839</v>
      </c>
      <c r="Y39" s="201">
        <f t="shared" si="114"/>
        <v>45870</v>
      </c>
      <c r="Z39" s="201">
        <f t="shared" si="114"/>
        <v>45901</v>
      </c>
      <c r="AA39" s="201">
        <f t="shared" si="114"/>
        <v>45931</v>
      </c>
      <c r="AB39" s="201">
        <f t="shared" si="114"/>
        <v>45962</v>
      </c>
      <c r="AC39" s="201">
        <f t="shared" si="114"/>
        <v>45992</v>
      </c>
      <c r="AD39" s="201">
        <f t="shared" si="114"/>
        <v>46023</v>
      </c>
      <c r="AE39" s="201">
        <f t="shared" si="114"/>
        <v>46054</v>
      </c>
      <c r="AF39" s="201">
        <f t="shared" si="114"/>
        <v>46082</v>
      </c>
      <c r="AG39" s="201">
        <f t="shared" si="114"/>
        <v>46113</v>
      </c>
      <c r="AH39" s="201">
        <f t="shared" si="114"/>
        <v>46143</v>
      </c>
      <c r="AI39" s="201">
        <f t="shared" si="114"/>
        <v>46174</v>
      </c>
      <c r="AJ39" s="201">
        <f t="shared" si="114"/>
        <v>46204</v>
      </c>
      <c r="AK39" s="201">
        <f t="shared" si="114"/>
        <v>46235</v>
      </c>
      <c r="AL39" s="201">
        <f t="shared" si="114"/>
        <v>46266</v>
      </c>
      <c r="AM39" s="201">
        <f t="shared" si="114"/>
        <v>46296</v>
      </c>
      <c r="AN39" s="201">
        <f t="shared" si="114"/>
        <v>46327</v>
      </c>
      <c r="AO39" s="201">
        <f t="shared" si="114"/>
        <v>46357</v>
      </c>
      <c r="AP39" s="201">
        <f t="shared" si="114"/>
        <v>46388</v>
      </c>
      <c r="AQ39" s="201">
        <f t="shared" si="114"/>
        <v>46419</v>
      </c>
      <c r="AR39" s="201">
        <f t="shared" si="114"/>
        <v>46447</v>
      </c>
      <c r="AS39" s="201">
        <f t="shared" si="114"/>
        <v>46478</v>
      </c>
      <c r="AT39" s="201">
        <f t="shared" si="114"/>
        <v>46508</v>
      </c>
      <c r="AU39" s="201">
        <f t="shared" si="114"/>
        <v>46539</v>
      </c>
      <c r="AV39" s="201">
        <f t="shared" si="114"/>
        <v>46569</v>
      </c>
      <c r="AW39" s="201">
        <f t="shared" si="114"/>
        <v>46600</v>
      </c>
      <c r="AX39" s="201">
        <f t="shared" si="114"/>
        <v>46631</v>
      </c>
      <c r="AY39" s="201">
        <f t="shared" si="114"/>
        <v>46661</v>
      </c>
      <c r="AZ39" s="201">
        <f t="shared" si="114"/>
        <v>46692</v>
      </c>
      <c r="BA39" s="201">
        <f t="shared" si="114"/>
        <v>46722</v>
      </c>
      <c r="BB39" s="201">
        <f t="shared" si="114"/>
        <v>46753</v>
      </c>
      <c r="BC39" s="201">
        <f t="shared" si="114"/>
        <v>46784</v>
      </c>
      <c r="BD39" s="201">
        <f t="shared" si="114"/>
        <v>46813</v>
      </c>
      <c r="BE39" s="201">
        <f t="shared" si="114"/>
        <v>46844</v>
      </c>
      <c r="BF39" s="201">
        <f t="shared" si="114"/>
        <v>46874</v>
      </c>
      <c r="BG39" s="201">
        <f t="shared" si="114"/>
        <v>46905</v>
      </c>
      <c r="BH39" s="201">
        <f t="shared" si="114"/>
        <v>46935</v>
      </c>
      <c r="BI39" s="201">
        <f t="shared" si="114"/>
        <v>46966</v>
      </c>
      <c r="BJ39" s="201">
        <f t="shared" si="114"/>
        <v>46997</v>
      </c>
      <c r="BK39" s="201">
        <f t="shared" si="114"/>
        <v>47027</v>
      </c>
      <c r="BL39" s="201">
        <f t="shared" si="114"/>
        <v>47058</v>
      </c>
      <c r="BM39" s="201">
        <f t="shared" si="114"/>
        <v>47088</v>
      </c>
      <c r="BN39" s="201">
        <f t="shared" si="114"/>
        <v>47119</v>
      </c>
      <c r="BO39" s="201">
        <f t="shared" si="114"/>
        <v>47150</v>
      </c>
      <c r="BP39" s="201">
        <f t="shared" si="114"/>
        <v>47178</v>
      </c>
      <c r="BQ39" s="201">
        <f t="shared" si="114"/>
        <v>47209</v>
      </c>
      <c r="BR39" s="201">
        <f t="shared" si="114"/>
        <v>47239</v>
      </c>
      <c r="BS39" s="201">
        <f t="shared" si="114"/>
        <v>47270</v>
      </c>
      <c r="BT39" s="201">
        <f t="shared" si="114"/>
        <v>47300</v>
      </c>
      <c r="BU39" s="201">
        <f t="shared" si="114"/>
        <v>47331</v>
      </c>
      <c r="BV39" s="201">
        <f t="shared" ref="BV39:BX39" si="115">BV3</f>
        <v>47362</v>
      </c>
      <c r="BW39" s="201">
        <f t="shared" si="115"/>
        <v>47392</v>
      </c>
      <c r="BX39" s="201">
        <f t="shared" si="115"/>
        <v>47423</v>
      </c>
      <c r="BY39" s="201">
        <f t="shared" ref="BY39:CK39" si="116">BY3</f>
        <v>47453</v>
      </c>
      <c r="BZ39" s="201">
        <f t="shared" si="116"/>
        <v>47484</v>
      </c>
      <c r="CA39" s="201">
        <f t="shared" si="116"/>
        <v>47515</v>
      </c>
      <c r="CB39" s="201">
        <f t="shared" si="116"/>
        <v>47543</v>
      </c>
      <c r="CC39" s="201">
        <f t="shared" si="116"/>
        <v>47574</v>
      </c>
      <c r="CD39" s="201">
        <f t="shared" si="116"/>
        <v>47604</v>
      </c>
      <c r="CE39" s="201">
        <f t="shared" si="116"/>
        <v>47635</v>
      </c>
      <c r="CF39" s="201">
        <f t="shared" si="116"/>
        <v>47665</v>
      </c>
      <c r="CG39" s="201">
        <f t="shared" si="116"/>
        <v>47696</v>
      </c>
      <c r="CH39" s="201">
        <f t="shared" si="116"/>
        <v>47727</v>
      </c>
      <c r="CI39" s="201">
        <f t="shared" si="116"/>
        <v>47757</v>
      </c>
      <c r="CJ39" s="201">
        <f t="shared" si="116"/>
        <v>47788</v>
      </c>
      <c r="CK39" s="201">
        <f t="shared" si="116"/>
        <v>47818</v>
      </c>
      <c r="CO39" s="202">
        <v>2024</v>
      </c>
      <c r="CP39" s="202">
        <f t="shared" ref="CP39" si="117">CO39+1</f>
        <v>2025</v>
      </c>
      <c r="CQ39" s="202">
        <f t="shared" ref="CQ39" si="118">CP39+1</f>
        <v>2026</v>
      </c>
      <c r="CR39" s="202">
        <f>CQ39+1</f>
        <v>2027</v>
      </c>
      <c r="CS39" s="202">
        <f>CR39+1</f>
        <v>2028</v>
      </c>
      <c r="CT39" s="202">
        <f t="shared" ref="CT39:CU39" si="119">CS39+1</f>
        <v>2029</v>
      </c>
      <c r="CU39" s="202">
        <f t="shared" si="119"/>
        <v>2030</v>
      </c>
    </row>
    <row r="40" spans="2:100" x14ac:dyDescent="0.2">
      <c r="B40" s="92" t="s">
        <v>3</v>
      </c>
      <c r="C40" s="91" t="s">
        <v>4</v>
      </c>
      <c r="D40" s="9"/>
      <c r="E40" s="9"/>
      <c r="F40" s="10">
        <f>F49*F51</f>
        <v>26205.764999999999</v>
      </c>
      <c r="G40" s="10">
        <f>G49*G51</f>
        <v>25711.405999999999</v>
      </c>
      <c r="H40" s="10">
        <f t="shared" ref="H40:BS40" si="120">H49*H51</f>
        <v>22178</v>
      </c>
      <c r="I40" s="10">
        <f t="shared" si="120"/>
        <v>24234.28</v>
      </c>
      <c r="J40" s="10">
        <f t="shared" si="120"/>
        <v>23579</v>
      </c>
      <c r="K40" s="10">
        <f t="shared" si="120"/>
        <v>23525.792000000001</v>
      </c>
      <c r="L40" s="10">
        <f t="shared" si="120"/>
        <v>28083.907999999999</v>
      </c>
      <c r="M40" s="10">
        <f t="shared" si="120"/>
        <v>24710.223000000002</v>
      </c>
      <c r="N40" s="10">
        <f t="shared" si="120"/>
        <v>24061.894</v>
      </c>
      <c r="O40" s="10">
        <f t="shared" si="120"/>
        <v>33188.900999999998</v>
      </c>
      <c r="P40" s="10">
        <f t="shared" si="120"/>
        <v>29389.4</v>
      </c>
      <c r="Q40" s="10">
        <f t="shared" si="120"/>
        <v>34781.237999999998</v>
      </c>
      <c r="R40" s="10">
        <f t="shared" si="120"/>
        <v>27359.57806</v>
      </c>
      <c r="S40" s="10">
        <f t="shared" si="120"/>
        <v>24378.48054</v>
      </c>
      <c r="T40" s="10">
        <f t="shared" si="120"/>
        <v>23464.82662</v>
      </c>
      <c r="U40" s="10">
        <f t="shared" si="120"/>
        <v>24478.325270000001</v>
      </c>
      <c r="V40" s="10">
        <f t="shared" si="120"/>
        <v>25141.750079999998</v>
      </c>
      <c r="W40" s="10">
        <f t="shared" si="120"/>
        <v>23675.300760000002</v>
      </c>
      <c r="X40" s="10">
        <v>23266.685600000001</v>
      </c>
      <c r="Y40" s="10">
        <v>22296.771059999999</v>
      </c>
      <c r="Z40" s="10">
        <v>24878.807069999999</v>
      </c>
      <c r="AA40" s="10">
        <v>23316.054669999998</v>
      </c>
      <c r="AB40" s="10">
        <v>24764.84203</v>
      </c>
      <c r="AC40" s="10">
        <v>34689.43965</v>
      </c>
      <c r="AD40" s="10">
        <f t="shared" si="120"/>
        <v>30326.956999999999</v>
      </c>
      <c r="AE40" s="10">
        <f t="shared" si="120"/>
        <v>28106.159</v>
      </c>
      <c r="AF40" s="10">
        <f t="shared" si="120"/>
        <v>35682.800999999999</v>
      </c>
      <c r="AG40" s="10">
        <f t="shared" si="120"/>
        <v>32000</v>
      </c>
      <c r="AH40" s="10">
        <f t="shared" si="120"/>
        <v>33000</v>
      </c>
      <c r="AI40" s="10">
        <f t="shared" si="120"/>
        <v>33500</v>
      </c>
      <c r="AJ40" s="10">
        <f t="shared" si="120"/>
        <v>33500</v>
      </c>
      <c r="AK40" s="10">
        <f t="shared" si="120"/>
        <v>35999.999999999993</v>
      </c>
      <c r="AL40" s="10">
        <f t="shared" si="120"/>
        <v>42000</v>
      </c>
      <c r="AM40" s="10">
        <f t="shared" si="120"/>
        <v>41000</v>
      </c>
      <c r="AN40" s="10">
        <f>AN49*AN51</f>
        <v>41500</v>
      </c>
      <c r="AO40" s="10">
        <f t="shared" si="120"/>
        <v>51875</v>
      </c>
      <c r="AP40" s="10">
        <f t="shared" si="120"/>
        <v>44093.750000000007</v>
      </c>
      <c r="AQ40" s="10">
        <f t="shared" si="120"/>
        <v>45930.989583333336</v>
      </c>
      <c r="AR40" s="10">
        <f t="shared" si="120"/>
        <v>51034.432870370372</v>
      </c>
      <c r="AS40" s="10">
        <f t="shared" si="120"/>
        <v>52612.817392134406</v>
      </c>
      <c r="AT40" s="10">
        <f t="shared" si="120"/>
        <v>54805.018116806677</v>
      </c>
      <c r="AU40" s="10">
        <f t="shared" si="120"/>
        <v>55923.487874292528</v>
      </c>
      <c r="AV40" s="10">
        <f t="shared" si="120"/>
        <v>57064.783545196457</v>
      </c>
      <c r="AW40" s="10">
        <f t="shared" si="120"/>
        <v>55352.840038840564</v>
      </c>
      <c r="AX40" s="10">
        <f t="shared" si="120"/>
        <v>53692.254837675348</v>
      </c>
      <c r="AY40" s="10">
        <f t="shared" si="120"/>
        <v>52081.487192545086</v>
      </c>
      <c r="AZ40" s="10">
        <f t="shared" si="120"/>
        <v>49477.412832917827</v>
      </c>
      <c r="BA40" s="10">
        <f t="shared" si="120"/>
        <v>65969.883777223775</v>
      </c>
      <c r="BB40" s="10">
        <f t="shared" si="120"/>
        <v>51010.879638232807</v>
      </c>
      <c r="BC40" s="10">
        <f t="shared" si="120"/>
        <v>53677.250976562507</v>
      </c>
      <c r="BD40" s="10">
        <f t="shared" si="120"/>
        <v>59641.389973958343</v>
      </c>
      <c r="BE40" s="10">
        <f t="shared" si="120"/>
        <v>61485.96904531787</v>
      </c>
      <c r="BF40" s="10">
        <f t="shared" si="120"/>
        <v>64047.884422206116</v>
      </c>
      <c r="BG40" s="10">
        <f t="shared" si="120"/>
        <v>65354.984104291958</v>
      </c>
      <c r="BH40" s="10">
        <f t="shared" si="120"/>
        <v>66688.759290093847</v>
      </c>
      <c r="BI40" s="10">
        <f t="shared" si="120"/>
        <v>64688.096511391035</v>
      </c>
      <c r="BJ40" s="10">
        <f t="shared" si="120"/>
        <v>62747.453616049301</v>
      </c>
      <c r="BK40" s="10">
        <f t="shared" si="120"/>
        <v>60865.030007567817</v>
      </c>
      <c r="BL40" s="10">
        <f t="shared" si="120"/>
        <v>57821.778507189425</v>
      </c>
      <c r="BM40" s="10">
        <f t="shared" si="120"/>
        <v>77095.704676252557</v>
      </c>
      <c r="BN40" s="10">
        <f t="shared" si="120"/>
        <v>59613.864489220767</v>
      </c>
      <c r="BO40" s="10">
        <f t="shared" si="120"/>
        <v>62729.919353759775</v>
      </c>
      <c r="BP40" s="10">
        <f t="shared" si="120"/>
        <v>69699.910393066413</v>
      </c>
      <c r="BQ40" s="10">
        <f t="shared" si="120"/>
        <v>71855.577724810719</v>
      </c>
      <c r="BR40" s="10">
        <f t="shared" si="120"/>
        <v>74849.560130011174</v>
      </c>
      <c r="BS40" s="10">
        <f t="shared" si="120"/>
        <v>76377.102173480802</v>
      </c>
      <c r="BT40" s="10">
        <f t="shared" ref="BT40:BX40" si="121">BT49*BT51</f>
        <v>77935.818544368172</v>
      </c>
      <c r="BU40" s="10">
        <f t="shared" si="121"/>
        <v>75597.743988037124</v>
      </c>
      <c r="BV40" s="10">
        <f t="shared" si="121"/>
        <v>73329.811668396011</v>
      </c>
      <c r="BW40" s="10">
        <f t="shared" si="121"/>
        <v>71129.917318344131</v>
      </c>
      <c r="BX40" s="10">
        <f t="shared" si="121"/>
        <v>67573.421452426919</v>
      </c>
      <c r="BY40" s="10">
        <f t="shared" ref="BY40:CK40" si="122">BY49*BY51</f>
        <v>90132.021725089537</v>
      </c>
      <c r="BZ40" s="10">
        <f t="shared" si="122"/>
        <v>66400.494241674387</v>
      </c>
      <c r="CA40" s="10">
        <f t="shared" si="122"/>
        <v>69897.735762388184</v>
      </c>
      <c r="CB40" s="10">
        <f t="shared" si="122"/>
        <v>77693.534373636328</v>
      </c>
      <c r="CC40" s="10">
        <f t="shared" si="122"/>
        <v>80126.719484716159</v>
      </c>
      <c r="CD40" s="10">
        <f t="shared" si="122"/>
        <v>83496.887270954714</v>
      </c>
      <c r="CE40" s="10">
        <f t="shared" si="122"/>
        <v>85233.103821765413</v>
      </c>
      <c r="CF40" s="10">
        <f t="shared" si="122"/>
        <v>87005.410474495511</v>
      </c>
      <c r="CG40" s="10">
        <f t="shared" si="122"/>
        <v>84427.118047957556</v>
      </c>
      <c r="CH40" s="10">
        <f t="shared" si="122"/>
        <v>81925.218297584841</v>
      </c>
      <c r="CI40" s="10">
        <f t="shared" si="122"/>
        <v>79497.448125991301</v>
      </c>
      <c r="CJ40" s="10">
        <f t="shared" si="122"/>
        <v>75551.062778159059</v>
      </c>
      <c r="CK40" s="10">
        <f t="shared" si="122"/>
        <v>100772.73311550186</v>
      </c>
      <c r="CO40" s="10">
        <f>SUMIF($F$2:$CK$2,CO$3,$F40:$CK40)</f>
        <v>319649.80700000003</v>
      </c>
      <c r="CP40" s="10">
        <f>SUMIF($L$2:$CK$2,CP$3,$L40:$CK40)</f>
        <v>301710.86141000001</v>
      </c>
      <c r="CQ40" s="10">
        <f>SUMIF($L$2:$CK$2,CQ$3,$L40:$CK40)</f>
        <v>438490.91700000002</v>
      </c>
      <c r="CR40" s="10">
        <f>SUMIF($L$2:$CK$2,CR$3,$L40:$CK40)</f>
        <v>638039.15806133638</v>
      </c>
      <c r="CS40" s="10">
        <f>SUMIF($L$2:$CK$2,CS$3,$L40:$CK40)</f>
        <v>745125.18076911371</v>
      </c>
      <c r="CT40" s="10">
        <f t="shared" ref="CT40:CU40" si="123">SUMIF($L$2:$CK$2,CT$3,$L40:$CK40)</f>
        <v>870824.66896101146</v>
      </c>
      <c r="CU40" s="10">
        <f t="shared" si="123"/>
        <v>972027.46579482523</v>
      </c>
      <c r="CV40" s="203"/>
    </row>
    <row r="41" spans="2:100" x14ac:dyDescent="0.2">
      <c r="B41" s="190" t="s">
        <v>317</v>
      </c>
      <c r="C41" s="204" t="s">
        <v>59</v>
      </c>
      <c r="D41" s="9"/>
      <c r="E41" s="9"/>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442"/>
      <c r="AH41" s="441"/>
      <c r="AI41" s="441"/>
      <c r="AJ41" s="441"/>
      <c r="AK41" s="441"/>
      <c r="AL41" s="441"/>
      <c r="AM41" s="441"/>
      <c r="AN41" s="441"/>
      <c r="AO41" s="441"/>
      <c r="AP41" s="441"/>
      <c r="AQ41" s="441"/>
      <c r="AR41" s="441"/>
      <c r="AS41" s="441"/>
      <c r="AT41" s="441"/>
      <c r="AU41" s="441"/>
      <c r="AV41" s="441"/>
      <c r="AW41" s="441"/>
      <c r="AX41" s="441"/>
      <c r="AY41" s="441"/>
      <c r="AZ41" s="441"/>
      <c r="BA41" s="441"/>
      <c r="BB41" s="441"/>
      <c r="BC41" s="441"/>
      <c r="BD41" s="441"/>
      <c r="BE41" s="441"/>
      <c r="BF41" s="441"/>
      <c r="BG41" s="441"/>
      <c r="BH41" s="441"/>
      <c r="BI41" s="441"/>
      <c r="BJ41" s="441"/>
      <c r="BK41" s="441"/>
      <c r="BL41" s="441"/>
      <c r="BM41" s="441"/>
      <c r="BN41" s="441"/>
      <c r="BO41" s="441"/>
      <c r="BP41" s="441"/>
      <c r="BQ41" s="441"/>
      <c r="BR41" s="441"/>
      <c r="BS41" s="441"/>
      <c r="BT41" s="441"/>
      <c r="BU41" s="441"/>
      <c r="BV41" s="441"/>
      <c r="BW41" s="441"/>
      <c r="BX41" s="441"/>
      <c r="BY41" s="441"/>
      <c r="BZ41" s="441"/>
      <c r="CA41" s="441"/>
      <c r="CB41" s="441"/>
      <c r="CC41" s="441"/>
      <c r="CD41" s="441"/>
      <c r="CE41" s="441"/>
      <c r="CF41" s="441"/>
      <c r="CG41" s="441"/>
      <c r="CH41" s="441"/>
      <c r="CI41" s="441"/>
      <c r="CJ41" s="441"/>
      <c r="CK41" s="441"/>
      <c r="CO41" s="10"/>
      <c r="CP41" s="205">
        <f>CP40/CO40-1</f>
        <v>-5.6120620745439775E-2</v>
      </c>
      <c r="CQ41" s="205">
        <f t="shared" ref="CQ41" si="124">CQ40/CP40-1</f>
        <v>0.45334813254908735</v>
      </c>
      <c r="CR41" s="205">
        <f>CR40/CQ40-1</f>
        <v>0.45507953146800606</v>
      </c>
      <c r="CS41" s="205">
        <f>CS40/CR40-1</f>
        <v>0.16783612942057524</v>
      </c>
      <c r="CT41" s="205">
        <f t="shared" ref="CT41:CU41" si="125">CT40/CS40-1</f>
        <v>0.16869579962678416</v>
      </c>
      <c r="CU41" s="205">
        <f t="shared" si="125"/>
        <v>0.11621489427321774</v>
      </c>
      <c r="CV41" s="203"/>
    </row>
    <row r="42" spans="2:100" x14ac:dyDescent="0.2">
      <c r="B42" s="92" t="s">
        <v>5</v>
      </c>
      <c r="C42" s="91" t="s">
        <v>4</v>
      </c>
      <c r="D42" s="9"/>
      <c r="E42" s="9"/>
      <c r="F42" s="10">
        <f>F54*F56</f>
        <v>10804.583000000001</v>
      </c>
      <c r="G42" s="10">
        <f t="shared" ref="G42:BR42" si="126">G54*G56</f>
        <v>14466.507000000001</v>
      </c>
      <c r="H42" s="10">
        <f t="shared" si="126"/>
        <v>14794.625</v>
      </c>
      <c r="I42" s="10">
        <f t="shared" si="126"/>
        <v>18948.288000000004</v>
      </c>
      <c r="J42" s="10">
        <f t="shared" si="126"/>
        <v>19785</v>
      </c>
      <c r="K42" s="10">
        <f t="shared" si="126"/>
        <v>20534.207999999995</v>
      </c>
      <c r="L42" s="10">
        <f t="shared" si="126"/>
        <v>22303.179</v>
      </c>
      <c r="M42" s="10">
        <f t="shared" si="126"/>
        <v>21593</v>
      </c>
      <c r="N42" s="10">
        <f t="shared" si="126"/>
        <v>19798.034999999996</v>
      </c>
      <c r="O42" s="10">
        <f t="shared" si="126"/>
        <v>17673.583999999999</v>
      </c>
      <c r="P42" s="10">
        <f t="shared" si="126"/>
        <v>18512.012999999999</v>
      </c>
      <c r="Q42" s="10">
        <f t="shared" si="126"/>
        <v>22055.674999999999</v>
      </c>
      <c r="R42" s="10">
        <f t="shared" si="126"/>
        <v>13508.707449999998</v>
      </c>
      <c r="S42" s="10">
        <f t="shared" si="126"/>
        <v>13092.638859999999</v>
      </c>
      <c r="T42" s="10">
        <f t="shared" si="126"/>
        <v>28857.00288</v>
      </c>
      <c r="U42" s="10">
        <f t="shared" si="126"/>
        <v>17015.282169999999</v>
      </c>
      <c r="V42" s="10">
        <f t="shared" si="126"/>
        <v>17613.756640000003</v>
      </c>
      <c r="W42" s="10">
        <f t="shared" si="126"/>
        <v>20130.756379999999</v>
      </c>
      <c r="X42" s="10">
        <v>33168.609389999998</v>
      </c>
      <c r="Y42" s="10">
        <v>32908.030190000005</v>
      </c>
      <c r="Z42" s="10">
        <v>31151.50707</v>
      </c>
      <c r="AA42" s="10">
        <v>29412.040499999999</v>
      </c>
      <c r="AB42" s="10">
        <v>26621.145069999999</v>
      </c>
      <c r="AC42" s="10">
        <v>25606.138090000004</v>
      </c>
      <c r="AD42" s="10">
        <f t="shared" si="126"/>
        <v>7850.07</v>
      </c>
      <c r="AE42" s="10">
        <f t="shared" si="126"/>
        <v>12248.197999999999</v>
      </c>
      <c r="AF42" s="10">
        <f t="shared" si="126"/>
        <v>14753.496999999999</v>
      </c>
      <c r="AG42" s="10">
        <f>AG54*AG56</f>
        <v>18100</v>
      </c>
      <c r="AH42" s="10">
        <f t="shared" si="126"/>
        <v>19099.999999999996</v>
      </c>
      <c r="AI42" s="10">
        <f t="shared" si="126"/>
        <v>19700</v>
      </c>
      <c r="AJ42" s="10">
        <f t="shared" si="126"/>
        <v>23000.000000000004</v>
      </c>
      <c r="AK42" s="10">
        <f t="shared" si="126"/>
        <v>25000</v>
      </c>
      <c r="AL42" s="10">
        <f t="shared" si="126"/>
        <v>24000</v>
      </c>
      <c r="AM42" s="10">
        <f t="shared" si="126"/>
        <v>23240</v>
      </c>
      <c r="AN42" s="10">
        <f t="shared" si="126"/>
        <v>23820</v>
      </c>
      <c r="AO42" s="10">
        <f t="shared" si="126"/>
        <v>27000</v>
      </c>
      <c r="AP42" s="10">
        <f t="shared" si="126"/>
        <v>22950</v>
      </c>
      <c r="AQ42" s="10">
        <f t="shared" si="126"/>
        <v>23906.25</v>
      </c>
      <c r="AR42" s="10">
        <f t="shared" si="126"/>
        <v>26562.5</v>
      </c>
      <c r="AS42" s="10">
        <f t="shared" si="126"/>
        <v>27384.0206185567</v>
      </c>
      <c r="AT42" s="10">
        <f t="shared" si="126"/>
        <v>28525.021477663231</v>
      </c>
      <c r="AU42" s="10">
        <f t="shared" si="126"/>
        <v>29107.164773125747</v>
      </c>
      <c r="AV42" s="10">
        <f t="shared" si="126"/>
        <v>29701.188544005861</v>
      </c>
      <c r="AW42" s="10">
        <f t="shared" si="126"/>
        <v>28810.15288768569</v>
      </c>
      <c r="AX42" s="10">
        <f t="shared" si="126"/>
        <v>27945.848301055114</v>
      </c>
      <c r="AY42" s="10">
        <f t="shared" si="126"/>
        <v>27107.47285202346</v>
      </c>
      <c r="AZ42" s="10">
        <f t="shared" si="126"/>
        <v>25752.099209422286</v>
      </c>
      <c r="BA42" s="10">
        <f t="shared" si="126"/>
        <v>34336.132279229707</v>
      </c>
      <c r="BB42" s="10">
        <f t="shared" si="126"/>
        <v>26766.584999999995</v>
      </c>
      <c r="BC42" s="10">
        <f t="shared" si="126"/>
        <v>27881.859374999993</v>
      </c>
      <c r="BD42" s="10">
        <f t="shared" si="126"/>
        <v>30979.843749999996</v>
      </c>
      <c r="BE42" s="10">
        <f t="shared" si="126"/>
        <v>31937.983247422671</v>
      </c>
      <c r="BF42" s="10">
        <f t="shared" si="126"/>
        <v>33268.732549398621</v>
      </c>
      <c r="BG42" s="10">
        <f t="shared" si="126"/>
        <v>33947.686274896558</v>
      </c>
      <c r="BH42" s="10">
        <f t="shared" si="126"/>
        <v>34640.496198874032</v>
      </c>
      <c r="BI42" s="10">
        <f t="shared" si="126"/>
        <v>33601.281312907813</v>
      </c>
      <c r="BJ42" s="10">
        <f t="shared" si="126"/>
        <v>32593.242873520576</v>
      </c>
      <c r="BK42" s="10">
        <f t="shared" si="126"/>
        <v>31615.445587314956</v>
      </c>
      <c r="BL42" s="10">
        <f t="shared" si="126"/>
        <v>32137.100439505644</v>
      </c>
      <c r="BM42" s="10">
        <f t="shared" si="126"/>
        <v>40046.231077265606</v>
      </c>
      <c r="BN42" s="10">
        <f t="shared" si="126"/>
        <v>31217.868085499995</v>
      </c>
      <c r="BO42" s="10">
        <f t="shared" si="126"/>
        <v>32518.61258906249</v>
      </c>
      <c r="BP42" s="10">
        <f t="shared" si="126"/>
        <v>36131.791765624992</v>
      </c>
      <c r="BQ42" s="10">
        <f t="shared" si="126"/>
        <v>37249.26986146906</v>
      </c>
      <c r="BR42" s="10">
        <f t="shared" si="126"/>
        <v>38801.322772363608</v>
      </c>
      <c r="BS42" s="10">
        <f t="shared" ref="BS42:BX42" si="127">BS54*BS56</f>
        <v>39593.186502411845</v>
      </c>
      <c r="BT42" s="10">
        <f t="shared" si="127"/>
        <v>40401.210716746777</v>
      </c>
      <c r="BU42" s="10">
        <f t="shared" si="127"/>
        <v>39189.174395244379</v>
      </c>
      <c r="BV42" s="10">
        <f t="shared" si="127"/>
        <v>38013.499163387045</v>
      </c>
      <c r="BW42" s="10">
        <f t="shared" si="127"/>
        <v>39454.210781679409</v>
      </c>
      <c r="BX42" s="10">
        <f t="shared" si="127"/>
        <v>37481.500242595437</v>
      </c>
      <c r="BY42" s="10">
        <f t="shared" ref="BY42:CK42" si="128">BY54*BY56</f>
        <v>46705.919305414878</v>
      </c>
      <c r="BZ42" s="10">
        <f t="shared" si="128"/>
        <v>36409.399548118643</v>
      </c>
      <c r="CA42" s="10">
        <f t="shared" si="128"/>
        <v>37926.457862623582</v>
      </c>
      <c r="CB42" s="10">
        <f t="shared" si="128"/>
        <v>42140.508736248426</v>
      </c>
      <c r="CC42" s="10">
        <f t="shared" si="128"/>
        <v>43443.823439431362</v>
      </c>
      <c r="CD42" s="10">
        <f t="shared" si="128"/>
        <v>45253.982749407682</v>
      </c>
      <c r="CE42" s="10">
        <f t="shared" si="128"/>
        <v>46177.533417762934</v>
      </c>
      <c r="CF42" s="10">
        <f t="shared" si="128"/>
        <v>47119.932058941769</v>
      </c>
      <c r="CG42" s="10">
        <f t="shared" si="128"/>
        <v>45706.334097173516</v>
      </c>
      <c r="CH42" s="10">
        <f t="shared" si="128"/>
        <v>47438.604159456379</v>
      </c>
      <c r="CI42" s="10">
        <f t="shared" si="128"/>
        <v>46015.446034672692</v>
      </c>
      <c r="CJ42" s="10">
        <f t="shared" si="128"/>
        <v>43714.673732939053</v>
      </c>
      <c r="CK42" s="10">
        <f t="shared" si="128"/>
        <v>54473.113685905366</v>
      </c>
      <c r="CO42" s="10">
        <f>SUMIF($F$2:$CK$2,CO$3,$F42:$CK42)</f>
        <v>221268.69700000001</v>
      </c>
      <c r="CP42" s="10">
        <f>SUMIF($L$2:$CK$2,CP$3,$L42:$CK42)</f>
        <v>289085.61469000007</v>
      </c>
      <c r="CQ42" s="10">
        <f>SUMIF($L$2:$CK$2,CQ$3,$L42:$CK42)</f>
        <v>237811.76500000001</v>
      </c>
      <c r="CR42" s="10">
        <f>SUMIF($L$2:$CK$2,CR$3,$L42:$CK42)</f>
        <v>332087.85094276781</v>
      </c>
      <c r="CS42" s="10">
        <f>SUMIF($L$2:$CK$2,CS$3,$L42:$CK42)</f>
        <v>389416.48768610647</v>
      </c>
      <c r="CT42" s="10">
        <f t="shared" ref="CT42:CU42" si="129">SUMIF($L$2:$CK$2,CT$3,$L42:$CK42)</f>
        <v>456757.56618149998</v>
      </c>
      <c r="CU42" s="10">
        <f t="shared" si="129"/>
        <v>535819.8095226814</v>
      </c>
      <c r="CV42" s="203"/>
    </row>
    <row r="43" spans="2:100" x14ac:dyDescent="0.2">
      <c r="B43" s="190" t="s">
        <v>317</v>
      </c>
      <c r="C43" s="204" t="s">
        <v>59</v>
      </c>
      <c r="D43" s="9"/>
      <c r="E43" s="9"/>
      <c r="F43" s="10"/>
      <c r="G43" s="10"/>
      <c r="H43" s="10"/>
      <c r="I43" s="10"/>
      <c r="J43" s="10"/>
      <c r="K43" s="10"/>
      <c r="L43" s="10"/>
      <c r="M43" s="10"/>
      <c r="N43" s="10"/>
      <c r="O43" s="10"/>
      <c r="P43" s="10"/>
      <c r="Q43" s="10"/>
      <c r="R43" s="10"/>
      <c r="S43" s="10"/>
      <c r="T43" s="10"/>
      <c r="U43" s="10"/>
      <c r="V43" s="10"/>
      <c r="W43" s="10"/>
      <c r="X43" s="10"/>
      <c r="Y43" s="10"/>
      <c r="Z43" s="10"/>
      <c r="AA43" s="10"/>
      <c r="AB43" s="10"/>
      <c r="AC43" s="10"/>
      <c r="AD43" s="441"/>
      <c r="AE43" s="441"/>
      <c r="AF43" s="441"/>
      <c r="AG43" s="441"/>
      <c r="AH43" s="441"/>
      <c r="AI43" s="441"/>
      <c r="AJ43" s="441"/>
      <c r="AK43" s="441"/>
      <c r="AL43" s="441"/>
      <c r="AM43" s="441"/>
      <c r="AN43" s="441"/>
      <c r="AO43" s="441"/>
      <c r="AP43" s="441"/>
      <c r="AQ43" s="441"/>
      <c r="AR43" s="441"/>
      <c r="AS43" s="441"/>
      <c r="AT43" s="441"/>
      <c r="AU43" s="441"/>
      <c r="AV43" s="441"/>
      <c r="AW43" s="441"/>
      <c r="AX43" s="441"/>
      <c r="AY43" s="441"/>
      <c r="AZ43" s="441"/>
      <c r="BA43" s="441"/>
      <c r="BB43" s="441"/>
      <c r="BC43" s="441"/>
      <c r="BD43" s="441"/>
      <c r="BE43" s="441"/>
      <c r="BF43" s="441"/>
      <c r="BG43" s="441"/>
      <c r="BH43" s="441"/>
      <c r="BI43" s="441"/>
      <c r="BJ43" s="441"/>
      <c r="BK43" s="441"/>
      <c r="BL43" s="441"/>
      <c r="BM43" s="441"/>
      <c r="BN43" s="441"/>
      <c r="BO43" s="441"/>
      <c r="BP43" s="441"/>
      <c r="BQ43" s="441"/>
      <c r="BR43" s="441"/>
      <c r="BS43" s="441"/>
      <c r="BT43" s="441"/>
      <c r="BU43" s="441"/>
      <c r="BV43" s="441"/>
      <c r="BW43" s="441"/>
      <c r="BX43" s="441"/>
      <c r="BY43" s="441"/>
      <c r="BZ43" s="441"/>
      <c r="CA43" s="441"/>
      <c r="CB43" s="441"/>
      <c r="CC43" s="441"/>
      <c r="CD43" s="441"/>
      <c r="CE43" s="441"/>
      <c r="CF43" s="441"/>
      <c r="CG43" s="441"/>
      <c r="CH43" s="441"/>
      <c r="CI43" s="441"/>
      <c r="CJ43" s="441"/>
      <c r="CK43" s="441"/>
      <c r="CO43" s="10"/>
      <c r="CP43" s="205">
        <f>CP42/CO42-1</f>
        <v>0.30649124168702468</v>
      </c>
      <c r="CQ43" s="205">
        <f t="shared" ref="CQ43" si="130">CQ42/CP42-1</f>
        <v>-0.17736562140936485</v>
      </c>
      <c r="CR43" s="205">
        <f>CR42/CQ42-1</f>
        <v>0.39643154720611817</v>
      </c>
      <c r="CS43" s="205">
        <f>CS42/CR42-1</f>
        <v>0.17263093660484041</v>
      </c>
      <c r="CT43" s="205">
        <f t="shared" ref="CT43:CU43" si="131">CT42/CS42-1</f>
        <v>0.17292816463815086</v>
      </c>
      <c r="CU43" s="205">
        <f t="shared" si="131"/>
        <v>0.17309454554227299</v>
      </c>
      <c r="CV43" s="203"/>
    </row>
    <row r="44" spans="2:100" x14ac:dyDescent="0.2">
      <c r="B44" s="92" t="s">
        <v>285</v>
      </c>
      <c r="C44" s="91" t="s">
        <v>4</v>
      </c>
      <c r="D44" s="9"/>
      <c r="E44" s="9"/>
      <c r="F44" s="10">
        <v>789.65200000000004</v>
      </c>
      <c r="G44" s="10">
        <v>792.08699999999999</v>
      </c>
      <c r="H44" s="10">
        <v>899.375</v>
      </c>
      <c r="I44" s="10">
        <v>742.37400000000002</v>
      </c>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441"/>
      <c r="AK44" s="441"/>
      <c r="AL44" s="441"/>
      <c r="AM44" s="441"/>
      <c r="AN44" s="441"/>
      <c r="AO44" s="441"/>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O44" s="10">
        <f>SUMIF($F$2:$CK$2,CO$3,$F44:$CK44)</f>
        <v>3223.4880000000003</v>
      </c>
      <c r="CP44" s="10"/>
      <c r="CQ44" s="10"/>
      <c r="CR44" s="10"/>
      <c r="CS44" s="10"/>
      <c r="CT44" s="10"/>
      <c r="CU44" s="10"/>
      <c r="CV44" s="203"/>
    </row>
    <row r="45" spans="2:100" x14ac:dyDescent="0.2">
      <c r="B45" s="92" t="s">
        <v>302</v>
      </c>
      <c r="C45" s="91" t="s">
        <v>4</v>
      </c>
      <c r="D45" s="9"/>
      <c r="E45" s="9"/>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f>AF59*AF61</f>
        <v>0</v>
      </c>
      <c r="AG45" s="10">
        <f t="shared" ref="AG45:BX45" si="132">AG59*AG61</f>
        <v>0</v>
      </c>
      <c r="AH45" s="10">
        <f t="shared" si="132"/>
        <v>0</v>
      </c>
      <c r="AI45" s="10">
        <f t="shared" si="132"/>
        <v>0</v>
      </c>
      <c r="AJ45" s="10">
        <f t="shared" si="132"/>
        <v>0</v>
      </c>
      <c r="AK45" s="10">
        <f t="shared" si="132"/>
        <v>15000</v>
      </c>
      <c r="AL45" s="10">
        <f t="shared" si="132"/>
        <v>19000</v>
      </c>
      <c r="AM45" s="10">
        <f t="shared" si="132"/>
        <v>21000</v>
      </c>
      <c r="AN45" s="10">
        <f t="shared" si="132"/>
        <v>25000</v>
      </c>
      <c r="AO45" s="10">
        <f t="shared" si="132"/>
        <v>29000</v>
      </c>
      <c r="AP45" s="10">
        <f t="shared" si="132"/>
        <v>25882.5</v>
      </c>
      <c r="AQ45" s="10">
        <f>AQ59*AQ61</f>
        <v>38515.625000000007</v>
      </c>
      <c r="AR45" s="10">
        <f t="shared" si="132"/>
        <v>53493.923611111109</v>
      </c>
      <c r="AS45" s="10">
        <f>AS59*AS61</f>
        <v>61275.972063128422</v>
      </c>
      <c r="AT45" s="10">
        <f t="shared" si="132"/>
        <v>63829.137565758778</v>
      </c>
      <c r="AU45" s="10">
        <f t="shared" si="132"/>
        <v>65131.773026284471</v>
      </c>
      <c r="AV45" s="10">
        <f t="shared" si="132"/>
        <v>66460.992883963743</v>
      </c>
      <c r="AW45" s="10">
        <f t="shared" si="132"/>
        <v>61397.298188042696</v>
      </c>
      <c r="AX45" s="10">
        <f t="shared" si="132"/>
        <v>59555.379242401417</v>
      </c>
      <c r="AY45" s="10">
        <f t="shared" si="132"/>
        <v>57768.717865129365</v>
      </c>
      <c r="AZ45" s="10">
        <f t="shared" si="132"/>
        <v>54880.281971872893</v>
      </c>
      <c r="BA45" s="10">
        <f t="shared" si="132"/>
        <v>73173.709295830529</v>
      </c>
      <c r="BB45" s="10">
        <f t="shared" si="132"/>
        <v>29909.817000000006</v>
      </c>
      <c r="BC45" s="10">
        <f t="shared" si="132"/>
        <v>44508.656250000015</v>
      </c>
      <c r="BD45" s="10">
        <f t="shared" si="132"/>
        <v>61817.578125000007</v>
      </c>
      <c r="BE45" s="10">
        <f t="shared" si="132"/>
        <v>70810.51331615122</v>
      </c>
      <c r="BF45" s="10">
        <f t="shared" si="132"/>
        <v>73760.951370990864</v>
      </c>
      <c r="BG45" s="10">
        <f t="shared" si="132"/>
        <v>75266.276909174339</v>
      </c>
      <c r="BH45" s="10">
        <f t="shared" si="132"/>
        <v>76802.323376708518</v>
      </c>
      <c r="BI45" s="10">
        <f t="shared" si="132"/>
        <v>70950.717786102163</v>
      </c>
      <c r="BJ45" s="10">
        <f t="shared" si="132"/>
        <v>68822.196252519076</v>
      </c>
      <c r="BK45" s="10">
        <f t="shared" si="132"/>
        <v>66757.530364943508</v>
      </c>
      <c r="BL45" s="10">
        <f t="shared" si="132"/>
        <v>63419.653846696325</v>
      </c>
      <c r="BM45" s="10">
        <f t="shared" si="132"/>
        <v>84559.538462261771</v>
      </c>
      <c r="BN45" s="10">
        <f t="shared" si="132"/>
        <v>34563.784525200004</v>
      </c>
      <c r="BO45" s="10">
        <f t="shared" si="132"/>
        <v>51434.203162500024</v>
      </c>
      <c r="BP45" s="10">
        <f t="shared" si="132"/>
        <v>71436.393281250013</v>
      </c>
      <c r="BQ45" s="10">
        <f t="shared" si="132"/>
        <v>81828.629188144347</v>
      </c>
      <c r="BR45" s="10">
        <f t="shared" si="132"/>
        <v>85238.155404317047</v>
      </c>
      <c r="BS45" s="10">
        <f t="shared" si="132"/>
        <v>86977.709596241883</v>
      </c>
      <c r="BT45" s="10">
        <f t="shared" si="132"/>
        <v>88752.764894124368</v>
      </c>
      <c r="BU45" s="10">
        <f t="shared" si="132"/>
        <v>81990.649473619647</v>
      </c>
      <c r="BV45" s="10">
        <f t="shared" si="132"/>
        <v>79530.929989411059</v>
      </c>
      <c r="BW45" s="10">
        <f t="shared" si="132"/>
        <v>77145.002089728732</v>
      </c>
      <c r="BX45" s="10">
        <f t="shared" si="132"/>
        <v>73287.75198524227</v>
      </c>
      <c r="BY45" s="10">
        <f t="shared" ref="BY45:CK45" si="133">BY59*BY61</f>
        <v>97717.002646989698</v>
      </c>
      <c r="BZ45" s="10">
        <f t="shared" si="133"/>
        <v>39941.909397321135</v>
      </c>
      <c r="CA45" s="10">
        <f t="shared" si="133"/>
        <v>59437.365174585029</v>
      </c>
      <c r="CB45" s="10">
        <f t="shared" si="133"/>
        <v>82551.896075812518</v>
      </c>
      <c r="CC45" s="10">
        <f t="shared" si="133"/>
        <v>94561.163889819625</v>
      </c>
      <c r="CD45" s="10">
        <f t="shared" si="133"/>
        <v>98501.212385228791</v>
      </c>
      <c r="CE45" s="10">
        <f t="shared" si="133"/>
        <v>100511.44120941711</v>
      </c>
      <c r="CF45" s="10">
        <f t="shared" si="133"/>
        <v>102562.69511165013</v>
      </c>
      <c r="CG45" s="10">
        <f t="shared" si="133"/>
        <v>94748.394531714875</v>
      </c>
      <c r="CH45" s="10">
        <f t="shared" si="133"/>
        <v>91905.942695763428</v>
      </c>
      <c r="CI45" s="10">
        <f t="shared" si="133"/>
        <v>89148.764414890524</v>
      </c>
      <c r="CJ45" s="10">
        <f t="shared" si="133"/>
        <v>84691.326194145979</v>
      </c>
      <c r="CK45" s="10">
        <f t="shared" si="133"/>
        <v>112921.76825886131</v>
      </c>
      <c r="CO45" s="10">
        <f>SUMIF($F$2:$CK$2,CO$3,$F45:$CK45)</f>
        <v>0</v>
      </c>
      <c r="CP45" s="10">
        <f>SUMIF($L$2:$CK$2,CP$3,$L45:$CK45)</f>
        <v>0</v>
      </c>
      <c r="CQ45" s="10">
        <f>SUMIF($L$2:$CK$2,CQ$3,$L45:$CK45)</f>
        <v>109000</v>
      </c>
      <c r="CR45" s="10">
        <f>SUMIF($L$2:$CK$2,CR$3,$L45:$CK45)</f>
        <v>681365.31071352353</v>
      </c>
      <c r="CS45" s="10">
        <f>SUMIF($L$2:$CK$2,CS$3,$L45:$CK45)</f>
        <v>787385.75306054787</v>
      </c>
      <c r="CT45" s="10">
        <f t="shared" ref="CT45:CU45" si="134">SUMIF($L$2:$CK$2,CT$3,$L45:$CK45)</f>
        <v>909902.976236769</v>
      </c>
      <c r="CU45" s="10">
        <f t="shared" si="134"/>
        <v>1051483.8793392105</v>
      </c>
      <c r="CV45" s="203"/>
    </row>
    <row r="46" spans="2:100" x14ac:dyDescent="0.2">
      <c r="C46" s="9"/>
      <c r="D46" s="9"/>
      <c r="E46" s="9"/>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441"/>
      <c r="AK46" s="441"/>
      <c r="AL46" s="441"/>
      <c r="AM46" s="441"/>
      <c r="AN46" s="441"/>
      <c r="AO46" s="441"/>
      <c r="AP46" s="441"/>
      <c r="AQ46" s="441"/>
      <c r="AR46" s="441"/>
      <c r="AS46" s="441"/>
      <c r="AT46" s="441"/>
      <c r="AU46" s="441"/>
      <c r="AV46" s="441"/>
      <c r="AW46" s="441"/>
      <c r="AX46" s="441"/>
      <c r="AY46" s="441"/>
      <c r="AZ46" s="441"/>
      <c r="BA46" s="441"/>
      <c r="BB46" s="441"/>
      <c r="BC46" s="441"/>
      <c r="BD46" s="441"/>
      <c r="BE46" s="441"/>
      <c r="BF46" s="441"/>
      <c r="BG46" s="441"/>
      <c r="BH46" s="441"/>
      <c r="BI46" s="441"/>
      <c r="BJ46" s="441"/>
      <c r="BK46" s="441"/>
      <c r="BL46" s="441"/>
      <c r="BM46" s="441"/>
      <c r="BN46" s="441"/>
      <c r="BO46" s="441"/>
      <c r="BP46" s="441"/>
      <c r="BQ46" s="441"/>
      <c r="BR46" s="441"/>
      <c r="BS46" s="441"/>
      <c r="BT46" s="441"/>
      <c r="BU46" s="441"/>
      <c r="BV46" s="441"/>
      <c r="BW46" s="441"/>
      <c r="BX46" s="441"/>
      <c r="BY46" s="441"/>
      <c r="BZ46" s="441"/>
      <c r="CA46" s="441"/>
      <c r="CB46" s="441"/>
      <c r="CC46" s="441"/>
      <c r="CD46" s="441"/>
      <c r="CE46" s="441"/>
      <c r="CF46" s="441"/>
      <c r="CG46" s="441"/>
      <c r="CH46" s="441"/>
      <c r="CI46" s="441"/>
      <c r="CJ46" s="441"/>
      <c r="CK46" s="441"/>
      <c r="CO46" s="10"/>
      <c r="CP46" s="205"/>
      <c r="CQ46" s="205"/>
      <c r="CR46" s="205"/>
      <c r="CS46" s="205"/>
      <c r="CT46" s="205"/>
      <c r="CU46" s="205"/>
      <c r="CV46" s="203"/>
    </row>
    <row r="47" spans="2:100" x14ac:dyDescent="0.2">
      <c r="B47" s="20" t="s">
        <v>6</v>
      </c>
      <c r="C47" s="23" t="s">
        <v>4</v>
      </c>
      <c r="D47" s="102"/>
      <c r="E47" s="102"/>
      <c r="F47" s="24">
        <f t="shared" ref="F47:AK47" si="135">F40+F42+F45+F44</f>
        <v>37800</v>
      </c>
      <c r="G47" s="24">
        <f t="shared" si="135"/>
        <v>40970</v>
      </c>
      <c r="H47" s="24">
        <f t="shared" si="135"/>
        <v>37872</v>
      </c>
      <c r="I47" s="24">
        <f t="shared" si="135"/>
        <v>43924.942000000003</v>
      </c>
      <c r="J47" s="24">
        <f t="shared" si="135"/>
        <v>43364</v>
      </c>
      <c r="K47" s="24">
        <f t="shared" si="135"/>
        <v>44060</v>
      </c>
      <c r="L47" s="24">
        <f t="shared" si="135"/>
        <v>50387.087</v>
      </c>
      <c r="M47" s="24">
        <f t="shared" si="135"/>
        <v>46303.222999999998</v>
      </c>
      <c r="N47" s="24">
        <f t="shared" si="135"/>
        <v>43859.928999999996</v>
      </c>
      <c r="O47" s="24">
        <f t="shared" si="135"/>
        <v>50862.485000000001</v>
      </c>
      <c r="P47" s="24">
        <f t="shared" si="135"/>
        <v>47901.413</v>
      </c>
      <c r="Q47" s="24">
        <f t="shared" si="135"/>
        <v>56836.913</v>
      </c>
      <c r="R47" s="24">
        <f>R40+R42+R45+R44</f>
        <v>40868.285510000002</v>
      </c>
      <c r="S47" s="24">
        <f>S40+S42+S45+S44</f>
        <v>37471.119399999996</v>
      </c>
      <c r="T47" s="24">
        <f t="shared" si="135"/>
        <v>52321.8295</v>
      </c>
      <c r="U47" s="24">
        <f t="shared" si="135"/>
        <v>41493.60744</v>
      </c>
      <c r="V47" s="24">
        <f t="shared" si="135"/>
        <v>42755.506720000005</v>
      </c>
      <c r="W47" s="24">
        <f t="shared" si="135"/>
        <v>43806.057140000004</v>
      </c>
      <c r="X47" s="24">
        <f t="shared" si="135"/>
        <v>56435.294989999995</v>
      </c>
      <c r="Y47" s="24">
        <f t="shared" si="135"/>
        <v>55204.801250000004</v>
      </c>
      <c r="Z47" s="24">
        <f t="shared" si="135"/>
        <v>56030.314140000002</v>
      </c>
      <c r="AA47" s="24">
        <f t="shared" si="135"/>
        <v>52728.095170000001</v>
      </c>
      <c r="AB47" s="24">
        <f t="shared" si="135"/>
        <v>51385.987099999998</v>
      </c>
      <c r="AC47" s="24">
        <f t="shared" si="135"/>
        <v>60295.577740000008</v>
      </c>
      <c r="AD47" s="24">
        <f>AD40+AD42+AD45+AD44</f>
        <v>38177.027000000002</v>
      </c>
      <c r="AE47" s="24">
        <f t="shared" si="135"/>
        <v>40354.356999999996</v>
      </c>
      <c r="AF47" s="24">
        <f t="shared" si="135"/>
        <v>50436.297999999995</v>
      </c>
      <c r="AG47" s="24">
        <f t="shared" si="135"/>
        <v>50100</v>
      </c>
      <c r="AH47" s="24">
        <f t="shared" si="135"/>
        <v>52100</v>
      </c>
      <c r="AI47" s="24">
        <f t="shared" si="135"/>
        <v>53200</v>
      </c>
      <c r="AJ47" s="24">
        <f t="shared" si="135"/>
        <v>56500</v>
      </c>
      <c r="AK47" s="24">
        <f t="shared" si="135"/>
        <v>76000</v>
      </c>
      <c r="AL47" s="24">
        <f t="shared" ref="AL47:BQ47" si="136">AL40+AL42+AL45+AL44</f>
        <v>85000</v>
      </c>
      <c r="AM47" s="24">
        <f t="shared" si="136"/>
        <v>85240</v>
      </c>
      <c r="AN47" s="24">
        <f t="shared" si="136"/>
        <v>90320</v>
      </c>
      <c r="AO47" s="24">
        <f>AO40+AO42+AO45+AO44</f>
        <v>107875</v>
      </c>
      <c r="AP47" s="24">
        <f>AP40+AP42+AP45+AP44</f>
        <v>92926.25</v>
      </c>
      <c r="AQ47" s="24">
        <f t="shared" si="136"/>
        <v>108352.86458333334</v>
      </c>
      <c r="AR47" s="24">
        <f t="shared" si="136"/>
        <v>131090.85648148146</v>
      </c>
      <c r="AS47" s="24">
        <f t="shared" si="136"/>
        <v>141272.81007381954</v>
      </c>
      <c r="AT47" s="24">
        <f t="shared" si="136"/>
        <v>147159.17716022869</v>
      </c>
      <c r="AU47" s="24">
        <f t="shared" si="136"/>
        <v>150162.42567370273</v>
      </c>
      <c r="AV47" s="24">
        <f t="shared" si="136"/>
        <v>153226.96497316606</v>
      </c>
      <c r="AW47" s="24">
        <f t="shared" si="136"/>
        <v>145560.29111456894</v>
      </c>
      <c r="AX47" s="24">
        <f t="shared" si="136"/>
        <v>141193.48238113188</v>
      </c>
      <c r="AY47" s="24">
        <f t="shared" si="136"/>
        <v>136957.67790969793</v>
      </c>
      <c r="AZ47" s="24">
        <f t="shared" si="136"/>
        <v>130109.794014213</v>
      </c>
      <c r="BA47" s="24">
        <f t="shared" si="136"/>
        <v>173479.72535228403</v>
      </c>
      <c r="BB47" s="24">
        <f t="shared" si="136"/>
        <v>107687.28163823282</v>
      </c>
      <c r="BC47" s="24">
        <f t="shared" si="136"/>
        <v>126067.76660156251</v>
      </c>
      <c r="BD47" s="24">
        <f t="shared" si="136"/>
        <v>152438.81184895834</v>
      </c>
      <c r="BE47" s="24">
        <f t="shared" si="136"/>
        <v>164234.46560889177</v>
      </c>
      <c r="BF47" s="24">
        <f t="shared" si="136"/>
        <v>171077.56834259559</v>
      </c>
      <c r="BG47" s="24">
        <f t="shared" si="136"/>
        <v>174568.94728836286</v>
      </c>
      <c r="BH47" s="24">
        <f t="shared" si="136"/>
        <v>178131.57886567639</v>
      </c>
      <c r="BI47" s="24">
        <f t="shared" si="136"/>
        <v>169240.09561040101</v>
      </c>
      <c r="BJ47" s="24">
        <f t="shared" si="136"/>
        <v>164162.89274208894</v>
      </c>
      <c r="BK47" s="24">
        <f t="shared" si="136"/>
        <v>159238.00595982629</v>
      </c>
      <c r="BL47" s="24">
        <f t="shared" si="136"/>
        <v>153378.53279339138</v>
      </c>
      <c r="BM47" s="24">
        <f t="shared" si="136"/>
        <v>201701.47421577992</v>
      </c>
      <c r="BN47" s="24">
        <f t="shared" si="136"/>
        <v>125395.51709992078</v>
      </c>
      <c r="BO47" s="24">
        <f t="shared" si="136"/>
        <v>146682.7351053223</v>
      </c>
      <c r="BP47" s="24">
        <f t="shared" si="136"/>
        <v>177268.09543994142</v>
      </c>
      <c r="BQ47" s="24">
        <f t="shared" si="136"/>
        <v>190933.47677442414</v>
      </c>
      <c r="BR47" s="24">
        <f t="shared" ref="BR47:BX47" si="137">BR40+BR42+BR45+BR44</f>
        <v>198889.03830669183</v>
      </c>
      <c r="BS47" s="24">
        <f t="shared" si="137"/>
        <v>202947.99827213451</v>
      </c>
      <c r="BT47" s="24">
        <f t="shared" si="137"/>
        <v>207089.7941552393</v>
      </c>
      <c r="BU47" s="24">
        <f t="shared" si="137"/>
        <v>196777.56785690115</v>
      </c>
      <c r="BV47" s="24">
        <f t="shared" si="137"/>
        <v>190874.24082119411</v>
      </c>
      <c r="BW47" s="24">
        <f t="shared" si="137"/>
        <v>187729.13018975226</v>
      </c>
      <c r="BX47" s="24">
        <f t="shared" si="137"/>
        <v>178342.67368026462</v>
      </c>
      <c r="BY47" s="24">
        <f t="shared" ref="BY47:CK47" si="138">BY40+BY42+BY45+BY44</f>
        <v>234554.94367749413</v>
      </c>
      <c r="BZ47" s="24">
        <f t="shared" si="138"/>
        <v>142751.80318711416</v>
      </c>
      <c r="CA47" s="24">
        <f t="shared" si="138"/>
        <v>167261.55879959679</v>
      </c>
      <c r="CB47" s="24">
        <f t="shared" si="138"/>
        <v>202385.93918569727</v>
      </c>
      <c r="CC47" s="24">
        <f t="shared" si="138"/>
        <v>218131.70681396715</v>
      </c>
      <c r="CD47" s="24">
        <f t="shared" si="138"/>
        <v>227252.08240559121</v>
      </c>
      <c r="CE47" s="24">
        <f t="shared" si="138"/>
        <v>231922.07844894548</v>
      </c>
      <c r="CF47" s="24">
        <f t="shared" si="138"/>
        <v>236688.0376450874</v>
      </c>
      <c r="CG47" s="24">
        <f t="shared" si="138"/>
        <v>224881.84667684595</v>
      </c>
      <c r="CH47" s="24">
        <f t="shared" si="138"/>
        <v>221269.76515280464</v>
      </c>
      <c r="CI47" s="24">
        <f t="shared" si="138"/>
        <v>214661.65857555452</v>
      </c>
      <c r="CJ47" s="24">
        <f t="shared" si="138"/>
        <v>203957.06270524408</v>
      </c>
      <c r="CK47" s="24">
        <f t="shared" si="138"/>
        <v>268167.61506026855</v>
      </c>
      <c r="CO47" s="24">
        <f>SUMIF($F$2:$CK$2,CO$3,$F47:$CK47)</f>
        <v>544141.99199999997</v>
      </c>
      <c r="CP47" s="24">
        <f>SUMIF($L$2:$CK$2,CP$3,$L47:$CK47)</f>
        <v>590796.47610000009</v>
      </c>
      <c r="CQ47" s="24">
        <f>SUMIF($L$2:$CK$2,CQ$3,$L47:$CK47)</f>
        <v>785302.68200000003</v>
      </c>
      <c r="CR47" s="24">
        <f>SUMIF($L$2:$CK$2,CR$3,$L47:$CK47)</f>
        <v>1651492.3197176275</v>
      </c>
      <c r="CS47" s="24">
        <f>SUMIF($L$2:$CK$2,CS$3,$L47:$CK47)</f>
        <v>1921927.4215157679</v>
      </c>
      <c r="CT47" s="24">
        <f t="shared" ref="CT47:CU47" si="139">SUMIF($L$2:$CK$2,CT$3,$L47:$CK47)</f>
        <v>2237485.2113792808</v>
      </c>
      <c r="CU47" s="24">
        <f t="shared" si="139"/>
        <v>2559331.1546567171</v>
      </c>
      <c r="CV47" s="206"/>
    </row>
    <row r="48" spans="2:100" s="27" customFormat="1" x14ac:dyDescent="0.2">
      <c r="B48" s="207"/>
      <c r="C48" s="376"/>
      <c r="F48" s="386"/>
      <c r="G48" s="386"/>
      <c r="H48" s="386"/>
      <c r="I48" s="386"/>
      <c r="J48" s="386"/>
      <c r="K48" s="386"/>
      <c r="L48" s="386"/>
      <c r="M48" s="386"/>
      <c r="N48" s="386"/>
      <c r="O48" s="386"/>
      <c r="P48" s="386"/>
      <c r="Q48" s="386"/>
      <c r="R48" s="386"/>
      <c r="S48" s="386"/>
      <c r="T48" s="386"/>
      <c r="U48" s="386"/>
      <c r="V48" s="386"/>
      <c r="W48" s="386"/>
      <c r="X48" s="386"/>
      <c r="Y48" s="386"/>
      <c r="Z48" s="208"/>
      <c r="AA48" s="246"/>
      <c r="AB48" s="246"/>
      <c r="AC48" s="246"/>
      <c r="AD48" s="246"/>
      <c r="AE48" s="208"/>
      <c r="AF48" s="208"/>
      <c r="AG48" s="208"/>
      <c r="AH48" s="208"/>
      <c r="AI48" s="208"/>
      <c r="AJ48" s="208"/>
      <c r="AK48" s="208"/>
      <c r="AL48" s="208"/>
      <c r="AM48" s="208"/>
      <c r="AN48" s="208"/>
      <c r="AO48" s="208"/>
      <c r="AP48" s="246"/>
      <c r="AQ48" s="208"/>
      <c r="AR48" s="208"/>
      <c r="AS48" s="208"/>
      <c r="AT48" s="208"/>
      <c r="AU48" s="208"/>
      <c r="AV48" s="208"/>
      <c r="AW48" s="208"/>
      <c r="AX48" s="208"/>
      <c r="AY48" s="208"/>
      <c r="AZ48" s="208"/>
      <c r="BA48" s="208"/>
      <c r="BB48" s="451"/>
      <c r="BC48" s="208"/>
      <c r="BD48" s="208"/>
      <c r="BE48" s="208"/>
      <c r="BF48" s="208"/>
      <c r="BG48" s="208"/>
      <c r="BH48" s="208"/>
      <c r="BI48" s="208"/>
      <c r="BJ48" s="208"/>
      <c r="BK48" s="208"/>
      <c r="BL48" s="208"/>
      <c r="BM48" s="208"/>
      <c r="BN48" s="246"/>
      <c r="BO48" s="208"/>
      <c r="BP48" s="208"/>
      <c r="BQ48" s="208"/>
      <c r="BR48" s="208"/>
      <c r="BS48" s="208"/>
      <c r="BT48" s="208"/>
      <c r="BU48" s="208"/>
      <c r="BV48" s="208"/>
      <c r="BW48" s="208"/>
      <c r="BX48" s="208"/>
      <c r="BY48" s="208"/>
      <c r="BZ48" s="208"/>
      <c r="CA48" s="208"/>
      <c r="CB48" s="208"/>
      <c r="CC48" s="208"/>
      <c r="CD48" s="208"/>
      <c r="CE48" s="208"/>
      <c r="CF48" s="208"/>
      <c r="CG48" s="208"/>
      <c r="CH48" s="208"/>
      <c r="CI48" s="208"/>
      <c r="CJ48" s="208"/>
      <c r="CK48" s="208"/>
      <c r="CP48" s="208">
        <f>CP47/CO47</f>
        <v>1.0857395400206498</v>
      </c>
      <c r="CQ48" s="208">
        <f t="shared" ref="CQ48:CS48" si="140">CQ47/CP47</f>
        <v>1.3292270921857652</v>
      </c>
      <c r="CR48" s="208">
        <f t="shared" si="140"/>
        <v>2.1030009925747679</v>
      </c>
      <c r="CS48" s="208">
        <f t="shared" si="140"/>
        <v>1.1637519584979841</v>
      </c>
      <c r="CT48" s="208">
        <f t="shared" ref="CT48" si="141">CT47/CS47</f>
        <v>1.1641881927126267</v>
      </c>
      <c r="CU48" s="208">
        <f t="shared" ref="CU48" si="142">CU47/CT47</f>
        <v>1.14384271307833</v>
      </c>
    </row>
    <row r="49" spans="2:99" s="27" customFormat="1" outlineLevel="1" x14ac:dyDescent="0.2">
      <c r="B49" s="207" t="s">
        <v>437</v>
      </c>
      <c r="C49" s="376" t="s">
        <v>436</v>
      </c>
      <c r="F49" s="378">
        <v>1773.4747639370687</v>
      </c>
      <c r="G49" s="378">
        <v>1718.09</v>
      </c>
      <c r="H49" s="378">
        <v>1864.0391435370889</v>
      </c>
      <c r="I49" s="378">
        <v>1757.73</v>
      </c>
      <c r="J49" s="378">
        <v>1640.89</v>
      </c>
      <c r="K49" s="378">
        <v>1676.3</v>
      </c>
      <c r="L49" s="378">
        <v>1664.65</v>
      </c>
      <c r="M49" s="378">
        <v>1746.29</v>
      </c>
      <c r="N49" s="378">
        <v>1726.07</v>
      </c>
      <c r="O49" s="378">
        <v>1828.65</v>
      </c>
      <c r="P49" s="378">
        <v>1873.52</v>
      </c>
      <c r="Q49" s="378">
        <v>1890.09</v>
      </c>
      <c r="R49" s="378">
        <v>1860.5823280304201</v>
      </c>
      <c r="S49" s="378">
        <v>1909.121416346376</v>
      </c>
      <c r="T49" s="378">
        <v>1881.7355751983739</v>
      </c>
      <c r="U49" s="378">
        <v>1957.7451794302101</v>
      </c>
      <c r="V49" s="378">
        <v>1924.1815346529099</v>
      </c>
      <c r="W49" s="378">
        <v>1986.0836384917352</v>
      </c>
      <c r="X49" s="378">
        <v>2007.7674795473638</v>
      </c>
      <c r="Y49" s="378">
        <v>2163.2400685402463</v>
      </c>
      <c r="Z49" s="378">
        <v>2087.4849398820952</v>
      </c>
      <c r="AA49" s="378">
        <v>2108.3597892809162</v>
      </c>
      <c r="AB49" s="378">
        <v>2150.5269850665345</v>
      </c>
      <c r="AC49" s="378">
        <v>2172.0322549171997</v>
      </c>
      <c r="AD49" s="378">
        <f>AVERAGE(R49:AB49)*(1+AD50)</f>
        <v>2303.8502976942959</v>
      </c>
      <c r="AE49" s="378">
        <f>AD49</f>
        <v>2303.8502976942959</v>
      </c>
      <c r="AF49" s="378">
        <f t="shared" ref="AF49:AO49" si="143">AE49</f>
        <v>2303.8502976942959</v>
      </c>
      <c r="AG49" s="378">
        <f t="shared" si="143"/>
        <v>2303.8502976942959</v>
      </c>
      <c r="AH49" s="378">
        <f t="shared" si="143"/>
        <v>2303.8502976942959</v>
      </c>
      <c r="AI49" s="378">
        <f t="shared" si="143"/>
        <v>2303.8502976942959</v>
      </c>
      <c r="AJ49" s="378">
        <f t="shared" si="143"/>
        <v>2303.8502976942959</v>
      </c>
      <c r="AK49" s="378">
        <f t="shared" si="143"/>
        <v>2303.8502976942959</v>
      </c>
      <c r="AL49" s="378">
        <f t="shared" si="143"/>
        <v>2303.8502976942959</v>
      </c>
      <c r="AM49" s="378">
        <f t="shared" si="143"/>
        <v>2303.8502976942959</v>
      </c>
      <c r="AN49" s="378">
        <f t="shared" si="143"/>
        <v>2303.8502976942959</v>
      </c>
      <c r="AO49" s="378">
        <f t="shared" si="143"/>
        <v>2303.8502976942959</v>
      </c>
      <c r="AP49" s="378">
        <f>AE49*(1+AP50)</f>
        <v>2419.0428125790108</v>
      </c>
      <c r="AQ49" s="378">
        <v>2394.665561046213</v>
      </c>
      <c r="AR49" s="378">
        <v>2394.665561046213</v>
      </c>
      <c r="AS49" s="378">
        <v>2394.665561046213</v>
      </c>
      <c r="AT49" s="378">
        <v>2394.665561046213</v>
      </c>
      <c r="AU49" s="378">
        <v>2394.665561046213</v>
      </c>
      <c r="AV49" s="378">
        <v>2394.665561046213</v>
      </c>
      <c r="AW49" s="378">
        <v>2394.665561046213</v>
      </c>
      <c r="AX49" s="378">
        <v>2394.665561046213</v>
      </c>
      <c r="AY49" s="378">
        <v>2394.665561046213</v>
      </c>
      <c r="AZ49" s="378">
        <v>2394.665561046213</v>
      </c>
      <c r="BA49" s="378">
        <v>2394.665561046213</v>
      </c>
      <c r="BB49" s="378">
        <v>2514.3988390985237</v>
      </c>
      <c r="BC49" s="378">
        <v>2514.3988390985237</v>
      </c>
      <c r="BD49" s="378">
        <v>2514.3988390985237</v>
      </c>
      <c r="BE49" s="378">
        <v>2514.3988390985237</v>
      </c>
      <c r="BF49" s="378">
        <v>2514.3988390985237</v>
      </c>
      <c r="BG49" s="378">
        <v>2514.3988390985237</v>
      </c>
      <c r="BH49" s="378">
        <v>2514.3988390985237</v>
      </c>
      <c r="BI49" s="378">
        <v>2514.3988390985237</v>
      </c>
      <c r="BJ49" s="378">
        <v>2514.3988390985237</v>
      </c>
      <c r="BK49" s="378">
        <v>2514.3988390985237</v>
      </c>
      <c r="BL49" s="378">
        <v>2514.3988390985237</v>
      </c>
      <c r="BM49" s="378">
        <v>2514.3988390985237</v>
      </c>
      <c r="BN49" s="378">
        <v>2640.1187810534498</v>
      </c>
      <c r="BO49" s="378">
        <v>2640.1187810534498</v>
      </c>
      <c r="BP49" s="378">
        <v>2640.1187810534498</v>
      </c>
      <c r="BQ49" s="378">
        <v>2640.1187810534498</v>
      </c>
      <c r="BR49" s="378">
        <v>2640.1187810534498</v>
      </c>
      <c r="BS49" s="378">
        <v>2640.1187810534498</v>
      </c>
      <c r="BT49" s="378">
        <v>2640.1187810534498</v>
      </c>
      <c r="BU49" s="378">
        <v>2640.1187810534498</v>
      </c>
      <c r="BV49" s="378">
        <v>2640.1187810534498</v>
      </c>
      <c r="BW49" s="378">
        <v>2640.1187810534498</v>
      </c>
      <c r="BX49" s="378">
        <v>2640.1187810534498</v>
      </c>
      <c r="BY49" s="378">
        <v>2641.1187810534502</v>
      </c>
      <c r="BZ49" s="378">
        <v>2642.1187810534502</v>
      </c>
      <c r="CA49" s="378">
        <v>2643.1187810534502</v>
      </c>
      <c r="CB49" s="378">
        <v>2644.1187810534502</v>
      </c>
      <c r="CC49" s="378">
        <v>2645.1187810534502</v>
      </c>
      <c r="CD49" s="378">
        <v>2646.1187810534502</v>
      </c>
      <c r="CE49" s="378">
        <v>2647.1187810534502</v>
      </c>
      <c r="CF49" s="378">
        <v>2648.1187810534502</v>
      </c>
      <c r="CG49" s="378">
        <v>2649.1187810534502</v>
      </c>
      <c r="CH49" s="378">
        <v>2650.1187810534502</v>
      </c>
      <c r="CI49" s="378">
        <v>2651.1187810534502</v>
      </c>
      <c r="CJ49" s="378">
        <v>2652.1187810534502</v>
      </c>
      <c r="CK49" s="378">
        <v>2653.1187810534502</v>
      </c>
      <c r="CP49" s="208"/>
      <c r="CQ49" s="208"/>
      <c r="CR49" s="208"/>
      <c r="CS49" s="208"/>
      <c r="CT49" s="208"/>
      <c r="CU49" s="208"/>
    </row>
    <row r="50" spans="2:99" s="27" customFormat="1" outlineLevel="1" x14ac:dyDescent="0.2">
      <c r="B50" s="389" t="s">
        <v>439</v>
      </c>
      <c r="C50" s="390" t="s">
        <v>426</v>
      </c>
      <c r="F50" s="391"/>
      <c r="G50" s="391"/>
      <c r="H50" s="391"/>
      <c r="I50" s="391"/>
      <c r="J50" s="391"/>
      <c r="K50" s="391"/>
      <c r="L50" s="391"/>
      <c r="M50" s="391"/>
      <c r="N50" s="391"/>
      <c r="O50" s="391"/>
      <c r="P50" s="391"/>
      <c r="Q50" s="391"/>
      <c r="R50" s="392">
        <f>R49/F49-1</f>
        <v>4.9116889546245712E-2</v>
      </c>
      <c r="S50" s="392">
        <f t="shared" ref="S50:AC50" si="144">S49/G49-1</f>
        <v>0.11118824761588519</v>
      </c>
      <c r="T50" s="392">
        <f t="shared" si="144"/>
        <v>9.4935944465766031E-3</v>
      </c>
      <c r="U50" s="392">
        <f t="shared" si="144"/>
        <v>0.11379175381327622</v>
      </c>
      <c r="V50" s="392">
        <f t="shared" si="144"/>
        <v>0.17264504912145839</v>
      </c>
      <c r="W50" s="392">
        <f t="shared" si="144"/>
        <v>0.18480202737680318</v>
      </c>
      <c r="X50" s="392">
        <f t="shared" si="144"/>
        <v>0.20611989279870468</v>
      </c>
      <c r="Y50" s="392">
        <f t="shared" si="144"/>
        <v>0.23876336034693346</v>
      </c>
      <c r="Z50" s="392">
        <f t="shared" si="144"/>
        <v>0.20938602714959154</v>
      </c>
      <c r="AA50" s="392">
        <f t="shared" si="144"/>
        <v>0.15295971852509571</v>
      </c>
      <c r="AB50" s="392">
        <f t="shared" si="144"/>
        <v>0.14785376460701483</v>
      </c>
      <c r="AC50" s="392">
        <f t="shared" si="144"/>
        <v>0.14916869298139224</v>
      </c>
      <c r="AD50" s="209">
        <v>0.15</v>
      </c>
      <c r="AE50" s="392"/>
      <c r="AF50" s="392"/>
      <c r="AG50" s="392"/>
      <c r="AH50" s="392"/>
      <c r="AI50" s="392"/>
      <c r="AJ50" s="392"/>
      <c r="AK50" s="392"/>
      <c r="AL50" s="392"/>
      <c r="AM50" s="392"/>
      <c r="AN50" s="392"/>
      <c r="AO50" s="392"/>
      <c r="AP50" s="209">
        <v>0.05</v>
      </c>
      <c r="AQ50" s="392">
        <f>AP50</f>
        <v>0.05</v>
      </c>
      <c r="AR50" s="392">
        <f t="shared" ref="AR50:BX50" si="145">AQ50</f>
        <v>0.05</v>
      </c>
      <c r="AS50" s="392">
        <f t="shared" si="145"/>
        <v>0.05</v>
      </c>
      <c r="AT50" s="392">
        <f t="shared" si="145"/>
        <v>0.05</v>
      </c>
      <c r="AU50" s="392">
        <f t="shared" si="145"/>
        <v>0.05</v>
      </c>
      <c r="AV50" s="392">
        <f t="shared" si="145"/>
        <v>0.05</v>
      </c>
      <c r="AW50" s="392">
        <f t="shared" si="145"/>
        <v>0.05</v>
      </c>
      <c r="AX50" s="392">
        <f t="shared" si="145"/>
        <v>0.05</v>
      </c>
      <c r="AY50" s="392">
        <f t="shared" si="145"/>
        <v>0.05</v>
      </c>
      <c r="AZ50" s="392">
        <f t="shared" si="145"/>
        <v>0.05</v>
      </c>
      <c r="BA50" s="392">
        <f t="shared" si="145"/>
        <v>0.05</v>
      </c>
      <c r="BB50" s="209">
        <f t="shared" si="145"/>
        <v>0.05</v>
      </c>
      <c r="BC50" s="392">
        <f t="shared" si="145"/>
        <v>0.05</v>
      </c>
      <c r="BD50" s="392">
        <f t="shared" si="145"/>
        <v>0.05</v>
      </c>
      <c r="BE50" s="392">
        <f t="shared" si="145"/>
        <v>0.05</v>
      </c>
      <c r="BF50" s="392">
        <f t="shared" si="145"/>
        <v>0.05</v>
      </c>
      <c r="BG50" s="392">
        <f t="shared" si="145"/>
        <v>0.05</v>
      </c>
      <c r="BH50" s="392">
        <f t="shared" si="145"/>
        <v>0.05</v>
      </c>
      <c r="BI50" s="392">
        <f t="shared" si="145"/>
        <v>0.05</v>
      </c>
      <c r="BJ50" s="392">
        <f t="shared" si="145"/>
        <v>0.05</v>
      </c>
      <c r="BK50" s="392">
        <f t="shared" si="145"/>
        <v>0.05</v>
      </c>
      <c r="BL50" s="392">
        <f t="shared" si="145"/>
        <v>0.05</v>
      </c>
      <c r="BM50" s="392">
        <f t="shared" si="145"/>
        <v>0.05</v>
      </c>
      <c r="BN50" s="392">
        <f t="shared" si="145"/>
        <v>0.05</v>
      </c>
      <c r="BO50" s="392">
        <f t="shared" si="145"/>
        <v>0.05</v>
      </c>
      <c r="BP50" s="392">
        <f t="shared" si="145"/>
        <v>0.05</v>
      </c>
      <c r="BQ50" s="392">
        <f t="shared" si="145"/>
        <v>0.05</v>
      </c>
      <c r="BR50" s="392">
        <f t="shared" si="145"/>
        <v>0.05</v>
      </c>
      <c r="BS50" s="392">
        <f t="shared" si="145"/>
        <v>0.05</v>
      </c>
      <c r="BT50" s="392">
        <f t="shared" si="145"/>
        <v>0.05</v>
      </c>
      <c r="BU50" s="392">
        <f t="shared" si="145"/>
        <v>0.05</v>
      </c>
      <c r="BV50" s="392">
        <f t="shared" si="145"/>
        <v>0.05</v>
      </c>
      <c r="BW50" s="392">
        <f t="shared" si="145"/>
        <v>0.05</v>
      </c>
      <c r="BX50" s="392">
        <f t="shared" si="145"/>
        <v>0.05</v>
      </c>
      <c r="BY50" s="392">
        <f t="shared" ref="BY50" si="146">BX50</f>
        <v>0.05</v>
      </c>
      <c r="BZ50" s="392">
        <f t="shared" ref="BZ50" si="147">BY50</f>
        <v>0.05</v>
      </c>
      <c r="CA50" s="392">
        <f t="shared" ref="CA50" si="148">BZ50</f>
        <v>0.05</v>
      </c>
      <c r="CB50" s="392">
        <f t="shared" ref="CB50" si="149">CA50</f>
        <v>0.05</v>
      </c>
      <c r="CC50" s="392">
        <f t="shared" ref="CC50" si="150">CB50</f>
        <v>0.05</v>
      </c>
      <c r="CD50" s="392">
        <f t="shared" ref="CD50" si="151">CC50</f>
        <v>0.05</v>
      </c>
      <c r="CE50" s="392">
        <f t="shared" ref="CE50" si="152">CD50</f>
        <v>0.05</v>
      </c>
      <c r="CF50" s="392">
        <f t="shared" ref="CF50" si="153">CE50</f>
        <v>0.05</v>
      </c>
      <c r="CG50" s="392">
        <f t="shared" ref="CG50" si="154">CF50</f>
        <v>0.05</v>
      </c>
      <c r="CH50" s="392">
        <f t="shared" ref="CH50" si="155">CG50</f>
        <v>0.05</v>
      </c>
      <c r="CI50" s="392">
        <f t="shared" ref="CI50" si="156">CH50</f>
        <v>0.05</v>
      </c>
      <c r="CJ50" s="392">
        <f t="shared" ref="CJ50" si="157">CI50</f>
        <v>0.05</v>
      </c>
      <c r="CK50" s="392">
        <f t="shared" ref="CK50" si="158">CJ50</f>
        <v>0.05</v>
      </c>
      <c r="CO50" s="388"/>
      <c r="CP50" s="392"/>
      <c r="CQ50" s="392"/>
      <c r="CR50" s="392"/>
      <c r="CS50" s="392"/>
      <c r="CT50" s="392"/>
      <c r="CU50" s="392"/>
    </row>
    <row r="51" spans="2:99" s="27" customFormat="1" outlineLevel="1" x14ac:dyDescent="0.2">
      <c r="B51" s="207" t="s">
        <v>442</v>
      </c>
      <c r="C51" s="376" t="s">
        <v>432</v>
      </c>
      <c r="F51" s="385">
        <v>14.776508542937409</v>
      </c>
      <c r="G51" s="385">
        <v>14.965110093184874</v>
      </c>
      <c r="H51" s="385">
        <v>11.897818818287451</v>
      </c>
      <c r="I51" s="385">
        <v>13.787259704277675</v>
      </c>
      <c r="J51" s="385">
        <v>14.369640865627799</v>
      </c>
      <c r="K51" s="385">
        <v>14.034356618743663</v>
      </c>
      <c r="L51" s="385">
        <v>16.870758417685398</v>
      </c>
      <c r="M51" s="385">
        <v>14.150125695044926</v>
      </c>
      <c r="N51" s="385">
        <v>13.940277045542766</v>
      </c>
      <c r="O51" s="385">
        <v>18.149400377327535</v>
      </c>
      <c r="P51" s="385">
        <v>15.686728724539904</v>
      </c>
      <c r="Q51" s="385">
        <v>18.401895147850102</v>
      </c>
      <c r="R51" s="385">
        <v>14.704846782545962</v>
      </c>
      <c r="S51" s="385">
        <v>12.769476226742491</v>
      </c>
      <c r="T51" s="385">
        <v>12.469778926046143</v>
      </c>
      <c r="U51" s="385">
        <v>12.503325523255416</v>
      </c>
      <c r="V51" s="385">
        <v>13.066204839417685</v>
      </c>
      <c r="W51" s="385">
        <v>11.920596041956932</v>
      </c>
      <c r="X51" s="385">
        <v>12.389723</v>
      </c>
      <c r="Y51" s="385">
        <v>10.857149269543999</v>
      </c>
      <c r="Z51" s="385">
        <v>12.360626999999999</v>
      </c>
      <c r="AA51" s="385">
        <v>14.741573695692399</v>
      </c>
      <c r="AB51" s="385">
        <v>16.303703438027402</v>
      </c>
      <c r="AC51" s="385">
        <v>17.895603758685699</v>
      </c>
      <c r="AD51" s="385">
        <f>30326.957/AD49</f>
        <v>13.163597057652295</v>
      </c>
      <c r="AE51" s="385">
        <f>28106.159/AE49</f>
        <v>12.199646404164703</v>
      </c>
      <c r="AF51" s="385">
        <f>35682.801/AF49</f>
        <v>15.488333176730933</v>
      </c>
      <c r="AG51" s="385">
        <f t="shared" ref="AG51:BN51" si="159">U51*(1+AG52)</f>
        <v>13.889791377515175</v>
      </c>
      <c r="AH51" s="385">
        <f t="shared" si="159"/>
        <v>14.323847358062524</v>
      </c>
      <c r="AI51" s="385">
        <f t="shared" si="159"/>
        <v>14.540875348336199</v>
      </c>
      <c r="AJ51" s="385">
        <f t="shared" si="159"/>
        <v>14.540875348336199</v>
      </c>
      <c r="AK51" s="385">
        <f t="shared" si="159"/>
        <v>15.626015299704569</v>
      </c>
      <c r="AL51" s="385">
        <f t="shared" si="159"/>
        <v>18.230351182988667</v>
      </c>
      <c r="AM51" s="385">
        <f t="shared" si="159"/>
        <v>17.796295202441318</v>
      </c>
      <c r="AN51" s="385">
        <f t="shared" si="159"/>
        <v>18.013323192714992</v>
      </c>
      <c r="AO51" s="385">
        <f t="shared" si="159"/>
        <v>22.51665399089374</v>
      </c>
      <c r="AP51" s="385">
        <f t="shared" si="159"/>
        <v>18.22776751643779</v>
      </c>
      <c r="AQ51" s="385">
        <f t="shared" si="159"/>
        <v>19.180544594822837</v>
      </c>
      <c r="AR51" s="385">
        <f t="shared" si="159"/>
        <v>21.311716216469819</v>
      </c>
      <c r="AS51" s="385">
        <f t="shared" si="159"/>
        <v>21.970841460278162</v>
      </c>
      <c r="AT51" s="385">
        <f t="shared" si="159"/>
        <v>22.886293187789754</v>
      </c>
      <c r="AU51" s="385">
        <f t="shared" si="159"/>
        <v>23.353360395703831</v>
      </c>
      <c r="AV51" s="385">
        <f t="shared" si="159"/>
        <v>23.82995958745289</v>
      </c>
      <c r="AW51" s="385">
        <f t="shared" si="159"/>
        <v>23.115060799829305</v>
      </c>
      <c r="AX51" s="385">
        <f t="shared" si="159"/>
        <v>22.421608975834424</v>
      </c>
      <c r="AY51" s="385">
        <f t="shared" si="159"/>
        <v>21.748960706559391</v>
      </c>
      <c r="AZ51" s="385">
        <f t="shared" si="159"/>
        <v>20.661512671231421</v>
      </c>
      <c r="BA51" s="385">
        <f t="shared" si="159"/>
        <v>27.548683561641894</v>
      </c>
      <c r="BB51" s="385">
        <f t="shared" si="159"/>
        <v>20.287505245795259</v>
      </c>
      <c r="BC51" s="385">
        <f t="shared" si="159"/>
        <v>21.347946134037819</v>
      </c>
      <c r="BD51" s="385">
        <f t="shared" si="159"/>
        <v>23.71994014893091</v>
      </c>
      <c r="BE51" s="385">
        <f t="shared" si="159"/>
        <v>24.453546545289594</v>
      </c>
      <c r="BF51" s="385">
        <f t="shared" si="159"/>
        <v>25.472444318009995</v>
      </c>
      <c r="BG51" s="385">
        <f t="shared" si="159"/>
        <v>25.992290120418364</v>
      </c>
      <c r="BH51" s="385">
        <f t="shared" si="159"/>
        <v>26.522745020835067</v>
      </c>
      <c r="BI51" s="385">
        <f t="shared" si="159"/>
        <v>25.727062670210017</v>
      </c>
      <c r="BJ51" s="385">
        <f t="shared" si="159"/>
        <v>24.955250790103715</v>
      </c>
      <c r="BK51" s="385">
        <f t="shared" si="159"/>
        <v>24.206593266400603</v>
      </c>
      <c r="BL51" s="385">
        <f t="shared" si="159"/>
        <v>22.996263603080571</v>
      </c>
      <c r="BM51" s="385">
        <f t="shared" si="159"/>
        <v>30.661684804107427</v>
      </c>
      <c r="BN51" s="385">
        <f t="shared" si="159"/>
        <v>22.579993338570123</v>
      </c>
      <c r="BO51" s="385">
        <f>BC51*(1+BO52)</f>
        <v>23.760264047184094</v>
      </c>
      <c r="BP51" s="385">
        <f t="shared" ref="BP51:BX51" si="160">BD51*(1+BP52)</f>
        <v>26.400293385760101</v>
      </c>
      <c r="BQ51" s="385">
        <f t="shared" si="160"/>
        <v>27.216797304907317</v>
      </c>
      <c r="BR51" s="385">
        <f t="shared" si="160"/>
        <v>28.350830525945124</v>
      </c>
      <c r="BS51" s="385">
        <f t="shared" si="160"/>
        <v>28.929418904025638</v>
      </c>
      <c r="BT51" s="385">
        <f t="shared" si="160"/>
        <v>29.519815208189431</v>
      </c>
      <c r="BU51" s="385">
        <f t="shared" si="160"/>
        <v>28.634220751943747</v>
      </c>
      <c r="BV51" s="385">
        <f t="shared" si="160"/>
        <v>27.775194129385437</v>
      </c>
      <c r="BW51" s="385">
        <f t="shared" si="160"/>
        <v>26.941938305503871</v>
      </c>
      <c r="BX51" s="385">
        <f t="shared" si="160"/>
        <v>25.594841390228677</v>
      </c>
      <c r="BY51" s="385">
        <f t="shared" ref="BY51" si="161">BM51*(1+BY52)</f>
        <v>34.126455186971569</v>
      </c>
      <c r="BZ51" s="385">
        <f t="shared" ref="BZ51" si="162">BN51*(1+BZ52)</f>
        <v>25.131532585828548</v>
      </c>
      <c r="CA51" s="385">
        <f t="shared" ref="CA51" si="163">BO51*(1+CA52)</f>
        <v>26.445173884515896</v>
      </c>
      <c r="CB51" s="385">
        <f t="shared" ref="CB51" si="164">BP51*(1+CB52)</f>
        <v>29.383526538350992</v>
      </c>
      <c r="CC51" s="385">
        <f t="shared" ref="CC51" si="165">BQ51*(1+CC52)</f>
        <v>30.292295400361844</v>
      </c>
      <c r="CD51" s="385">
        <f t="shared" ref="CD51" si="166">BR51*(1+CD52)</f>
        <v>31.554474375376923</v>
      </c>
      <c r="CE51" s="385">
        <f t="shared" ref="CE51" si="167">BS51*(1+CE52)</f>
        <v>32.198443240180538</v>
      </c>
      <c r="CF51" s="385">
        <f t="shared" ref="CF51" si="168">BT51*(1+CF52)</f>
        <v>32.855554326714838</v>
      </c>
      <c r="CG51" s="385">
        <f t="shared" ref="CG51" si="169">BU51*(1+CG52)</f>
        <v>31.869887696913391</v>
      </c>
      <c r="CH51" s="385">
        <f t="shared" ref="CH51" si="170">BV51*(1+CH52)</f>
        <v>30.913791066005992</v>
      </c>
      <c r="CI51" s="385">
        <f t="shared" ref="CI51" si="171">BW51*(1+CI52)</f>
        <v>29.986377334025807</v>
      </c>
      <c r="CJ51" s="385">
        <f t="shared" ref="CJ51" si="172">BX51*(1+CJ52)</f>
        <v>28.487058467324516</v>
      </c>
      <c r="CK51" s="385">
        <f t="shared" ref="CK51" si="173">BY51*(1+CK52)</f>
        <v>37.982744623099357</v>
      </c>
      <c r="CO51" s="396">
        <f>SUMIF($F$2:$CK$2,CO$3,$F51:$CK51)</f>
        <v>181.02988005104947</v>
      </c>
      <c r="CP51" s="396">
        <f>SUMIF($L$2:$CK$2,CP$3,$L51:$CK51)</f>
        <v>161.98260850191411</v>
      </c>
      <c r="CQ51" s="396">
        <f>SUMIF($L$2:$CK$2,CQ$3,$L51:$CK51)</f>
        <v>190.32960493954133</v>
      </c>
      <c r="CR51" s="396">
        <f>SUMIF($L$2:$CK$2,CR$3,$L51:$CK51)</f>
        <v>266.25630967405152</v>
      </c>
      <c r="CS51" s="396">
        <f>SUMIF($L$2:$CK$2,CS$3,$L51:$CK51)</f>
        <v>296.34327266721937</v>
      </c>
      <c r="CT51" s="396">
        <f t="shared" ref="CT51:CU51" si="174">SUMIF($L$2:$CK$2,CT$3,$L51:$CK51)</f>
        <v>329.8300624786151</v>
      </c>
      <c r="CU51" s="396">
        <f t="shared" si="174"/>
        <v>367.10085953869861</v>
      </c>
    </row>
    <row r="52" spans="2:99" s="27" customFormat="1" outlineLevel="1" x14ac:dyDescent="0.2">
      <c r="B52" s="389" t="s">
        <v>440</v>
      </c>
      <c r="C52" s="390" t="s">
        <v>426</v>
      </c>
      <c r="F52" s="393"/>
      <c r="G52" s="393"/>
      <c r="H52" s="393"/>
      <c r="I52" s="393"/>
      <c r="J52" s="393"/>
      <c r="K52" s="393"/>
      <c r="L52" s="393"/>
      <c r="M52" s="393"/>
      <c r="N52" s="393"/>
      <c r="O52" s="393"/>
      <c r="P52" s="393"/>
      <c r="Q52" s="393"/>
      <c r="R52" s="392">
        <f>R51/F51-1</f>
        <v>-4.8497085886840541E-3</v>
      </c>
      <c r="S52" s="392">
        <f t="shared" ref="S52:Z52" si="175">S51/G51-1</f>
        <v>-0.1467168535861475</v>
      </c>
      <c r="T52" s="392">
        <f t="shared" si="175"/>
        <v>4.8072685968252094E-2</v>
      </c>
      <c r="U52" s="392">
        <f t="shared" si="175"/>
        <v>-9.3124682392390246E-2</v>
      </c>
      <c r="V52" s="392">
        <f>V51/J51-1</f>
        <v>-9.0707627170275029E-2</v>
      </c>
      <c r="W52" s="392">
        <f t="shared" si="175"/>
        <v>-0.15061328667989571</v>
      </c>
      <c r="X52" s="392">
        <f t="shared" si="175"/>
        <v>-0.26560960134358791</v>
      </c>
      <c r="Y52" s="392">
        <f t="shared" si="175"/>
        <v>-0.23271711477828472</v>
      </c>
      <c r="Z52" s="392">
        <f t="shared" si="175"/>
        <v>-0.11331554174870873</v>
      </c>
      <c r="AA52" s="392">
        <f>AVERAGE(R52:Z52)</f>
        <v>-0.11662019225774688</v>
      </c>
      <c r="AB52" s="392">
        <f>AA52</f>
        <v>-0.11662019225774688</v>
      </c>
      <c r="AC52" s="392">
        <f>AB52</f>
        <v>-0.11662019225774688</v>
      </c>
      <c r="AD52" s="209">
        <f>AD51/R51-1</f>
        <v>-0.10481236205215461</v>
      </c>
      <c r="AE52" s="209">
        <f>AE51/S51-1</f>
        <v>-4.462436927400526E-2</v>
      </c>
      <c r="AF52" s="209">
        <f>AF51/T51-1</f>
        <v>0.24206958828915659</v>
      </c>
      <c r="AG52" s="392">
        <v>0.11088776755280172</v>
      </c>
      <c r="AH52" s="392">
        <v>9.625155384452766E-2</v>
      </c>
      <c r="AI52" s="392">
        <v>0.21981109813273325</v>
      </c>
      <c r="AJ52" s="392">
        <v>0.17362392592120091</v>
      </c>
      <c r="AK52" s="392">
        <v>0.43923740125209343</v>
      </c>
      <c r="AL52" s="392">
        <v>0.4748726891434123</v>
      </c>
      <c r="AM52" s="392">
        <v>0.20721814168602171</v>
      </c>
      <c r="AN52" s="392">
        <v>0.10486082264597663</v>
      </c>
      <c r="AO52" s="392">
        <v>0.2582226503514975</v>
      </c>
      <c r="AP52" s="392">
        <v>0.38471023054003162</v>
      </c>
      <c r="AQ52" s="392">
        <v>0.57222135456934242</v>
      </c>
      <c r="AR52" s="392">
        <v>0.37598513495872554</v>
      </c>
      <c r="AS52" s="392">
        <v>0.58179780121425062</v>
      </c>
      <c r="AT52" s="392">
        <v>0.5977755567820715</v>
      </c>
      <c r="AU52" s="392">
        <v>0.60604914327774484</v>
      </c>
      <c r="AV52" s="392">
        <v>0.63882565640586209</v>
      </c>
      <c r="AW52" s="392">
        <v>0.47926776958079165</v>
      </c>
      <c r="AX52" s="392">
        <v>0.22990548842288661</v>
      </c>
      <c r="AY52" s="392">
        <v>0.22210608776459506</v>
      </c>
      <c r="AZ52" s="392">
        <v>0.14701282213086686</v>
      </c>
      <c r="BA52" s="392">
        <v>0.22348034360625801</v>
      </c>
      <c r="BB52" s="209">
        <v>0.113</v>
      </c>
      <c r="BC52" s="392">
        <f>BB52</f>
        <v>0.113</v>
      </c>
      <c r="BD52" s="392">
        <f t="shared" ref="BD52:BX52" si="176">BC52</f>
        <v>0.113</v>
      </c>
      <c r="BE52" s="392">
        <f t="shared" si="176"/>
        <v>0.113</v>
      </c>
      <c r="BF52" s="392">
        <f t="shared" si="176"/>
        <v>0.113</v>
      </c>
      <c r="BG52" s="392">
        <f t="shared" si="176"/>
        <v>0.113</v>
      </c>
      <c r="BH52" s="392">
        <f t="shared" si="176"/>
        <v>0.113</v>
      </c>
      <c r="BI52" s="392">
        <f t="shared" si="176"/>
        <v>0.113</v>
      </c>
      <c r="BJ52" s="392">
        <f t="shared" si="176"/>
        <v>0.113</v>
      </c>
      <c r="BK52" s="392">
        <f t="shared" si="176"/>
        <v>0.113</v>
      </c>
      <c r="BL52" s="392">
        <f t="shared" si="176"/>
        <v>0.113</v>
      </c>
      <c r="BM52" s="392">
        <f t="shared" si="176"/>
        <v>0.113</v>
      </c>
      <c r="BN52" s="392">
        <f t="shared" si="176"/>
        <v>0.113</v>
      </c>
      <c r="BO52" s="392">
        <f t="shared" si="176"/>
        <v>0.113</v>
      </c>
      <c r="BP52" s="392">
        <f t="shared" si="176"/>
        <v>0.113</v>
      </c>
      <c r="BQ52" s="392">
        <f t="shared" si="176"/>
        <v>0.113</v>
      </c>
      <c r="BR52" s="392">
        <f t="shared" si="176"/>
        <v>0.113</v>
      </c>
      <c r="BS52" s="392">
        <f t="shared" si="176"/>
        <v>0.113</v>
      </c>
      <c r="BT52" s="392">
        <f t="shared" si="176"/>
        <v>0.113</v>
      </c>
      <c r="BU52" s="392">
        <f t="shared" si="176"/>
        <v>0.113</v>
      </c>
      <c r="BV52" s="392">
        <f t="shared" si="176"/>
        <v>0.113</v>
      </c>
      <c r="BW52" s="392">
        <f t="shared" si="176"/>
        <v>0.113</v>
      </c>
      <c r="BX52" s="392">
        <f t="shared" si="176"/>
        <v>0.113</v>
      </c>
      <c r="BY52" s="392">
        <f t="shared" ref="BY52" si="177">BX52</f>
        <v>0.113</v>
      </c>
      <c r="BZ52" s="392">
        <f t="shared" ref="BZ52" si="178">BY52</f>
        <v>0.113</v>
      </c>
      <c r="CA52" s="392">
        <f t="shared" ref="CA52" si="179">BZ52</f>
        <v>0.113</v>
      </c>
      <c r="CB52" s="392">
        <f t="shared" ref="CB52" si="180">CA52</f>
        <v>0.113</v>
      </c>
      <c r="CC52" s="392">
        <f t="shared" ref="CC52" si="181">CB52</f>
        <v>0.113</v>
      </c>
      <c r="CD52" s="392">
        <f t="shared" ref="CD52" si="182">CC52</f>
        <v>0.113</v>
      </c>
      <c r="CE52" s="392">
        <f t="shared" ref="CE52" si="183">CD52</f>
        <v>0.113</v>
      </c>
      <c r="CF52" s="392">
        <f t="shared" ref="CF52" si="184">CE52</f>
        <v>0.113</v>
      </c>
      <c r="CG52" s="392">
        <f t="shared" ref="CG52" si="185">CF52</f>
        <v>0.113</v>
      </c>
      <c r="CH52" s="392">
        <f t="shared" ref="CH52" si="186">CG52</f>
        <v>0.113</v>
      </c>
      <c r="CI52" s="392">
        <f t="shared" ref="CI52" si="187">CH52</f>
        <v>0.113</v>
      </c>
      <c r="CJ52" s="392">
        <f t="shared" ref="CJ52" si="188">CI52</f>
        <v>0.113</v>
      </c>
      <c r="CK52" s="392">
        <f t="shared" ref="CK52" si="189">CJ52</f>
        <v>0.113</v>
      </c>
      <c r="CO52" s="388"/>
      <c r="CP52" s="392">
        <f>CP51/CO51-1</f>
        <v>-0.10521617505222969</v>
      </c>
      <c r="CQ52" s="392">
        <f t="shared" ref="CQ52" si="190">CQ51/CP51-1</f>
        <v>0.17500024663013281</v>
      </c>
      <c r="CR52" s="392">
        <f>CR51/CQ51-1</f>
        <v>0.39892220003623979</v>
      </c>
      <c r="CS52" s="392">
        <f>CS51/CR51-1</f>
        <v>0.11299999999999999</v>
      </c>
      <c r="CT52" s="392">
        <f t="shared" ref="CT52:CU52" si="191">CT51/CS51-1</f>
        <v>0.11299999999999977</v>
      </c>
      <c r="CU52" s="392">
        <f t="shared" si="191"/>
        <v>0.11299999999999999</v>
      </c>
    </row>
    <row r="53" spans="2:99" s="27" customFormat="1" outlineLevel="1" x14ac:dyDescent="0.2">
      <c r="B53" s="207"/>
      <c r="C53" s="376"/>
      <c r="F53" s="386"/>
      <c r="G53" s="386"/>
      <c r="H53" s="386"/>
      <c r="I53" s="386"/>
      <c r="J53" s="386"/>
      <c r="K53" s="386"/>
      <c r="L53" s="386"/>
      <c r="M53" s="386"/>
      <c r="N53" s="386"/>
      <c r="O53" s="386"/>
      <c r="P53" s="386"/>
      <c r="Q53" s="386"/>
      <c r="R53" s="386"/>
      <c r="S53" s="386"/>
      <c r="T53" s="386"/>
      <c r="U53" s="386"/>
      <c r="V53" s="386"/>
      <c r="W53" s="386"/>
      <c r="X53" s="386"/>
      <c r="Y53" s="386"/>
      <c r="Z53" s="386"/>
      <c r="AA53" s="386"/>
      <c r="AB53" s="386"/>
      <c r="AC53" s="386"/>
      <c r="AD53" s="386"/>
      <c r="AE53" s="386"/>
      <c r="AF53" s="386"/>
      <c r="AG53" s="386"/>
      <c r="AH53" s="386"/>
      <c r="AI53" s="386"/>
      <c r="AJ53" s="386"/>
      <c r="AK53" s="386"/>
      <c r="AL53" s="386"/>
      <c r="AM53" s="386"/>
      <c r="AN53" s="386"/>
      <c r="AO53" s="386"/>
      <c r="AP53" s="386"/>
      <c r="AQ53" s="386"/>
      <c r="AR53" s="386"/>
      <c r="AS53" s="386"/>
      <c r="AT53" s="386"/>
      <c r="AU53" s="386"/>
      <c r="AV53" s="386"/>
      <c r="AW53" s="386"/>
      <c r="AX53" s="386"/>
      <c r="AY53" s="386"/>
      <c r="AZ53" s="386"/>
      <c r="BA53" s="386"/>
      <c r="BB53" s="386"/>
      <c r="BC53" s="386"/>
      <c r="BD53" s="386"/>
      <c r="BE53" s="386"/>
      <c r="BF53" s="386"/>
      <c r="BG53" s="386"/>
      <c r="BH53" s="386"/>
      <c r="BI53" s="386"/>
      <c r="BJ53" s="386"/>
      <c r="BK53" s="386"/>
      <c r="BL53" s="386"/>
      <c r="BM53" s="386"/>
      <c r="BN53" s="386"/>
      <c r="BO53" s="386"/>
      <c r="BP53" s="386"/>
      <c r="BQ53" s="386"/>
      <c r="BR53" s="386"/>
      <c r="BS53" s="386"/>
      <c r="BT53" s="386"/>
      <c r="BU53" s="386"/>
      <c r="BV53" s="386"/>
      <c r="BW53" s="386"/>
      <c r="BX53" s="386"/>
      <c r="BY53" s="386"/>
      <c r="BZ53" s="386"/>
      <c r="CA53" s="386"/>
      <c r="CB53" s="386"/>
      <c r="CC53" s="386"/>
      <c r="CD53" s="386"/>
      <c r="CE53" s="386"/>
      <c r="CF53" s="386"/>
      <c r="CG53" s="386"/>
      <c r="CH53" s="386"/>
      <c r="CI53" s="386"/>
      <c r="CJ53" s="386"/>
      <c r="CK53" s="386"/>
      <c r="CP53" s="208"/>
      <c r="CQ53" s="208"/>
      <c r="CR53" s="208"/>
      <c r="CS53" s="208"/>
      <c r="CT53" s="208"/>
      <c r="CU53" s="208"/>
    </row>
    <row r="54" spans="2:99" s="27" customFormat="1" outlineLevel="1" x14ac:dyDescent="0.2">
      <c r="B54" s="207" t="s">
        <v>438</v>
      </c>
      <c r="C54" s="376" t="s">
        <v>436</v>
      </c>
      <c r="F54" s="378">
        <v>1366.82</v>
      </c>
      <c r="G54" s="378">
        <v>1242.0899999999999</v>
      </c>
      <c r="H54" s="378">
        <v>1483.9</v>
      </c>
      <c r="I54" s="378">
        <v>1579.02</v>
      </c>
      <c r="J54" s="378">
        <v>2001.1</v>
      </c>
      <c r="K54" s="378">
        <v>1095.3399999999999</v>
      </c>
      <c r="L54" s="378">
        <v>1568.66</v>
      </c>
      <c r="M54" s="378">
        <v>1520.65</v>
      </c>
      <c r="N54" s="378">
        <v>1452.67</v>
      </c>
      <c r="O54" s="378">
        <v>1532.4</v>
      </c>
      <c r="P54" s="378">
        <v>1786.38</v>
      </c>
      <c r="Q54" s="378">
        <v>1701.45</v>
      </c>
      <c r="R54" s="378">
        <v>1872.1774611465464</v>
      </c>
      <c r="S54" s="378">
        <v>1815.530802929726</v>
      </c>
      <c r="T54" s="378">
        <v>1490.3473014778008</v>
      </c>
      <c r="U54" s="378">
        <v>1727.5707697490814</v>
      </c>
      <c r="V54" s="378">
        <v>1810.645742486781</v>
      </c>
      <c r="W54" s="378">
        <v>1889.4162363128939</v>
      </c>
      <c r="X54" s="378">
        <v>2106.6126433150798</v>
      </c>
      <c r="Y54" s="378">
        <v>2117.1457065316554</v>
      </c>
      <c r="Z54" s="378">
        <v>2127.7314350643137</v>
      </c>
      <c r="AA54" s="378">
        <v>2180.6600777276053</v>
      </c>
      <c r="AB54" s="378">
        <v>2224.2732792821575</v>
      </c>
      <c r="AC54" s="378">
        <v>2268.7587448678009</v>
      </c>
      <c r="AD54" s="378">
        <f>AVERAGE(R54:AB54)*(1+AD55)</f>
        <v>2524.6131720755216</v>
      </c>
      <c r="AE54" s="378">
        <f>AD54</f>
        <v>2524.6131720755216</v>
      </c>
      <c r="AF54" s="378">
        <f t="shared" ref="AF54:AO54" si="192">AE54</f>
        <v>2524.6131720755216</v>
      </c>
      <c r="AG54" s="378">
        <f t="shared" si="192"/>
        <v>2524.6131720755216</v>
      </c>
      <c r="AH54" s="378">
        <f t="shared" si="192"/>
        <v>2524.6131720755216</v>
      </c>
      <c r="AI54" s="378">
        <f t="shared" si="192"/>
        <v>2524.6131720755216</v>
      </c>
      <c r="AJ54" s="378">
        <f t="shared" si="192"/>
        <v>2524.6131720755216</v>
      </c>
      <c r="AK54" s="378">
        <f t="shared" si="192"/>
        <v>2524.6131720755216</v>
      </c>
      <c r="AL54" s="378">
        <f t="shared" si="192"/>
        <v>2524.6131720755216</v>
      </c>
      <c r="AM54" s="378">
        <f t="shared" si="192"/>
        <v>2524.6131720755216</v>
      </c>
      <c r="AN54" s="378">
        <f t="shared" si="192"/>
        <v>2524.6131720755216</v>
      </c>
      <c r="AO54" s="378">
        <f t="shared" si="192"/>
        <v>2524.6131720755216</v>
      </c>
      <c r="AP54" s="378">
        <f>AE54*(1+AP55)</f>
        <v>2701.3360941208075</v>
      </c>
      <c r="AQ54" s="378">
        <f t="shared" ref="AQ54:BX54" si="193">AF54*(1+AQ55)</f>
        <v>2701.3360941208075</v>
      </c>
      <c r="AR54" s="378">
        <f t="shared" si="193"/>
        <v>2701.3360941208075</v>
      </c>
      <c r="AS54" s="378">
        <f t="shared" si="193"/>
        <v>2701.3360941208075</v>
      </c>
      <c r="AT54" s="378">
        <f t="shared" si="193"/>
        <v>2701.3360941208075</v>
      </c>
      <c r="AU54" s="378">
        <f t="shared" si="193"/>
        <v>2701.3360941208075</v>
      </c>
      <c r="AV54" s="378">
        <f t="shared" si="193"/>
        <v>2701.3360941208075</v>
      </c>
      <c r="AW54" s="378">
        <f t="shared" si="193"/>
        <v>2701.3360941208075</v>
      </c>
      <c r="AX54" s="378">
        <f t="shared" si="193"/>
        <v>2701.3360941208075</v>
      </c>
      <c r="AY54" s="378">
        <f t="shared" si="193"/>
        <v>2701.3360941208075</v>
      </c>
      <c r="AZ54" s="378">
        <f t="shared" si="193"/>
        <v>2701.3360941208075</v>
      </c>
      <c r="BA54" s="378">
        <f t="shared" si="193"/>
        <v>2890.4296207092634</v>
      </c>
      <c r="BB54" s="378">
        <f t="shared" si="193"/>
        <v>2890.4296207092634</v>
      </c>
      <c r="BC54" s="378">
        <f t="shared" si="193"/>
        <v>2890.4296207092634</v>
      </c>
      <c r="BD54" s="378">
        <f t="shared" si="193"/>
        <v>2890.4296207092634</v>
      </c>
      <c r="BE54" s="378">
        <f t="shared" si="193"/>
        <v>2890.4296207092634</v>
      </c>
      <c r="BF54" s="378">
        <f t="shared" si="193"/>
        <v>2890.4296207092634</v>
      </c>
      <c r="BG54" s="378">
        <f t="shared" si="193"/>
        <v>2890.4296207092634</v>
      </c>
      <c r="BH54" s="378">
        <f t="shared" si="193"/>
        <v>2890.4296207092634</v>
      </c>
      <c r="BI54" s="378">
        <f t="shared" si="193"/>
        <v>2890.4296207092634</v>
      </c>
      <c r="BJ54" s="378">
        <f t="shared" si="193"/>
        <v>2890.4296207092634</v>
      </c>
      <c r="BK54" s="378">
        <f t="shared" si="193"/>
        <v>2890.4296207092634</v>
      </c>
      <c r="BL54" s="378">
        <f t="shared" si="193"/>
        <v>3092.7596941589113</v>
      </c>
      <c r="BM54" s="378">
        <f t="shared" si="193"/>
        <v>3092.7596941589113</v>
      </c>
      <c r="BN54" s="378">
        <f t="shared" si="193"/>
        <v>3092.7596941589113</v>
      </c>
      <c r="BO54" s="378">
        <f t="shared" si="193"/>
        <v>3092.7596941589113</v>
      </c>
      <c r="BP54" s="378">
        <f t="shared" si="193"/>
        <v>3092.7596941589113</v>
      </c>
      <c r="BQ54" s="378">
        <f t="shared" si="193"/>
        <v>3092.7596941589113</v>
      </c>
      <c r="BR54" s="378">
        <f t="shared" si="193"/>
        <v>3092.7596941589113</v>
      </c>
      <c r="BS54" s="378">
        <f t="shared" si="193"/>
        <v>3092.7596941589113</v>
      </c>
      <c r="BT54" s="378">
        <f t="shared" si="193"/>
        <v>3092.7596941589113</v>
      </c>
      <c r="BU54" s="378">
        <f t="shared" si="193"/>
        <v>3092.7596941589113</v>
      </c>
      <c r="BV54" s="378">
        <f t="shared" si="193"/>
        <v>3092.7596941589113</v>
      </c>
      <c r="BW54" s="378">
        <f t="shared" si="193"/>
        <v>3309.2528727500348</v>
      </c>
      <c r="BX54" s="378">
        <f t="shared" si="193"/>
        <v>3309.2528727500348</v>
      </c>
      <c r="BY54" s="378">
        <f t="shared" ref="BY54" si="194">BN54*(1+BY55)</f>
        <v>3309.2528727500348</v>
      </c>
      <c r="BZ54" s="378">
        <f t="shared" ref="BZ54" si="195">BO54*(1+BZ55)</f>
        <v>3309.2528727500348</v>
      </c>
      <c r="CA54" s="378">
        <f t="shared" ref="CA54" si="196">BP54*(1+CA55)</f>
        <v>3309.2528727500348</v>
      </c>
      <c r="CB54" s="378">
        <f t="shared" ref="CB54" si="197">BQ54*(1+CB55)</f>
        <v>3309.2528727500348</v>
      </c>
      <c r="CC54" s="378">
        <f t="shared" ref="CC54" si="198">BR54*(1+CC55)</f>
        <v>3309.2528727500348</v>
      </c>
      <c r="CD54" s="378">
        <f t="shared" ref="CD54" si="199">BS54*(1+CD55)</f>
        <v>3309.2528727500348</v>
      </c>
      <c r="CE54" s="378">
        <f t="shared" ref="CE54" si="200">BT54*(1+CE55)</f>
        <v>3309.2528727500348</v>
      </c>
      <c r="CF54" s="378">
        <f t="shared" ref="CF54" si="201">BU54*(1+CF55)</f>
        <v>3309.2528727500348</v>
      </c>
      <c r="CG54" s="378">
        <f t="shared" ref="CG54" si="202">BV54*(1+CG55)</f>
        <v>3309.2528727500348</v>
      </c>
      <c r="CH54" s="378">
        <f t="shared" ref="CH54" si="203">BW54*(1+CH55)</f>
        <v>3540.9005738425367</v>
      </c>
      <c r="CI54" s="378">
        <f t="shared" ref="CI54" si="204">BX54*(1+CI55)</f>
        <v>3540.9005738425367</v>
      </c>
      <c r="CJ54" s="378">
        <f t="shared" ref="CJ54" si="205">BY54*(1+CJ55)</f>
        <v>3540.9005738425367</v>
      </c>
      <c r="CK54" s="378">
        <f t="shared" ref="CK54" si="206">BZ54*(1+CK55)</f>
        <v>3540.9005738425367</v>
      </c>
      <c r="CP54" s="208"/>
      <c r="CQ54" s="208"/>
      <c r="CR54" s="208"/>
      <c r="CS54" s="208"/>
      <c r="CT54" s="208"/>
      <c r="CU54" s="208"/>
    </row>
    <row r="55" spans="2:99" s="27" customFormat="1" outlineLevel="1" x14ac:dyDescent="0.2">
      <c r="B55" s="389" t="s">
        <v>441</v>
      </c>
      <c r="C55" s="390" t="s">
        <v>426</v>
      </c>
      <c r="F55" s="391"/>
      <c r="G55" s="391"/>
      <c r="H55" s="391"/>
      <c r="I55" s="391"/>
      <c r="J55" s="391"/>
      <c r="K55" s="391"/>
      <c r="L55" s="391"/>
      <c r="M55" s="391"/>
      <c r="N55" s="391"/>
      <c r="O55" s="391"/>
      <c r="P55" s="391"/>
      <c r="Q55" s="391"/>
      <c r="R55" s="392">
        <f>R54/F54-1</f>
        <v>0.36973226990133767</v>
      </c>
      <c r="S55" s="392">
        <f t="shared" ref="S55:Z55" si="207">S54/G54-1</f>
        <v>0.46167411615078291</v>
      </c>
      <c r="T55" s="392">
        <f t="shared" si="207"/>
        <v>4.3448355534743133E-3</v>
      </c>
      <c r="U55" s="392">
        <f t="shared" si="207"/>
        <v>9.4077826594394898E-2</v>
      </c>
      <c r="V55" s="392">
        <f t="shared" si="207"/>
        <v>-9.5174782626165078E-2</v>
      </c>
      <c r="W55" s="392">
        <f t="shared" si="207"/>
        <v>0.72495867613060239</v>
      </c>
      <c r="X55" s="392">
        <f t="shared" si="207"/>
        <v>0.34293769415620967</v>
      </c>
      <c r="Y55" s="392">
        <f t="shared" si="207"/>
        <v>0.39226364155568683</v>
      </c>
      <c r="Z55" s="392">
        <f t="shared" si="207"/>
        <v>0.46470391421610802</v>
      </c>
      <c r="AA55" s="392">
        <f>AVERAGE(R55:Z55)</f>
        <v>0.30661313240360349</v>
      </c>
      <c r="AB55" s="392">
        <f>AA55</f>
        <v>0.30661313240360349</v>
      </c>
      <c r="AC55" s="392">
        <f>AB55</f>
        <v>0.30661313240360349</v>
      </c>
      <c r="AD55" s="209">
        <v>0.3</v>
      </c>
      <c r="AE55" s="392"/>
      <c r="AF55" s="392"/>
      <c r="AG55" s="392"/>
      <c r="AH55" s="392"/>
      <c r="AI55" s="392"/>
      <c r="AJ55" s="392"/>
      <c r="AK55" s="392"/>
      <c r="AL55" s="392"/>
      <c r="AM55" s="392"/>
      <c r="AN55" s="392"/>
      <c r="AO55" s="392"/>
      <c r="AP55" s="209">
        <v>6.999999999999984E-2</v>
      </c>
      <c r="AQ55" s="392">
        <f t="shared" ref="AQ55:BX55" si="208">AP55</f>
        <v>6.999999999999984E-2</v>
      </c>
      <c r="AR55" s="392">
        <f t="shared" si="208"/>
        <v>6.999999999999984E-2</v>
      </c>
      <c r="AS55" s="392">
        <f t="shared" si="208"/>
        <v>6.999999999999984E-2</v>
      </c>
      <c r="AT55" s="392">
        <f t="shared" si="208"/>
        <v>6.999999999999984E-2</v>
      </c>
      <c r="AU55" s="392">
        <f t="shared" si="208"/>
        <v>6.999999999999984E-2</v>
      </c>
      <c r="AV55" s="392">
        <f t="shared" si="208"/>
        <v>6.999999999999984E-2</v>
      </c>
      <c r="AW55" s="392">
        <f t="shared" si="208"/>
        <v>6.999999999999984E-2</v>
      </c>
      <c r="AX55" s="392">
        <f t="shared" si="208"/>
        <v>6.999999999999984E-2</v>
      </c>
      <c r="AY55" s="392">
        <f t="shared" si="208"/>
        <v>6.999999999999984E-2</v>
      </c>
      <c r="AZ55" s="392">
        <f t="shared" si="208"/>
        <v>6.999999999999984E-2</v>
      </c>
      <c r="BA55" s="392">
        <f t="shared" si="208"/>
        <v>6.999999999999984E-2</v>
      </c>
      <c r="BB55" s="209">
        <f t="shared" si="208"/>
        <v>6.999999999999984E-2</v>
      </c>
      <c r="BC55" s="392">
        <f t="shared" si="208"/>
        <v>6.999999999999984E-2</v>
      </c>
      <c r="BD55" s="392">
        <f t="shared" si="208"/>
        <v>6.999999999999984E-2</v>
      </c>
      <c r="BE55" s="392">
        <f t="shared" si="208"/>
        <v>6.999999999999984E-2</v>
      </c>
      <c r="BF55" s="392">
        <f t="shared" si="208"/>
        <v>6.999999999999984E-2</v>
      </c>
      <c r="BG55" s="392">
        <f t="shared" si="208"/>
        <v>6.999999999999984E-2</v>
      </c>
      <c r="BH55" s="392">
        <f t="shared" si="208"/>
        <v>6.999999999999984E-2</v>
      </c>
      <c r="BI55" s="392">
        <f t="shared" si="208"/>
        <v>6.999999999999984E-2</v>
      </c>
      <c r="BJ55" s="392">
        <f t="shared" si="208"/>
        <v>6.999999999999984E-2</v>
      </c>
      <c r="BK55" s="392">
        <f t="shared" si="208"/>
        <v>6.999999999999984E-2</v>
      </c>
      <c r="BL55" s="392">
        <f t="shared" si="208"/>
        <v>6.999999999999984E-2</v>
      </c>
      <c r="BM55" s="392">
        <f t="shared" si="208"/>
        <v>6.999999999999984E-2</v>
      </c>
      <c r="BN55" s="392">
        <f t="shared" si="208"/>
        <v>6.999999999999984E-2</v>
      </c>
      <c r="BO55" s="392">
        <f t="shared" si="208"/>
        <v>6.999999999999984E-2</v>
      </c>
      <c r="BP55" s="392">
        <f t="shared" si="208"/>
        <v>6.999999999999984E-2</v>
      </c>
      <c r="BQ55" s="392">
        <f t="shared" si="208"/>
        <v>6.999999999999984E-2</v>
      </c>
      <c r="BR55" s="392">
        <f t="shared" si="208"/>
        <v>6.999999999999984E-2</v>
      </c>
      <c r="BS55" s="392">
        <f t="shared" si="208"/>
        <v>6.999999999999984E-2</v>
      </c>
      <c r="BT55" s="392">
        <f t="shared" si="208"/>
        <v>6.999999999999984E-2</v>
      </c>
      <c r="BU55" s="392">
        <f t="shared" si="208"/>
        <v>6.999999999999984E-2</v>
      </c>
      <c r="BV55" s="392">
        <f t="shared" si="208"/>
        <v>6.999999999999984E-2</v>
      </c>
      <c r="BW55" s="392">
        <f t="shared" si="208"/>
        <v>6.999999999999984E-2</v>
      </c>
      <c r="BX55" s="392">
        <f t="shared" si="208"/>
        <v>6.999999999999984E-2</v>
      </c>
      <c r="BY55" s="392">
        <f t="shared" ref="BY55" si="209">BX55</f>
        <v>6.999999999999984E-2</v>
      </c>
      <c r="BZ55" s="392">
        <f t="shared" ref="BZ55" si="210">BY55</f>
        <v>6.999999999999984E-2</v>
      </c>
      <c r="CA55" s="392">
        <f t="shared" ref="CA55" si="211">BZ55</f>
        <v>6.999999999999984E-2</v>
      </c>
      <c r="CB55" s="392">
        <f t="shared" ref="CB55" si="212">CA55</f>
        <v>6.999999999999984E-2</v>
      </c>
      <c r="CC55" s="392">
        <f t="shared" ref="CC55" si="213">CB55</f>
        <v>6.999999999999984E-2</v>
      </c>
      <c r="CD55" s="392">
        <f t="shared" ref="CD55" si="214">CC55</f>
        <v>6.999999999999984E-2</v>
      </c>
      <c r="CE55" s="392">
        <f t="shared" ref="CE55" si="215">CD55</f>
        <v>6.999999999999984E-2</v>
      </c>
      <c r="CF55" s="392">
        <f t="shared" ref="CF55" si="216">CE55</f>
        <v>6.999999999999984E-2</v>
      </c>
      <c r="CG55" s="392">
        <f t="shared" ref="CG55" si="217">CF55</f>
        <v>6.999999999999984E-2</v>
      </c>
      <c r="CH55" s="392">
        <f t="shared" ref="CH55" si="218">CG55</f>
        <v>6.999999999999984E-2</v>
      </c>
      <c r="CI55" s="392">
        <f t="shared" ref="CI55" si="219">CH55</f>
        <v>6.999999999999984E-2</v>
      </c>
      <c r="CJ55" s="392">
        <f t="shared" ref="CJ55" si="220">CI55</f>
        <v>6.999999999999984E-2</v>
      </c>
      <c r="CK55" s="392">
        <f t="shared" ref="CK55" si="221">CJ55</f>
        <v>6.999999999999984E-2</v>
      </c>
      <c r="CO55" s="388"/>
      <c r="CP55" s="392"/>
      <c r="CQ55" s="392"/>
      <c r="CR55" s="392"/>
      <c r="CS55" s="392"/>
      <c r="CT55" s="392"/>
      <c r="CU55" s="392"/>
    </row>
    <row r="56" spans="2:99" s="27" customFormat="1" outlineLevel="1" x14ac:dyDescent="0.2">
      <c r="B56" s="207" t="s">
        <v>443</v>
      </c>
      <c r="C56" s="376" t="s">
        <v>432</v>
      </c>
      <c r="F56" s="387">
        <v>7.904905547182512</v>
      </c>
      <c r="G56" s="387">
        <v>11.646907228944764</v>
      </c>
      <c r="H56" s="387">
        <v>9.9700956937799035</v>
      </c>
      <c r="I56" s="387">
        <v>12.000030398601668</v>
      </c>
      <c r="J56" s="387">
        <v>9.8870621158362901</v>
      </c>
      <c r="K56" s="387">
        <v>18.746880420691291</v>
      </c>
      <c r="L56" s="387">
        <v>14.217981589382019</v>
      </c>
      <c r="M56" s="387">
        <v>14.199848748890277</v>
      </c>
      <c r="N56" s="387">
        <v>13.628721595407075</v>
      </c>
      <c r="O56" s="387">
        <v>11.533270686504828</v>
      </c>
      <c r="P56" s="387">
        <v>10.362864004299196</v>
      </c>
      <c r="Q56" s="387">
        <v>12.962869905080959</v>
      </c>
      <c r="R56" s="387">
        <v>7.2155058643463672</v>
      </c>
      <c r="S56" s="387">
        <v>7.2114661116585737</v>
      </c>
      <c r="T56" s="387">
        <v>19.362602831827139</v>
      </c>
      <c r="U56" s="387">
        <v>9.8492533376628959</v>
      </c>
      <c r="V56" s="387">
        <v>9.7278867017956134</v>
      </c>
      <c r="W56" s="387">
        <v>10.654484699085796</v>
      </c>
      <c r="X56" s="387">
        <v>14.866700623455499</v>
      </c>
      <c r="Y56" s="387">
        <v>14.998453103812601</v>
      </c>
      <c r="Z56" s="387">
        <v>16.162793325363499</v>
      </c>
      <c r="AA56" s="387">
        <v>13.011466855780228</v>
      </c>
      <c r="AB56" s="387">
        <v>13.248582566608544</v>
      </c>
      <c r="AC56" s="387">
        <v>13.958444306173693</v>
      </c>
      <c r="AD56" s="387">
        <f>7850.07/AD54</f>
        <v>3.1094149736794496</v>
      </c>
      <c r="AE56" s="387">
        <f>12248.198/AE54</f>
        <v>4.8515147332177531</v>
      </c>
      <c r="AF56" s="387">
        <f>14753.497/AF54</f>
        <v>5.8438643841309492</v>
      </c>
      <c r="AG56" s="387">
        <f>U56*(1+AG57)</f>
        <v>7.1694151801955961</v>
      </c>
      <c r="AH56" s="387">
        <f t="shared" ref="AH56:AK56" si="222">V56*(1+AH57)</f>
        <v>7.5655154663942463</v>
      </c>
      <c r="AI56" s="387">
        <f t="shared" si="222"/>
        <v>7.8031756381134381</v>
      </c>
      <c r="AJ56" s="387">
        <f t="shared" si="222"/>
        <v>9.11030658256899</v>
      </c>
      <c r="AK56" s="387">
        <f t="shared" si="222"/>
        <v>9.9025071549662922</v>
      </c>
      <c r="AL56" s="387">
        <f t="shared" ref="AL56" si="223">Z56*(1+AL57)</f>
        <v>9.5064068687676411</v>
      </c>
      <c r="AM56" s="387">
        <f t="shared" ref="AM56" si="224">AA56*(1+AM57)</f>
        <v>9.2053706512566649</v>
      </c>
      <c r="AN56" s="387">
        <f t="shared" ref="AN56" si="225">AB56*(1+AN57)</f>
        <v>9.4351088172518836</v>
      </c>
      <c r="AO56" s="387">
        <f t="shared" ref="AO56" si="226">AC56*(1+AO57)</f>
        <v>10.694707727363596</v>
      </c>
      <c r="AP56" s="387">
        <f t="shared" ref="AP56" si="227">AD56*(1+AP57)</f>
        <v>8.4957958581860353</v>
      </c>
      <c r="AQ56" s="387">
        <f t="shared" ref="AQ56:AR56" si="228">AE56*(1+AQ57)</f>
        <v>8.8497873522771204</v>
      </c>
      <c r="AR56" s="387">
        <f t="shared" si="228"/>
        <v>9.8330970580856896</v>
      </c>
      <c r="AS56" s="387">
        <f t="shared" ref="AS56" si="229">AG56*(1+AS57)</f>
        <v>10.137213461944009</v>
      </c>
      <c r="AT56" s="387">
        <f t="shared" ref="AT56" si="230">AH56*(1+AT57)</f>
        <v>10.559597356191677</v>
      </c>
      <c r="AU56" s="387">
        <f t="shared" ref="AU56" si="231">AI56*(1+AU57)</f>
        <v>10.775099343052732</v>
      </c>
      <c r="AV56" s="387">
        <f t="shared" ref="AV56" si="232">AJ56*(1+AV57)</f>
        <v>10.994999329645644</v>
      </c>
      <c r="AW56" s="387">
        <f t="shared" ref="AW56" si="233">AK56*(1+AW57)</f>
        <v>10.665149349756277</v>
      </c>
      <c r="AX56" s="387">
        <f t="shared" ref="AX56:AY56" si="234">AL56*(1+AX57)</f>
        <v>10.345194869263587</v>
      </c>
      <c r="AY56" s="387">
        <f t="shared" si="234"/>
        <v>10.034839023185679</v>
      </c>
      <c r="AZ56" s="387">
        <f t="shared" ref="AZ56" si="235">AN56*(1+AZ57)</f>
        <v>9.5330970720263934</v>
      </c>
      <c r="BA56" s="387">
        <f t="shared" ref="BA56" si="236">AO56*(1+BA57)</f>
        <v>11.879248687883358</v>
      </c>
      <c r="BB56" s="387">
        <f t="shared" ref="BB56" si="237">AP56*(1+BB57)</f>
        <v>9.2604174854227796</v>
      </c>
      <c r="BC56" s="387">
        <f t="shared" ref="BC56" si="238">AQ56*(1+BC57)</f>
        <v>9.6462682139820615</v>
      </c>
      <c r="BD56" s="387">
        <f t="shared" ref="BD56" si="239">AR56*(1+BD57)</f>
        <v>10.718075793313403</v>
      </c>
      <c r="BE56" s="387">
        <f t="shared" ref="BE56:BF56" si="240">AS56*(1+BE57)</f>
        <v>11.04956267351897</v>
      </c>
      <c r="BF56" s="387">
        <f t="shared" si="240"/>
        <v>11.509961118248929</v>
      </c>
      <c r="BG56" s="387">
        <f t="shared" ref="BG56" si="241">AU56*(1+BG57)</f>
        <v>11.74485828392748</v>
      </c>
      <c r="BH56" s="387">
        <f t="shared" ref="BH56" si="242">AV56*(1+BH57)</f>
        <v>11.984549269313753</v>
      </c>
      <c r="BI56" s="387">
        <f t="shared" ref="BI56" si="243">AW56*(1+BI57)</f>
        <v>11.625012791234342</v>
      </c>
      <c r="BJ56" s="387">
        <f t="shared" ref="BJ56" si="244">AX56*(1+BJ57)</f>
        <v>11.27626240749731</v>
      </c>
      <c r="BK56" s="387">
        <f t="shared" ref="BK56" si="245">AY56*(1+BK57)</f>
        <v>10.93797453527239</v>
      </c>
      <c r="BL56" s="387">
        <f t="shared" ref="BL56:BM56" si="246">AZ56*(1+BL57)</f>
        <v>10.39107580850877</v>
      </c>
      <c r="BM56" s="387">
        <f t="shared" si="246"/>
        <v>12.948381069792861</v>
      </c>
      <c r="BN56" s="387">
        <f t="shared" ref="BN56" si="247">BB56*(1+BN57)</f>
        <v>10.093855059110831</v>
      </c>
      <c r="BO56" s="387">
        <f t="shared" ref="BO56" si="248">BC56*(1+BO57)</f>
        <v>10.514432353240448</v>
      </c>
      <c r="BP56" s="387">
        <f t="shared" ref="BP56" si="249">BD56*(1+BP57)</f>
        <v>11.68270261471161</v>
      </c>
      <c r="BQ56" s="387">
        <f t="shared" ref="BQ56" si="250">BE56*(1+BQ57)</f>
        <v>12.044023314135679</v>
      </c>
      <c r="BR56" s="387">
        <f t="shared" ref="BR56" si="251">BF56*(1+BR57)</f>
        <v>12.545857618891334</v>
      </c>
      <c r="BS56" s="387">
        <f t="shared" ref="BS56:BT56" si="252">BG56*(1+BS57)</f>
        <v>12.801895529480953</v>
      </c>
      <c r="BT56" s="387">
        <f t="shared" si="252"/>
        <v>13.063158703551991</v>
      </c>
      <c r="BU56" s="387">
        <f t="shared" ref="BU56" si="253">BI56*(1+BU57)</f>
        <v>12.671263942445433</v>
      </c>
      <c r="BV56" s="387">
        <f t="shared" ref="BV56" si="254">BJ56*(1+BV57)</f>
        <v>12.291126024172069</v>
      </c>
      <c r="BW56" s="387">
        <f t="shared" ref="BW56" si="255">BK56*(1+BW57)</f>
        <v>11.922392243446907</v>
      </c>
      <c r="BX56" s="387">
        <f t="shared" ref="BX56" si="256">BL56*(1+BX57)</f>
        <v>11.326272631274561</v>
      </c>
      <c r="BY56" s="387">
        <f t="shared" ref="BY56" si="257">BM56*(1+BY57)</f>
        <v>14.11373536607422</v>
      </c>
      <c r="BZ56" s="387">
        <f t="shared" ref="BZ56" si="258">BN56*(1+BZ57)</f>
        <v>11.002302014430807</v>
      </c>
      <c r="CA56" s="387">
        <f t="shared" ref="CA56" si="259">BO56*(1+CA57)</f>
        <v>11.46073126503209</v>
      </c>
      <c r="CB56" s="387">
        <f t="shared" ref="CB56" si="260">BP56*(1+CB57)</f>
        <v>12.734145850035656</v>
      </c>
      <c r="CC56" s="387">
        <f t="shared" ref="CC56" si="261">BQ56*(1+CC57)</f>
        <v>13.12798541240789</v>
      </c>
      <c r="CD56" s="387">
        <f t="shared" ref="CD56" si="262">BR56*(1+CD57)</f>
        <v>13.674984804591556</v>
      </c>
      <c r="CE56" s="387">
        <f t="shared" ref="CE56" si="263">BS56*(1+CE57)</f>
        <v>13.95406612713424</v>
      </c>
      <c r="CF56" s="387">
        <f t="shared" ref="CF56" si="264">BT56*(1+CF57)</f>
        <v>14.238842986871672</v>
      </c>
      <c r="CG56" s="387">
        <f t="shared" ref="CG56" si="265">BU56*(1+CG57)</f>
        <v>13.811677697265523</v>
      </c>
      <c r="CH56" s="387">
        <f t="shared" ref="CH56" si="266">BV56*(1+CH57)</f>
        <v>13.397327366347556</v>
      </c>
      <c r="CI56" s="387">
        <f t="shared" ref="CI56" si="267">BW56*(1+CI57)</f>
        <v>12.99540754535713</v>
      </c>
      <c r="CJ56" s="387">
        <f t="shared" ref="CJ56" si="268">BX56*(1+CJ57)</f>
        <v>12.345637168089272</v>
      </c>
      <c r="CK56" s="387">
        <f t="shared" ref="CK56" si="269">BY56*(1+CK57)</f>
        <v>15.383971549020901</v>
      </c>
      <c r="CO56" s="396">
        <f>SUMIF($F$2:$CK$2,CO$3,$F56:$CK56)</f>
        <v>147.06143793460078</v>
      </c>
      <c r="CP56" s="396">
        <f>SUMIF($L$2:$CK$2,CP$3,$L56:$CK56)</f>
        <v>150.26764032757046</v>
      </c>
      <c r="CQ56" s="396">
        <f>SUMIF($L$2:$CK$2,CQ$3,$L56:$CK56)</f>
        <v>94.197308177906493</v>
      </c>
      <c r="CR56" s="396">
        <f>SUMIF($L$2:$CK$2,CR$3,$L56:$CK56)</f>
        <v>122.10311876149821</v>
      </c>
      <c r="CS56" s="396">
        <f>SUMIF($L$2:$CK$2,CS$3,$L56:$CK56)</f>
        <v>133.09239945003307</v>
      </c>
      <c r="CT56" s="396">
        <f t="shared" ref="CT56:CU56" si="270">SUMIF($L$2:$CK$2,CT$3,$L56:$CK56)</f>
        <v>145.07071540053605</v>
      </c>
      <c r="CU56" s="396">
        <f t="shared" si="270"/>
        <v>158.12707978658429</v>
      </c>
    </row>
    <row r="57" spans="2:99" s="27" customFormat="1" outlineLevel="1" x14ac:dyDescent="0.2">
      <c r="B57" s="389" t="s">
        <v>444</v>
      </c>
      <c r="C57" s="390" t="s">
        <v>426</v>
      </c>
      <c r="F57" s="394"/>
      <c r="G57" s="394"/>
      <c r="H57" s="394"/>
      <c r="I57" s="394"/>
      <c r="J57" s="394"/>
      <c r="K57" s="394"/>
      <c r="L57" s="394"/>
      <c r="M57" s="394"/>
      <c r="N57" s="394"/>
      <c r="O57" s="394"/>
      <c r="P57" s="394"/>
      <c r="Q57" s="394"/>
      <c r="R57" s="392">
        <f>R56/F56-1</f>
        <v>-8.7211628111339312E-2</v>
      </c>
      <c r="S57" s="392">
        <f t="shared" ref="S57:Z57" si="271">S56/G56-1</f>
        <v>-0.38082565870047302</v>
      </c>
      <c r="T57" s="392">
        <f t="shared" si="271"/>
        <v>0.94206790250839711</v>
      </c>
      <c r="U57" s="392">
        <f t="shared" si="271"/>
        <v>-0.17923096771399816</v>
      </c>
      <c r="V57" s="392">
        <f t="shared" si="271"/>
        <v>-1.6099364217174505E-2</v>
      </c>
      <c r="W57" s="392">
        <f t="shared" si="271"/>
        <v>-0.43166625806572934</v>
      </c>
      <c r="X57" s="392">
        <f t="shared" si="271"/>
        <v>4.5626661562000015E-2</v>
      </c>
      <c r="Y57" s="392">
        <f t="shared" si="271"/>
        <v>5.6240342347641858E-2</v>
      </c>
      <c r="Z57" s="392">
        <f t="shared" si="271"/>
        <v>0.18593612850749075</v>
      </c>
      <c r="AA57" s="392">
        <f>AVERAGE(R57:Z57)</f>
        <v>1.4981906457423933E-2</v>
      </c>
      <c r="AB57" s="392">
        <f>AA57</f>
        <v>1.4981906457423933E-2</v>
      </c>
      <c r="AC57" s="392">
        <f>AB57</f>
        <v>1.4981906457423933E-2</v>
      </c>
      <c r="AD57" s="209">
        <f>AD56/R56-1</f>
        <v>-0.56906486778094756</v>
      </c>
      <c r="AE57" s="209">
        <f>AE56/S56-1</f>
        <v>-0.32724987428361529</v>
      </c>
      <c r="AF57" s="209">
        <f>AF56/T56-1</f>
        <v>-0.69818807755922463</v>
      </c>
      <c r="AG57" s="392">
        <v>-0.27208541252764562</v>
      </c>
      <c r="AH57" s="392">
        <v>-0.22228581619913679</v>
      </c>
      <c r="AI57" s="392">
        <v>-0.26761585768826657</v>
      </c>
      <c r="AJ57" s="392">
        <v>-0.38720050848434573</v>
      </c>
      <c r="AK57" s="392">
        <v>-0.33976476864476923</v>
      </c>
      <c r="AL57" s="392">
        <v>-0.41183391525215562</v>
      </c>
      <c r="AM57" s="392">
        <v>-0.29251861044650307</v>
      </c>
      <c r="AN57" s="392">
        <v>-0.28784013159023225</v>
      </c>
      <c r="AO57" s="392">
        <v>-0.23381807508209029</v>
      </c>
      <c r="AP57" s="392">
        <v>1.7322811300843335</v>
      </c>
      <c r="AQ57" s="392">
        <v>0.82412871833278434</v>
      </c>
      <c r="AR57" s="392">
        <v>0.68263607978096252</v>
      </c>
      <c r="AS57" s="392">
        <v>0.41395263172183117</v>
      </c>
      <c r="AT57" s="392">
        <v>0.39575385221232273</v>
      </c>
      <c r="AU57" s="392">
        <v>0.38086079857326038</v>
      </c>
      <c r="AV57" s="392">
        <v>0.20687478846021401</v>
      </c>
      <c r="AW57" s="392">
        <v>7.7015061221895165E-2</v>
      </c>
      <c r="AX57" s="392">
        <v>8.823396810962314E-2</v>
      </c>
      <c r="AY57" s="392">
        <v>9.0107004199312613E-2</v>
      </c>
      <c r="AZ57" s="392">
        <v>1.0385492809085628E-2</v>
      </c>
      <c r="BA57" s="392">
        <v>0.11075954488115491</v>
      </c>
      <c r="BB57" s="209">
        <v>0.09</v>
      </c>
      <c r="BC57" s="392">
        <f>BB57</f>
        <v>0.09</v>
      </c>
      <c r="BD57" s="392">
        <f t="shared" ref="BD57:BX57" si="272">BC57</f>
        <v>0.09</v>
      </c>
      <c r="BE57" s="392">
        <f t="shared" si="272"/>
        <v>0.09</v>
      </c>
      <c r="BF57" s="392">
        <f t="shared" si="272"/>
        <v>0.09</v>
      </c>
      <c r="BG57" s="392">
        <f t="shared" si="272"/>
        <v>0.09</v>
      </c>
      <c r="BH57" s="392">
        <f t="shared" si="272"/>
        <v>0.09</v>
      </c>
      <c r="BI57" s="392">
        <f t="shared" si="272"/>
        <v>0.09</v>
      </c>
      <c r="BJ57" s="392">
        <f t="shared" si="272"/>
        <v>0.09</v>
      </c>
      <c r="BK57" s="392">
        <f t="shared" si="272"/>
        <v>0.09</v>
      </c>
      <c r="BL57" s="392">
        <f t="shared" si="272"/>
        <v>0.09</v>
      </c>
      <c r="BM57" s="392">
        <f t="shared" si="272"/>
        <v>0.09</v>
      </c>
      <c r="BN57" s="392">
        <f t="shared" si="272"/>
        <v>0.09</v>
      </c>
      <c r="BO57" s="392">
        <f t="shared" si="272"/>
        <v>0.09</v>
      </c>
      <c r="BP57" s="392">
        <f t="shared" si="272"/>
        <v>0.09</v>
      </c>
      <c r="BQ57" s="392">
        <f t="shared" si="272"/>
        <v>0.09</v>
      </c>
      <c r="BR57" s="392">
        <f t="shared" si="272"/>
        <v>0.09</v>
      </c>
      <c r="BS57" s="392">
        <f t="shared" si="272"/>
        <v>0.09</v>
      </c>
      <c r="BT57" s="392">
        <f t="shared" si="272"/>
        <v>0.09</v>
      </c>
      <c r="BU57" s="392">
        <f t="shared" si="272"/>
        <v>0.09</v>
      </c>
      <c r="BV57" s="392">
        <f t="shared" si="272"/>
        <v>0.09</v>
      </c>
      <c r="BW57" s="392">
        <f t="shared" si="272"/>
        <v>0.09</v>
      </c>
      <c r="BX57" s="392">
        <f t="shared" si="272"/>
        <v>0.09</v>
      </c>
      <c r="BY57" s="392">
        <f t="shared" ref="BY57" si="273">BX57</f>
        <v>0.09</v>
      </c>
      <c r="BZ57" s="392">
        <f t="shared" ref="BZ57" si="274">BY57</f>
        <v>0.09</v>
      </c>
      <c r="CA57" s="392">
        <f t="shared" ref="CA57" si="275">BZ57</f>
        <v>0.09</v>
      </c>
      <c r="CB57" s="392">
        <f t="shared" ref="CB57" si="276">CA57</f>
        <v>0.09</v>
      </c>
      <c r="CC57" s="392">
        <f t="shared" ref="CC57" si="277">CB57</f>
        <v>0.09</v>
      </c>
      <c r="CD57" s="392">
        <f t="shared" ref="CD57" si="278">CC57</f>
        <v>0.09</v>
      </c>
      <c r="CE57" s="392">
        <f t="shared" ref="CE57" si="279">CD57</f>
        <v>0.09</v>
      </c>
      <c r="CF57" s="392">
        <f t="shared" ref="CF57" si="280">CE57</f>
        <v>0.09</v>
      </c>
      <c r="CG57" s="392">
        <f t="shared" ref="CG57" si="281">CF57</f>
        <v>0.09</v>
      </c>
      <c r="CH57" s="392">
        <f t="shared" ref="CH57" si="282">CG57</f>
        <v>0.09</v>
      </c>
      <c r="CI57" s="392">
        <f t="shared" ref="CI57" si="283">CH57</f>
        <v>0.09</v>
      </c>
      <c r="CJ57" s="392">
        <f t="shared" ref="CJ57" si="284">CI57</f>
        <v>0.09</v>
      </c>
      <c r="CK57" s="392">
        <f t="shared" ref="CK57" si="285">CJ57</f>
        <v>0.09</v>
      </c>
      <c r="CO57" s="388"/>
      <c r="CP57" s="392">
        <f>CP56/CO56-1</f>
        <v>2.1801788680969603E-2</v>
      </c>
      <c r="CQ57" s="392">
        <f t="shared" ref="CQ57" si="286">CQ56/CP56-1</f>
        <v>-0.37313643860671197</v>
      </c>
      <c r="CR57" s="392">
        <f>CR56/CQ56-1</f>
        <v>0.29624849290690114</v>
      </c>
      <c r="CS57" s="392">
        <f>CS56/CR56-1</f>
        <v>9.000000000000008E-2</v>
      </c>
      <c r="CT57" s="392">
        <f t="shared" ref="CT57:CU57" si="287">CT56/CS56-1</f>
        <v>9.000000000000008E-2</v>
      </c>
      <c r="CU57" s="392">
        <f t="shared" si="287"/>
        <v>9.000000000000008E-2</v>
      </c>
    </row>
    <row r="58" spans="2:99" s="27" customFormat="1" outlineLevel="1" x14ac:dyDescent="0.2">
      <c r="B58" s="207"/>
      <c r="C58" s="376"/>
      <c r="F58" s="395"/>
      <c r="G58" s="395"/>
      <c r="H58" s="395"/>
      <c r="I58" s="395"/>
      <c r="J58" s="395"/>
      <c r="K58" s="395"/>
      <c r="L58" s="395"/>
      <c r="M58" s="395"/>
      <c r="N58" s="395"/>
      <c r="O58" s="395"/>
      <c r="P58" s="395"/>
      <c r="Q58" s="395"/>
      <c r="R58" s="246"/>
      <c r="S58" s="246"/>
      <c r="T58" s="246"/>
      <c r="U58" s="246"/>
      <c r="V58" s="246"/>
      <c r="W58" s="246"/>
      <c r="X58" s="246"/>
      <c r="Y58" s="246"/>
      <c r="Z58" s="246"/>
      <c r="AA58" s="246"/>
      <c r="AB58" s="246"/>
      <c r="AC58" s="246"/>
      <c r="AD58" s="395"/>
      <c r="AE58" s="395"/>
      <c r="AF58" s="395"/>
      <c r="AG58" s="395"/>
      <c r="AH58" s="395"/>
      <c r="AI58" s="395"/>
      <c r="AJ58" s="395"/>
      <c r="AK58" s="395"/>
      <c r="AL58" s="395"/>
      <c r="AM58" s="395"/>
      <c r="AN58" s="395"/>
      <c r="AO58" s="395"/>
      <c r="AP58" s="395"/>
      <c r="AQ58" s="395"/>
      <c r="AR58" s="395"/>
      <c r="AS58" s="395"/>
      <c r="AT58" s="395"/>
      <c r="AU58" s="395"/>
      <c r="AV58" s="395"/>
      <c r="AW58" s="395"/>
      <c r="AX58" s="395"/>
      <c r="AY58" s="395"/>
      <c r="AZ58" s="395"/>
      <c r="BA58" s="395"/>
      <c r="BB58" s="395"/>
      <c r="BC58" s="395"/>
      <c r="BD58" s="395"/>
      <c r="BE58" s="395"/>
      <c r="BF58" s="395"/>
      <c r="BG58" s="395"/>
      <c r="BH58" s="395"/>
      <c r="BI58" s="395"/>
      <c r="BJ58" s="395"/>
      <c r="BK58" s="395"/>
      <c r="BL58" s="395"/>
      <c r="BM58" s="395"/>
      <c r="BN58" s="395"/>
      <c r="BO58" s="395"/>
      <c r="BP58" s="395"/>
      <c r="BQ58" s="395"/>
      <c r="BR58" s="395"/>
      <c r="BS58" s="395"/>
      <c r="BT58" s="395"/>
      <c r="BU58" s="395"/>
      <c r="BV58" s="395"/>
      <c r="BW58" s="395"/>
      <c r="BX58" s="395"/>
      <c r="BY58" s="395"/>
      <c r="BZ58" s="395"/>
      <c r="CA58" s="395"/>
      <c r="CB58" s="395"/>
      <c r="CC58" s="395"/>
      <c r="CD58" s="395"/>
      <c r="CE58" s="395"/>
      <c r="CF58" s="395"/>
      <c r="CG58" s="395"/>
      <c r="CH58" s="395"/>
      <c r="CI58" s="395"/>
      <c r="CJ58" s="395"/>
      <c r="CK58" s="395"/>
      <c r="CP58" s="246"/>
      <c r="CQ58" s="246"/>
      <c r="CR58" s="246"/>
      <c r="CS58" s="246"/>
      <c r="CT58" s="246"/>
      <c r="CU58" s="246"/>
    </row>
    <row r="59" spans="2:99" s="27" customFormat="1" outlineLevel="1" x14ac:dyDescent="0.2">
      <c r="B59" s="207" t="s">
        <v>447</v>
      </c>
      <c r="C59" s="376" t="s">
        <v>432</v>
      </c>
      <c r="D59" s="376"/>
      <c r="F59" s="208"/>
      <c r="G59" s="208"/>
      <c r="H59" s="208"/>
      <c r="I59" s="208"/>
      <c r="J59" s="208"/>
      <c r="K59" s="208"/>
      <c r="L59" s="208"/>
      <c r="M59" s="208"/>
      <c r="N59" s="208"/>
      <c r="O59" s="208"/>
      <c r="P59" s="208"/>
      <c r="Q59" s="208"/>
      <c r="R59" s="208"/>
      <c r="S59" s="208"/>
      <c r="T59" s="208"/>
      <c r="U59" s="208"/>
      <c r="V59" s="208"/>
      <c r="W59" s="10"/>
      <c r="X59" s="208"/>
      <c r="Y59" s="208"/>
      <c r="Z59" s="208"/>
      <c r="AA59" s="208"/>
      <c r="AB59" s="208"/>
      <c r="AC59" s="208"/>
      <c r="AD59" s="208"/>
      <c r="AE59" s="208"/>
      <c r="AF59" s="378"/>
      <c r="AG59" s="378"/>
      <c r="AH59" s="378"/>
      <c r="AI59" s="378"/>
      <c r="AJ59" s="378"/>
      <c r="AK59" s="378">
        <v>22.222222222222221</v>
      </c>
      <c r="AL59" s="378">
        <v>28.148148148148149</v>
      </c>
      <c r="AM59" s="378">
        <v>31.111111111111111</v>
      </c>
      <c r="AN59" s="378">
        <v>37.037037037037038</v>
      </c>
      <c r="AO59" s="378">
        <v>42.962962962962962</v>
      </c>
      <c r="AP59" s="378">
        <v>36.518518518518519</v>
      </c>
      <c r="AQ59" s="378">
        <v>54.343033509700184</v>
      </c>
      <c r="AR59" s="378">
        <v>75.476435430139134</v>
      </c>
      <c r="AS59" s="378">
        <v>86.456397972667972</v>
      </c>
      <c r="AT59" s="378">
        <v>90.058747888195811</v>
      </c>
      <c r="AU59" s="378">
        <v>91.896681518567149</v>
      </c>
      <c r="AV59" s="378">
        <v>93.772123998537907</v>
      </c>
      <c r="AW59" s="378">
        <f>AK59*(1+AW60)</f>
        <v>86.627581217696928</v>
      </c>
      <c r="AX59" s="378">
        <f t="shared" ref="AX59:BX59" si="288">AL59*(1+AX60)</f>
        <v>84.028753781166017</v>
      </c>
      <c r="AY59" s="378">
        <f t="shared" si="288"/>
        <v>81.507891167731032</v>
      </c>
      <c r="AZ59" s="378">
        <f t="shared" si="288"/>
        <v>77.432496609344469</v>
      </c>
      <c r="BA59" s="378">
        <f t="shared" si="288"/>
        <v>103.2433288124593</v>
      </c>
      <c r="BB59" s="378">
        <f t="shared" si="288"/>
        <v>39.440000000000005</v>
      </c>
      <c r="BC59" s="378">
        <f t="shared" si="288"/>
        <v>58.690476190476204</v>
      </c>
      <c r="BD59" s="378">
        <f t="shared" si="288"/>
        <v>81.514550264550266</v>
      </c>
      <c r="BE59" s="378">
        <f t="shared" si="288"/>
        <v>93.372909810481417</v>
      </c>
      <c r="BF59" s="378">
        <f t="shared" si="288"/>
        <v>97.263447719251488</v>
      </c>
      <c r="BG59" s="378">
        <f t="shared" si="288"/>
        <v>99.248416040052533</v>
      </c>
      <c r="BH59" s="378">
        <f t="shared" si="288"/>
        <v>101.27389391842095</v>
      </c>
      <c r="BI59" s="378">
        <f t="shared" si="288"/>
        <v>93.557787715112696</v>
      </c>
      <c r="BJ59" s="378">
        <f t="shared" si="288"/>
        <v>90.751054083659298</v>
      </c>
      <c r="BK59" s="378">
        <f t="shared" si="288"/>
        <v>88.028522461149521</v>
      </c>
      <c r="BL59" s="378">
        <f t="shared" si="288"/>
        <v>83.627096338092031</v>
      </c>
      <c r="BM59" s="378">
        <f t="shared" si="288"/>
        <v>111.50279511745605</v>
      </c>
      <c r="BN59" s="378">
        <f t="shared" si="288"/>
        <v>42.595200000000006</v>
      </c>
      <c r="BO59" s="378">
        <f t="shared" si="288"/>
        <v>63.385714285714307</v>
      </c>
      <c r="BP59" s="378">
        <f t="shared" si="288"/>
        <v>88.035714285714292</v>
      </c>
      <c r="BQ59" s="378">
        <f t="shared" si="288"/>
        <v>100.84274259531993</v>
      </c>
      <c r="BR59" s="378">
        <f t="shared" si="288"/>
        <v>105.04452353679162</v>
      </c>
      <c r="BS59" s="378">
        <f t="shared" si="288"/>
        <v>107.18828932325674</v>
      </c>
      <c r="BT59" s="378">
        <f t="shared" si="288"/>
        <v>109.37580543189463</v>
      </c>
      <c r="BU59" s="378">
        <f t="shared" si="288"/>
        <v>101.04241073232171</v>
      </c>
      <c r="BV59" s="378">
        <f t="shared" si="288"/>
        <v>98.011138410352046</v>
      </c>
      <c r="BW59" s="378">
        <f t="shared" si="288"/>
        <v>95.070804258041491</v>
      </c>
      <c r="BX59" s="378">
        <f t="shared" si="288"/>
        <v>90.317264045139396</v>
      </c>
      <c r="BY59" s="378">
        <f t="shared" ref="BY59" si="289">BM59*(1+BY60)</f>
        <v>120.42301872685253</v>
      </c>
      <c r="BZ59" s="378">
        <f t="shared" ref="BZ59" si="290">BN59*(1+BZ60)</f>
        <v>46.00281600000001</v>
      </c>
      <c r="CA59" s="378">
        <f t="shared" ref="CA59" si="291">BO59*(1+CA60)</f>
        <v>68.456571428571451</v>
      </c>
      <c r="CB59" s="378">
        <f t="shared" ref="CB59" si="292">BP59*(1+CB60)</f>
        <v>95.078571428571436</v>
      </c>
      <c r="CC59" s="378">
        <f t="shared" ref="CC59" si="293">BQ59*(1+CC60)</f>
        <v>108.91016200294554</v>
      </c>
      <c r="CD59" s="378">
        <f t="shared" ref="CD59" si="294">BR59*(1+CD60)</f>
        <v>113.44808541973495</v>
      </c>
      <c r="CE59" s="378">
        <f t="shared" ref="CE59" si="295">BS59*(1+CE60)</f>
        <v>115.76335246911728</v>
      </c>
      <c r="CF59" s="378">
        <f t="shared" ref="CF59" si="296">BT59*(1+CF60)</f>
        <v>118.12586986644621</v>
      </c>
      <c r="CG59" s="378">
        <f t="shared" ref="CG59" si="297">BU59*(1+CG60)</f>
        <v>109.12580359090745</v>
      </c>
      <c r="CH59" s="378">
        <f t="shared" ref="CH59" si="298">BV59*(1+CH60)</f>
        <v>105.85202948318022</v>
      </c>
      <c r="CI59" s="378">
        <f t="shared" ref="CI59" si="299">BW59*(1+CI60)</f>
        <v>102.67646859868482</v>
      </c>
      <c r="CJ59" s="378">
        <f t="shared" ref="CJ59" si="300">BX59*(1+CJ60)</f>
        <v>97.542645168750553</v>
      </c>
      <c r="CK59" s="378">
        <f t="shared" ref="CK59" si="301">BY59*(1+CK60)</f>
        <v>130.05686022500075</v>
      </c>
      <c r="CO59" s="396">
        <f>SUMIF($F$2:$CK$2,CO$3,$F59:$CK59)</f>
        <v>0</v>
      </c>
      <c r="CP59" s="396">
        <f>SUMIF($L$2:$CK$2,CP$3,$L59:$CK59)</f>
        <v>0</v>
      </c>
      <c r="CQ59" s="396">
        <f>SUMIF($L$2:$CK$2,CQ$3,$L59:$CK59)</f>
        <v>161.48148148148147</v>
      </c>
      <c r="CR59" s="396">
        <f>SUMIF($L$2:$CK$2,CR$3,$L59:$CK59)</f>
        <v>961.36199042472447</v>
      </c>
      <c r="CS59" s="396">
        <f>SUMIF($L$2:$CK$2,CS$3,$L59:$CK59)</f>
        <v>1038.2709496587024</v>
      </c>
      <c r="CT59" s="396">
        <f t="shared" ref="CT59:CU59" si="302">SUMIF($L$2:$CK$2,CT$3,$L59:$CK59)</f>
        <v>1121.3326256313985</v>
      </c>
      <c r="CU59" s="396">
        <f t="shared" si="302"/>
        <v>1211.0392356819107</v>
      </c>
    </row>
    <row r="60" spans="2:99" s="27" customFormat="1" outlineLevel="1" x14ac:dyDescent="0.2">
      <c r="B60" s="389" t="s">
        <v>445</v>
      </c>
      <c r="C60" s="390" t="s">
        <v>426</v>
      </c>
      <c r="F60" s="394"/>
      <c r="G60" s="394"/>
      <c r="H60" s="394"/>
      <c r="I60" s="394"/>
      <c r="J60" s="394"/>
      <c r="K60" s="394"/>
      <c r="L60" s="394"/>
      <c r="M60" s="394"/>
      <c r="N60" s="394"/>
      <c r="O60" s="394"/>
      <c r="P60" s="394"/>
      <c r="Q60" s="394"/>
      <c r="R60" s="392"/>
      <c r="S60" s="392"/>
      <c r="T60" s="392"/>
      <c r="U60" s="392"/>
      <c r="V60" s="392"/>
      <c r="W60" s="392"/>
      <c r="X60" s="392"/>
      <c r="Y60" s="392"/>
      <c r="Z60" s="392"/>
      <c r="AA60" s="392"/>
      <c r="AB60" s="392"/>
      <c r="AC60" s="392"/>
      <c r="AD60" s="392"/>
      <c r="AE60" s="392"/>
      <c r="AF60" s="392"/>
      <c r="AG60" s="392"/>
      <c r="AH60" s="392"/>
      <c r="AI60" s="392"/>
      <c r="AJ60" s="392"/>
      <c r="AK60" s="392"/>
      <c r="AL60" s="392"/>
      <c r="AM60" s="392"/>
      <c r="AN60" s="392"/>
      <c r="AO60" s="392"/>
      <c r="AP60" s="392"/>
      <c r="AQ60" s="392"/>
      <c r="AR60" s="392"/>
      <c r="AS60" s="392"/>
      <c r="AT60" s="392"/>
      <c r="AU60" s="392"/>
      <c r="AV60" s="392"/>
      <c r="AW60" s="209">
        <v>2.898241154796362</v>
      </c>
      <c r="AX60" s="392">
        <v>1.9852320422256349</v>
      </c>
      <c r="AY60" s="392">
        <v>1.6198965018199258</v>
      </c>
      <c r="AZ60" s="392">
        <v>1.0906774084523008</v>
      </c>
      <c r="BA60" s="392">
        <v>1.4030774809796562</v>
      </c>
      <c r="BB60" s="209">
        <v>0.08</v>
      </c>
      <c r="BC60" s="392">
        <f>BB60</f>
        <v>0.08</v>
      </c>
      <c r="BD60" s="392">
        <f t="shared" ref="BD60:BE60" si="303">BC60</f>
        <v>0.08</v>
      </c>
      <c r="BE60" s="392">
        <f t="shared" si="303"/>
        <v>0.08</v>
      </c>
      <c r="BF60" s="392">
        <f>BE60</f>
        <v>0.08</v>
      </c>
      <c r="BG60" s="392">
        <f t="shared" ref="BG60:BX60" si="304">BF60</f>
        <v>0.08</v>
      </c>
      <c r="BH60" s="392">
        <f t="shared" si="304"/>
        <v>0.08</v>
      </c>
      <c r="BI60" s="392">
        <f t="shared" si="304"/>
        <v>0.08</v>
      </c>
      <c r="BJ60" s="392">
        <f t="shared" si="304"/>
        <v>0.08</v>
      </c>
      <c r="BK60" s="392">
        <f t="shared" si="304"/>
        <v>0.08</v>
      </c>
      <c r="BL60" s="392">
        <f t="shared" si="304"/>
        <v>0.08</v>
      </c>
      <c r="BM60" s="392">
        <f t="shared" si="304"/>
        <v>0.08</v>
      </c>
      <c r="BN60" s="392">
        <f t="shared" si="304"/>
        <v>0.08</v>
      </c>
      <c r="BO60" s="392">
        <f t="shared" si="304"/>
        <v>0.08</v>
      </c>
      <c r="BP60" s="392">
        <f t="shared" si="304"/>
        <v>0.08</v>
      </c>
      <c r="BQ60" s="392">
        <f t="shared" si="304"/>
        <v>0.08</v>
      </c>
      <c r="BR60" s="392">
        <f t="shared" si="304"/>
        <v>0.08</v>
      </c>
      <c r="BS60" s="392">
        <f t="shared" si="304"/>
        <v>0.08</v>
      </c>
      <c r="BT60" s="392">
        <f t="shared" si="304"/>
        <v>0.08</v>
      </c>
      <c r="BU60" s="392">
        <f t="shared" si="304"/>
        <v>0.08</v>
      </c>
      <c r="BV60" s="392">
        <f t="shared" si="304"/>
        <v>0.08</v>
      </c>
      <c r="BW60" s="392">
        <f t="shared" si="304"/>
        <v>0.08</v>
      </c>
      <c r="BX60" s="392">
        <f t="shared" si="304"/>
        <v>0.08</v>
      </c>
      <c r="BY60" s="392">
        <f t="shared" ref="BY60" si="305">BX60</f>
        <v>0.08</v>
      </c>
      <c r="BZ60" s="392">
        <f t="shared" ref="BZ60" si="306">BY60</f>
        <v>0.08</v>
      </c>
      <c r="CA60" s="392">
        <f t="shared" ref="CA60" si="307">BZ60</f>
        <v>0.08</v>
      </c>
      <c r="CB60" s="392">
        <f t="shared" ref="CB60" si="308">CA60</f>
        <v>0.08</v>
      </c>
      <c r="CC60" s="392">
        <f t="shared" ref="CC60" si="309">CB60</f>
        <v>0.08</v>
      </c>
      <c r="CD60" s="392">
        <f t="shared" ref="CD60" si="310">CC60</f>
        <v>0.08</v>
      </c>
      <c r="CE60" s="392">
        <f t="shared" ref="CE60" si="311">CD60</f>
        <v>0.08</v>
      </c>
      <c r="CF60" s="392">
        <f t="shared" ref="CF60" si="312">CE60</f>
        <v>0.08</v>
      </c>
      <c r="CG60" s="392">
        <f t="shared" ref="CG60" si="313">CF60</f>
        <v>0.08</v>
      </c>
      <c r="CH60" s="392">
        <f t="shared" ref="CH60" si="314">CG60</f>
        <v>0.08</v>
      </c>
      <c r="CI60" s="392">
        <f t="shared" ref="CI60" si="315">CH60</f>
        <v>0.08</v>
      </c>
      <c r="CJ60" s="392">
        <f t="shared" ref="CJ60" si="316">CI60</f>
        <v>0.08</v>
      </c>
      <c r="CK60" s="392">
        <f t="shared" ref="CK60" si="317">CJ60</f>
        <v>0.08</v>
      </c>
      <c r="CO60" s="388"/>
      <c r="CP60" s="392"/>
      <c r="CQ60" s="392"/>
      <c r="CR60" s="392">
        <f>CR59/CQ59-1</f>
        <v>4.9533884728136615</v>
      </c>
      <c r="CS60" s="392">
        <f>CS59/CR59-1</f>
        <v>8.0000000000000071E-2</v>
      </c>
      <c r="CT60" s="392">
        <f t="shared" ref="CT60:CU60" si="318">CT59/CS59-1</f>
        <v>7.9999999999999849E-2</v>
      </c>
      <c r="CU60" s="392">
        <f t="shared" si="318"/>
        <v>8.0000000000000293E-2</v>
      </c>
    </row>
    <row r="61" spans="2:99" s="27" customFormat="1" outlineLevel="1" x14ac:dyDescent="0.2">
      <c r="B61" s="207" t="s">
        <v>428</v>
      </c>
      <c r="C61" s="376" t="s">
        <v>429</v>
      </c>
      <c r="F61" s="208"/>
      <c r="G61" s="208"/>
      <c r="H61" s="208"/>
      <c r="I61" s="208"/>
      <c r="J61" s="208"/>
      <c r="K61" s="208"/>
      <c r="L61" s="208"/>
      <c r="M61" s="208"/>
      <c r="N61" s="208"/>
      <c r="O61" s="208"/>
      <c r="P61" s="208"/>
      <c r="Q61" s="208"/>
      <c r="R61" s="208"/>
      <c r="S61" s="208"/>
      <c r="T61" s="208"/>
      <c r="U61" s="208"/>
      <c r="V61" s="208"/>
      <c r="W61" s="10"/>
      <c r="X61" s="208"/>
      <c r="Y61" s="208"/>
      <c r="Z61" s="208"/>
      <c r="AA61" s="208"/>
      <c r="AB61" s="208"/>
      <c r="AC61" s="208"/>
      <c r="AD61" s="208"/>
      <c r="AE61" s="208"/>
      <c r="AF61" s="383">
        <v>675</v>
      </c>
      <c r="AG61" s="379">
        <f>AF61</f>
        <v>675</v>
      </c>
      <c r="AH61" s="379">
        <f t="shared" ref="AH61:AO61" si="319">AG61</f>
        <v>675</v>
      </c>
      <c r="AI61" s="379">
        <f t="shared" si="319"/>
        <v>675</v>
      </c>
      <c r="AJ61" s="379">
        <f t="shared" si="319"/>
        <v>675</v>
      </c>
      <c r="AK61" s="379">
        <f t="shared" si="319"/>
        <v>675</v>
      </c>
      <c r="AL61" s="379">
        <f t="shared" si="319"/>
        <v>675</v>
      </c>
      <c r="AM61" s="379">
        <f t="shared" si="319"/>
        <v>675</v>
      </c>
      <c r="AN61" s="379">
        <f t="shared" si="319"/>
        <v>675</v>
      </c>
      <c r="AO61" s="379">
        <f t="shared" si="319"/>
        <v>675</v>
      </c>
      <c r="AP61" s="379">
        <f>AO61*(1+AP62)</f>
        <v>708.75</v>
      </c>
      <c r="AQ61" s="379">
        <f>AP61</f>
        <v>708.75</v>
      </c>
      <c r="AR61" s="379">
        <f t="shared" ref="AR61:BA62" si="320">AQ61</f>
        <v>708.75</v>
      </c>
      <c r="AS61" s="379">
        <f t="shared" si="320"/>
        <v>708.75</v>
      </c>
      <c r="AT61" s="379">
        <f t="shared" si="320"/>
        <v>708.75</v>
      </c>
      <c r="AU61" s="379">
        <f t="shared" si="320"/>
        <v>708.75</v>
      </c>
      <c r="AV61" s="379">
        <f t="shared" si="320"/>
        <v>708.75</v>
      </c>
      <c r="AW61" s="379">
        <f t="shared" si="320"/>
        <v>708.75</v>
      </c>
      <c r="AX61" s="379">
        <f t="shared" si="320"/>
        <v>708.75</v>
      </c>
      <c r="AY61" s="379">
        <f t="shared" si="320"/>
        <v>708.75</v>
      </c>
      <c r="AZ61" s="379">
        <f t="shared" si="320"/>
        <v>708.75</v>
      </c>
      <c r="BA61" s="379">
        <f t="shared" si="320"/>
        <v>708.75</v>
      </c>
      <c r="BB61" s="379">
        <f>AP61*(1+BB62)</f>
        <v>758.36250000000007</v>
      </c>
      <c r="BC61" s="379">
        <f t="shared" ref="BC61:BX61" si="321">AQ61*(1+BC62)</f>
        <v>758.36250000000007</v>
      </c>
      <c r="BD61" s="379">
        <f t="shared" si="321"/>
        <v>758.36250000000007</v>
      </c>
      <c r="BE61" s="379">
        <f t="shared" si="321"/>
        <v>758.36250000000007</v>
      </c>
      <c r="BF61" s="379">
        <f t="shared" si="321"/>
        <v>758.36250000000007</v>
      </c>
      <c r="BG61" s="379">
        <f t="shared" si="321"/>
        <v>758.36250000000007</v>
      </c>
      <c r="BH61" s="379">
        <f t="shared" si="321"/>
        <v>758.36250000000007</v>
      </c>
      <c r="BI61" s="379">
        <f t="shared" si="321"/>
        <v>758.36250000000007</v>
      </c>
      <c r="BJ61" s="379">
        <f t="shared" si="321"/>
        <v>758.36250000000007</v>
      </c>
      <c r="BK61" s="379">
        <f t="shared" si="321"/>
        <v>758.36250000000007</v>
      </c>
      <c r="BL61" s="379">
        <f t="shared" si="321"/>
        <v>758.36250000000007</v>
      </c>
      <c r="BM61" s="379">
        <f t="shared" si="321"/>
        <v>758.36250000000007</v>
      </c>
      <c r="BN61" s="379">
        <f t="shared" si="321"/>
        <v>811.44787500000007</v>
      </c>
      <c r="BO61" s="379">
        <f t="shared" si="321"/>
        <v>811.44787500000007</v>
      </c>
      <c r="BP61" s="379">
        <f t="shared" si="321"/>
        <v>811.44787500000007</v>
      </c>
      <c r="BQ61" s="379">
        <f t="shared" si="321"/>
        <v>811.44787500000007</v>
      </c>
      <c r="BR61" s="379">
        <f t="shared" si="321"/>
        <v>811.44787500000007</v>
      </c>
      <c r="BS61" s="379">
        <f t="shared" si="321"/>
        <v>811.44787500000007</v>
      </c>
      <c r="BT61" s="379">
        <f t="shared" si="321"/>
        <v>811.44787500000007</v>
      </c>
      <c r="BU61" s="379">
        <f t="shared" si="321"/>
        <v>811.44787500000007</v>
      </c>
      <c r="BV61" s="379">
        <f t="shared" si="321"/>
        <v>811.44787500000007</v>
      </c>
      <c r="BW61" s="379">
        <f t="shared" si="321"/>
        <v>811.44787500000007</v>
      </c>
      <c r="BX61" s="379">
        <f t="shared" si="321"/>
        <v>811.44787500000007</v>
      </c>
      <c r="BY61" s="379">
        <f t="shared" ref="BY61" si="322">BM61*(1+BY62)</f>
        <v>811.44787500000007</v>
      </c>
      <c r="BZ61" s="379">
        <f t="shared" ref="BZ61" si="323">BN61*(1+BZ62)</f>
        <v>868.24922625000011</v>
      </c>
      <c r="CA61" s="379">
        <f t="shared" ref="CA61" si="324">BO61*(1+CA62)</f>
        <v>868.24922625000011</v>
      </c>
      <c r="CB61" s="379">
        <f t="shared" ref="CB61" si="325">BP61*(1+CB62)</f>
        <v>868.24922625000011</v>
      </c>
      <c r="CC61" s="379">
        <f t="shared" ref="CC61" si="326">BQ61*(1+CC62)</f>
        <v>868.24922625000011</v>
      </c>
      <c r="CD61" s="379">
        <f t="shared" ref="CD61" si="327">BR61*(1+CD62)</f>
        <v>868.24922625000011</v>
      </c>
      <c r="CE61" s="379">
        <f t="shared" ref="CE61" si="328">BS61*(1+CE62)</f>
        <v>868.24922625000011</v>
      </c>
      <c r="CF61" s="379">
        <f t="shared" ref="CF61" si="329">BT61*(1+CF62)</f>
        <v>868.24922625000011</v>
      </c>
      <c r="CG61" s="379">
        <f t="shared" ref="CG61" si="330">BU61*(1+CG62)</f>
        <v>868.24922625000011</v>
      </c>
      <c r="CH61" s="379">
        <f t="shared" ref="CH61" si="331">BV61*(1+CH62)</f>
        <v>868.24922625000011</v>
      </c>
      <c r="CI61" s="379">
        <f t="shared" ref="CI61" si="332">BW61*(1+CI62)</f>
        <v>868.24922625000011</v>
      </c>
      <c r="CJ61" s="379">
        <f t="shared" ref="CJ61" si="333">BX61*(1+CJ62)</f>
        <v>868.24922625000011</v>
      </c>
      <c r="CK61" s="379">
        <f t="shared" ref="CK61" si="334">BY61*(1+CK62)</f>
        <v>868.24922625000011</v>
      </c>
      <c r="CP61" s="208"/>
      <c r="CQ61" s="208"/>
      <c r="CR61" s="208"/>
      <c r="CS61" s="208"/>
      <c r="CT61" s="208"/>
      <c r="CU61" s="208"/>
    </row>
    <row r="62" spans="2:99" s="27" customFormat="1" outlineLevel="1" x14ac:dyDescent="0.2">
      <c r="B62" s="389" t="s">
        <v>430</v>
      </c>
      <c r="C62" s="390" t="s">
        <v>426</v>
      </c>
      <c r="F62" s="394"/>
      <c r="G62" s="394"/>
      <c r="H62" s="394"/>
      <c r="I62" s="394"/>
      <c r="J62" s="394"/>
      <c r="K62" s="394"/>
      <c r="L62" s="394"/>
      <c r="M62" s="394"/>
      <c r="N62" s="394"/>
      <c r="O62" s="394"/>
      <c r="P62" s="394"/>
      <c r="Q62" s="394"/>
      <c r="R62" s="392"/>
      <c r="S62" s="392"/>
      <c r="T62" s="392"/>
      <c r="U62" s="392"/>
      <c r="V62" s="392"/>
      <c r="W62" s="392"/>
      <c r="X62" s="392"/>
      <c r="Y62" s="392"/>
      <c r="Z62" s="392"/>
      <c r="AA62" s="392"/>
      <c r="AB62" s="392"/>
      <c r="AC62" s="392"/>
      <c r="AD62" s="392"/>
      <c r="AE62" s="392"/>
      <c r="AF62" s="392"/>
      <c r="AG62" s="392"/>
      <c r="AH62" s="392"/>
      <c r="AI62" s="392"/>
      <c r="AJ62" s="392"/>
      <c r="AK62" s="392"/>
      <c r="AL62" s="392"/>
      <c r="AM62" s="392"/>
      <c r="AN62" s="392"/>
      <c r="AO62" s="392"/>
      <c r="AP62" s="209">
        <v>0.05</v>
      </c>
      <c r="AQ62" s="392">
        <f>AP62</f>
        <v>0.05</v>
      </c>
      <c r="AR62" s="392">
        <f t="shared" si="320"/>
        <v>0.05</v>
      </c>
      <c r="AS62" s="392">
        <f t="shared" si="320"/>
        <v>0.05</v>
      </c>
      <c r="AT62" s="392">
        <f t="shared" si="320"/>
        <v>0.05</v>
      </c>
      <c r="AU62" s="392">
        <f t="shared" si="320"/>
        <v>0.05</v>
      </c>
      <c r="AV62" s="392">
        <f t="shared" si="320"/>
        <v>0.05</v>
      </c>
      <c r="AW62" s="392">
        <f t="shared" si="320"/>
        <v>0.05</v>
      </c>
      <c r="AX62" s="392">
        <f t="shared" si="320"/>
        <v>0.05</v>
      </c>
      <c r="AY62" s="392">
        <f t="shared" ref="AY62:BX62" si="335">AX62</f>
        <v>0.05</v>
      </c>
      <c r="AZ62" s="392">
        <f t="shared" si="335"/>
        <v>0.05</v>
      </c>
      <c r="BA62" s="392">
        <f t="shared" si="335"/>
        <v>0.05</v>
      </c>
      <c r="BB62" s="209">
        <v>7.0000000000000007E-2</v>
      </c>
      <c r="BC62" s="392">
        <f t="shared" si="335"/>
        <v>7.0000000000000007E-2</v>
      </c>
      <c r="BD62" s="392">
        <f t="shared" si="335"/>
        <v>7.0000000000000007E-2</v>
      </c>
      <c r="BE62" s="392">
        <f t="shared" si="335"/>
        <v>7.0000000000000007E-2</v>
      </c>
      <c r="BF62" s="392">
        <f t="shared" si="335"/>
        <v>7.0000000000000007E-2</v>
      </c>
      <c r="BG62" s="392">
        <f t="shared" si="335"/>
        <v>7.0000000000000007E-2</v>
      </c>
      <c r="BH62" s="392">
        <f t="shared" si="335"/>
        <v>7.0000000000000007E-2</v>
      </c>
      <c r="BI62" s="392">
        <f t="shared" si="335"/>
        <v>7.0000000000000007E-2</v>
      </c>
      <c r="BJ62" s="392">
        <f t="shared" si="335"/>
        <v>7.0000000000000007E-2</v>
      </c>
      <c r="BK62" s="392">
        <f t="shared" si="335"/>
        <v>7.0000000000000007E-2</v>
      </c>
      <c r="BL62" s="392">
        <f t="shared" si="335"/>
        <v>7.0000000000000007E-2</v>
      </c>
      <c r="BM62" s="392">
        <f t="shared" si="335"/>
        <v>7.0000000000000007E-2</v>
      </c>
      <c r="BN62" s="209">
        <f>BB62</f>
        <v>7.0000000000000007E-2</v>
      </c>
      <c r="BO62" s="392">
        <f t="shared" si="335"/>
        <v>7.0000000000000007E-2</v>
      </c>
      <c r="BP62" s="392">
        <f t="shared" si="335"/>
        <v>7.0000000000000007E-2</v>
      </c>
      <c r="BQ62" s="392">
        <f t="shared" si="335"/>
        <v>7.0000000000000007E-2</v>
      </c>
      <c r="BR62" s="392">
        <f t="shared" si="335"/>
        <v>7.0000000000000007E-2</v>
      </c>
      <c r="BS62" s="392">
        <f t="shared" si="335"/>
        <v>7.0000000000000007E-2</v>
      </c>
      <c r="BT62" s="392">
        <f t="shared" si="335"/>
        <v>7.0000000000000007E-2</v>
      </c>
      <c r="BU62" s="392">
        <f t="shared" si="335"/>
        <v>7.0000000000000007E-2</v>
      </c>
      <c r="BV62" s="392">
        <f t="shared" si="335"/>
        <v>7.0000000000000007E-2</v>
      </c>
      <c r="BW62" s="392">
        <f t="shared" si="335"/>
        <v>7.0000000000000007E-2</v>
      </c>
      <c r="BX62" s="392">
        <f t="shared" si="335"/>
        <v>7.0000000000000007E-2</v>
      </c>
      <c r="BY62" s="392">
        <f t="shared" ref="BY62" si="336">BX62</f>
        <v>7.0000000000000007E-2</v>
      </c>
      <c r="BZ62" s="392">
        <f t="shared" ref="BZ62" si="337">BY62</f>
        <v>7.0000000000000007E-2</v>
      </c>
      <c r="CA62" s="392">
        <f t="shared" ref="CA62" si="338">BZ62</f>
        <v>7.0000000000000007E-2</v>
      </c>
      <c r="CB62" s="392">
        <f t="shared" ref="CB62" si="339">CA62</f>
        <v>7.0000000000000007E-2</v>
      </c>
      <c r="CC62" s="392">
        <f t="shared" ref="CC62" si="340">CB62</f>
        <v>7.0000000000000007E-2</v>
      </c>
      <c r="CD62" s="392">
        <f t="shared" ref="CD62" si="341">CC62</f>
        <v>7.0000000000000007E-2</v>
      </c>
      <c r="CE62" s="392">
        <f t="shared" ref="CE62" si="342">CD62</f>
        <v>7.0000000000000007E-2</v>
      </c>
      <c r="CF62" s="392">
        <f t="shared" ref="CF62" si="343">CE62</f>
        <v>7.0000000000000007E-2</v>
      </c>
      <c r="CG62" s="392">
        <f t="shared" ref="CG62" si="344">CF62</f>
        <v>7.0000000000000007E-2</v>
      </c>
      <c r="CH62" s="392">
        <f t="shared" ref="CH62" si="345">CG62</f>
        <v>7.0000000000000007E-2</v>
      </c>
      <c r="CI62" s="392">
        <f t="shared" ref="CI62" si="346">CH62</f>
        <v>7.0000000000000007E-2</v>
      </c>
      <c r="CJ62" s="392">
        <f t="shared" ref="CJ62" si="347">CI62</f>
        <v>7.0000000000000007E-2</v>
      </c>
      <c r="CK62" s="392">
        <f t="shared" ref="CK62" si="348">CJ62</f>
        <v>7.0000000000000007E-2</v>
      </c>
      <c r="CO62" s="388"/>
      <c r="CP62" s="392"/>
      <c r="CQ62" s="392"/>
      <c r="CR62" s="392"/>
      <c r="CS62" s="392"/>
      <c r="CT62" s="392"/>
      <c r="CU62" s="392"/>
    </row>
    <row r="63" spans="2:99" s="27" customFormat="1" x14ac:dyDescent="0.2">
      <c r="B63" s="207"/>
      <c r="C63" s="376"/>
      <c r="D63" s="27" t="s">
        <v>446</v>
      </c>
      <c r="F63" s="208"/>
      <c r="G63" s="208"/>
      <c r="H63" s="208"/>
      <c r="I63" s="208"/>
      <c r="J63" s="208"/>
      <c r="K63" s="208"/>
      <c r="L63" s="208"/>
      <c r="M63" s="208"/>
      <c r="N63" s="208"/>
      <c r="O63" s="208"/>
      <c r="P63" s="208"/>
      <c r="Q63" s="208"/>
      <c r="R63" s="208"/>
      <c r="S63" s="208"/>
      <c r="T63" s="208"/>
      <c r="U63" s="208"/>
      <c r="V63" s="208"/>
      <c r="W63" s="10"/>
      <c r="X63" s="208"/>
      <c r="Y63" s="208"/>
      <c r="Z63" s="208"/>
      <c r="AA63" s="208"/>
      <c r="AB63" s="208"/>
      <c r="AC63" s="208"/>
      <c r="AD63" s="208"/>
      <c r="AE63" s="208"/>
      <c r="AF63" s="208"/>
      <c r="AG63" s="208"/>
      <c r="AH63" s="208"/>
      <c r="AI63" s="208"/>
      <c r="AJ63" s="208"/>
      <c r="AK63" s="208"/>
      <c r="AL63" s="378"/>
      <c r="AM63" s="378"/>
      <c r="AN63" s="378"/>
      <c r="AO63" s="378"/>
      <c r="AP63" s="378"/>
      <c r="AQ63" s="378"/>
      <c r="AR63" s="378"/>
      <c r="AS63" s="378"/>
      <c r="AT63" s="378"/>
      <c r="AU63" s="378"/>
      <c r="AV63" s="378"/>
      <c r="AW63" s="378"/>
      <c r="AX63" s="378"/>
      <c r="AY63" s="378"/>
      <c r="AZ63" s="378"/>
      <c r="BA63" s="378"/>
      <c r="BB63" s="378"/>
      <c r="BC63" s="378"/>
      <c r="BD63" s="378"/>
      <c r="BE63" s="378"/>
      <c r="BF63" s="378"/>
      <c r="BG63" s="378"/>
      <c r="BH63" s="378"/>
      <c r="BI63" s="378"/>
      <c r="BJ63" s="378"/>
      <c r="BK63" s="378"/>
      <c r="BL63" s="378"/>
      <c r="BM63" s="378"/>
      <c r="BN63" s="378"/>
      <c r="BO63" s="378"/>
      <c r="BP63" s="378"/>
      <c r="BQ63" s="378"/>
      <c r="BR63" s="378"/>
      <c r="BS63" s="378"/>
      <c r="BT63" s="378"/>
      <c r="BU63" s="378"/>
      <c r="BV63" s="378"/>
      <c r="BW63" s="378"/>
      <c r="BX63" s="378"/>
      <c r="BY63" s="378"/>
      <c r="BZ63" s="378"/>
      <c r="CA63" s="378"/>
      <c r="CB63" s="378"/>
      <c r="CC63" s="378"/>
      <c r="CD63" s="378"/>
      <c r="CE63" s="378"/>
      <c r="CF63" s="378"/>
      <c r="CG63" s="378"/>
      <c r="CH63" s="378"/>
      <c r="CI63" s="378"/>
      <c r="CJ63" s="378"/>
      <c r="CK63" s="378"/>
      <c r="CP63" s="208"/>
      <c r="CQ63" s="208"/>
      <c r="CR63" s="208"/>
      <c r="CS63" s="208"/>
      <c r="CT63" s="208"/>
      <c r="CU63" s="208"/>
    </row>
    <row r="64" spans="2:99" s="27" customFormat="1" x14ac:dyDescent="0.2">
      <c r="B64" s="207" t="s">
        <v>449</v>
      </c>
      <c r="C64" s="376" t="s">
        <v>432</v>
      </c>
      <c r="F64" s="208"/>
      <c r="G64" s="208"/>
      <c r="H64" s="208"/>
      <c r="I64" s="208"/>
      <c r="J64" s="208"/>
      <c r="K64" s="208"/>
      <c r="L64" s="208"/>
      <c r="M64" s="208"/>
      <c r="N64" s="208"/>
      <c r="O64" s="208"/>
      <c r="P64" s="208"/>
      <c r="Q64" s="208"/>
      <c r="R64" s="208"/>
      <c r="S64" s="208"/>
      <c r="T64" s="208"/>
      <c r="U64" s="208"/>
      <c r="V64" s="208"/>
      <c r="W64" s="10"/>
      <c r="X64" s="208"/>
      <c r="Y64" s="208"/>
      <c r="Z64" s="208"/>
      <c r="AA64" s="208"/>
      <c r="AB64" s="208"/>
      <c r="AC64" s="208"/>
      <c r="AD64" s="208"/>
      <c r="AE64" s="208"/>
      <c r="AF64" s="378">
        <f>AF51+AF56+AF59</f>
        <v>21.332197560861882</v>
      </c>
      <c r="AG64" s="378">
        <f t="shared" ref="AG64:AL64" si="349">AG51+AG56+AG59</f>
        <v>21.059206557710773</v>
      </c>
      <c r="AH64" s="378">
        <f t="shared" si="349"/>
        <v>21.889362824456772</v>
      </c>
      <c r="AI64" s="378">
        <f t="shared" si="349"/>
        <v>22.344050986449638</v>
      </c>
      <c r="AJ64" s="378">
        <f t="shared" si="349"/>
        <v>23.651181930905189</v>
      </c>
      <c r="AK64" s="378">
        <f t="shared" si="349"/>
        <v>47.750744676893085</v>
      </c>
      <c r="AL64" s="378">
        <f t="shared" si="349"/>
        <v>55.884906199904457</v>
      </c>
      <c r="AM64" s="378">
        <f t="shared" ref="AM64:BX64" si="350">AM51+AM56+AM59</f>
        <v>58.112776964809093</v>
      </c>
      <c r="AN64" s="378">
        <f t="shared" si="350"/>
        <v>64.485469047003917</v>
      </c>
      <c r="AO64" s="378">
        <f t="shared" si="350"/>
        <v>76.174324681220298</v>
      </c>
      <c r="AP64" s="378">
        <f t="shared" si="350"/>
        <v>63.242081893142341</v>
      </c>
      <c r="AQ64" s="378">
        <f t="shared" si="350"/>
        <v>82.373365456800144</v>
      </c>
      <c r="AR64" s="378">
        <f t="shared" si="350"/>
        <v>106.62124870469464</v>
      </c>
      <c r="AS64" s="378">
        <f t="shared" si="350"/>
        <v>118.56445289489014</v>
      </c>
      <c r="AT64" s="378">
        <f t="shared" si="350"/>
        <v>123.50463843217725</v>
      </c>
      <c r="AU64" s="378">
        <f t="shared" si="350"/>
        <v>126.02514125732371</v>
      </c>
      <c r="AV64" s="378">
        <f t="shared" si="350"/>
        <v>128.59708291563643</v>
      </c>
      <c r="AW64" s="378">
        <f t="shared" si="350"/>
        <v>120.40779136728251</v>
      </c>
      <c r="AX64" s="378">
        <f t="shared" si="350"/>
        <v>116.79555762626403</v>
      </c>
      <c r="AY64" s="378">
        <f t="shared" si="350"/>
        <v>113.2916908974761</v>
      </c>
      <c r="AZ64" s="378">
        <f t="shared" si="350"/>
        <v>107.62710635260228</v>
      </c>
      <c r="BA64" s="378">
        <f t="shared" si="350"/>
        <v>142.67126106198455</v>
      </c>
      <c r="BB64" s="378">
        <f t="shared" si="350"/>
        <v>68.987922731218049</v>
      </c>
      <c r="BC64" s="378">
        <f t="shared" si="350"/>
        <v>89.684690538496085</v>
      </c>
      <c r="BD64" s="444">
        <f t="shared" si="350"/>
        <v>115.95256620679459</v>
      </c>
      <c r="BE64" s="444">
        <f t="shared" si="350"/>
        <v>128.87601902928998</v>
      </c>
      <c r="BF64" s="378">
        <f t="shared" si="350"/>
        <v>134.24585315551042</v>
      </c>
      <c r="BG64" s="378">
        <f t="shared" si="350"/>
        <v>136.98556444439839</v>
      </c>
      <c r="BH64" s="378">
        <f t="shared" si="350"/>
        <v>139.78118820856977</v>
      </c>
      <c r="BI64" s="378">
        <f t="shared" si="350"/>
        <v>130.90986317655705</v>
      </c>
      <c r="BJ64" s="378">
        <f t="shared" si="350"/>
        <v>126.98256728126032</v>
      </c>
      <c r="BK64" s="378">
        <f t="shared" si="350"/>
        <v>123.17309026282251</v>
      </c>
      <c r="BL64" s="378">
        <f t="shared" si="350"/>
        <v>117.01443574968137</v>
      </c>
      <c r="BM64" s="378">
        <f t="shared" si="350"/>
        <v>155.11286099135634</v>
      </c>
      <c r="BN64" s="378">
        <f t="shared" si="350"/>
        <v>75.269048397680962</v>
      </c>
      <c r="BO64" s="378">
        <f t="shared" si="350"/>
        <v>97.660410686138846</v>
      </c>
      <c r="BP64" s="444">
        <f t="shared" si="350"/>
        <v>126.118710286186</v>
      </c>
      <c r="BQ64" s="444">
        <f t="shared" si="350"/>
        <v>140.10356321436294</v>
      </c>
      <c r="BR64" s="378">
        <f t="shared" si="350"/>
        <v>145.94121168162809</v>
      </c>
      <c r="BS64" s="378">
        <f t="shared" si="350"/>
        <v>148.91960375676334</v>
      </c>
      <c r="BT64" s="378">
        <f t="shared" si="350"/>
        <v>151.95877934363605</v>
      </c>
      <c r="BU64" s="378">
        <f t="shared" si="350"/>
        <v>142.34789542671089</v>
      </c>
      <c r="BV64" s="378">
        <f t="shared" si="350"/>
        <v>138.07745856390954</v>
      </c>
      <c r="BW64" s="378">
        <f t="shared" si="350"/>
        <v>133.93513480699227</v>
      </c>
      <c r="BX64" s="378">
        <f t="shared" si="350"/>
        <v>127.23837806664264</v>
      </c>
      <c r="BY64" s="378">
        <f t="shared" ref="BY64:CK64" si="351">BY51+BY56+BY59</f>
        <v>168.66320927989833</v>
      </c>
      <c r="BZ64" s="378">
        <f t="shared" si="351"/>
        <v>82.136650600259372</v>
      </c>
      <c r="CA64" s="378">
        <f t="shared" si="351"/>
        <v>106.36247657811944</v>
      </c>
      <c r="CB64" s="378">
        <f t="shared" si="351"/>
        <v>137.19624381695809</v>
      </c>
      <c r="CC64" s="378">
        <f t="shared" si="351"/>
        <v>152.33044281571529</v>
      </c>
      <c r="CD64" s="378">
        <f t="shared" si="351"/>
        <v>158.67754459970342</v>
      </c>
      <c r="CE64" s="378">
        <f t="shared" si="351"/>
        <v>161.91586183643204</v>
      </c>
      <c r="CF64" s="378">
        <f t="shared" si="351"/>
        <v>165.22026718003272</v>
      </c>
      <c r="CG64" s="378">
        <f t="shared" si="351"/>
        <v>154.80736898508638</v>
      </c>
      <c r="CH64" s="378">
        <f t="shared" si="351"/>
        <v>150.16314791553376</v>
      </c>
      <c r="CI64" s="378">
        <f t="shared" si="351"/>
        <v>145.65825347806776</v>
      </c>
      <c r="CJ64" s="378">
        <f t="shared" si="351"/>
        <v>138.37534080416435</v>
      </c>
      <c r="CK64" s="378">
        <f t="shared" si="351"/>
        <v>183.423576397121</v>
      </c>
      <c r="CO64" s="396">
        <f>SUMIF($F$2:$CK$2,CO$3,$F64:$CK64)</f>
        <v>0</v>
      </c>
      <c r="CP64" s="396">
        <f>SUMIF($L$2:$CK$2,CP$3,$L64:$CK64)</f>
        <v>0</v>
      </c>
      <c r="CQ64" s="396">
        <f>SUMIF($L$2:$CK$2,CQ$3,$L64:$CK64)</f>
        <v>412.68422143021508</v>
      </c>
      <c r="CR64" s="396">
        <f>SUMIF($L$2:$CK$2,CR$3,$L64:$CK64)</f>
        <v>1349.7214188602741</v>
      </c>
      <c r="CS64" s="396">
        <f>SUMIF($L$2:$CK$2,CS$3,$L64:$CK64)</f>
        <v>1467.7066217759548</v>
      </c>
      <c r="CT64" s="396">
        <f t="shared" ref="CT64:CU64" si="352">SUMIF($L$2:$CK$2,CT$3,$L64:$CK64)</f>
        <v>1596.2334035105496</v>
      </c>
      <c r="CU64" s="396">
        <f t="shared" si="352"/>
        <v>1736.2671750071936</v>
      </c>
    </row>
    <row r="65" spans="2:99" s="27" customFormat="1" x14ac:dyDescent="0.2">
      <c r="B65" s="207" t="s">
        <v>448</v>
      </c>
      <c r="C65" s="376" t="s">
        <v>431</v>
      </c>
      <c r="D65" s="380">
        <v>240</v>
      </c>
      <c r="F65" s="208"/>
      <c r="G65" s="208"/>
      <c r="H65" s="208"/>
      <c r="I65" s="208"/>
      <c r="J65" s="208"/>
      <c r="K65" s="208"/>
      <c r="L65" s="208"/>
      <c r="M65" s="208"/>
      <c r="N65" s="208"/>
      <c r="O65" s="208"/>
      <c r="P65" s="208"/>
      <c r="Q65" s="208"/>
      <c r="R65" s="208"/>
      <c r="S65" s="208"/>
      <c r="T65" s="208"/>
      <c r="U65" s="208"/>
      <c r="V65" s="208"/>
      <c r="W65" s="10"/>
      <c r="X65" s="208"/>
      <c r="Y65" s="208"/>
      <c r="Z65" s="208"/>
      <c r="AA65" s="208"/>
      <c r="AB65" s="208"/>
      <c r="AC65" s="208"/>
      <c r="AD65" s="208"/>
      <c r="AE65" s="208"/>
      <c r="AF65" s="208">
        <f>AF64/$D$65</f>
        <v>8.8884156503591175E-2</v>
      </c>
      <c r="AG65" s="208">
        <f t="shared" ref="AG65:AL65" si="353">AG64/$D$65</f>
        <v>8.7746693990461561E-2</v>
      </c>
      <c r="AH65" s="208">
        <f t="shared" si="353"/>
        <v>9.1205678435236553E-2</v>
      </c>
      <c r="AI65" s="208">
        <f t="shared" si="353"/>
        <v>9.3100212443540151E-2</v>
      </c>
      <c r="AJ65" s="208">
        <f t="shared" si="353"/>
        <v>9.8546591378771614E-2</v>
      </c>
      <c r="AK65" s="208">
        <f t="shared" si="353"/>
        <v>0.19896143615372119</v>
      </c>
      <c r="AL65" s="208">
        <f t="shared" si="353"/>
        <v>0.23285377583293523</v>
      </c>
      <c r="AM65" s="208">
        <f t="shared" ref="AM65" si="354">AM64/$D$65</f>
        <v>0.24213657068670455</v>
      </c>
      <c r="AN65" s="208">
        <f t="shared" ref="AN65" si="355">AN64/$D$65</f>
        <v>0.26868945436251634</v>
      </c>
      <c r="AO65" s="208">
        <f t="shared" ref="AO65" si="356">AO64/$D$65</f>
        <v>0.31739301950508458</v>
      </c>
      <c r="AP65" s="208">
        <f t="shared" ref="AP65" si="357">AP64/$D$65</f>
        <v>0.26350867455475974</v>
      </c>
      <c r="AQ65" s="208">
        <f t="shared" ref="AQ65:AR65" si="358">AQ64/$D$65</f>
        <v>0.34322235607000062</v>
      </c>
      <c r="AR65" s="208">
        <f t="shared" si="358"/>
        <v>0.44425520293622767</v>
      </c>
      <c r="AS65" s="208">
        <f t="shared" ref="AS65" si="359">AS64/$D$65</f>
        <v>0.4940185537287089</v>
      </c>
      <c r="AT65" s="208">
        <f t="shared" ref="AT65" si="360">AT64/$D$65</f>
        <v>0.51460266013407185</v>
      </c>
      <c r="AU65" s="208">
        <f t="shared" ref="AU65" si="361">AU64/$D$65</f>
        <v>0.52510475523884881</v>
      </c>
      <c r="AV65" s="208">
        <f t="shared" ref="AV65" si="362">AV64/$D$65</f>
        <v>0.53582117881515179</v>
      </c>
      <c r="AW65" s="208">
        <f t="shared" ref="AW65:AX65" si="363">AW64/$D$65</f>
        <v>0.50169913069701044</v>
      </c>
      <c r="AX65" s="208">
        <f t="shared" si="363"/>
        <v>0.48664815677610013</v>
      </c>
      <c r="AY65" s="208">
        <f t="shared" ref="AY65" si="364">AY64/$D$65</f>
        <v>0.47204871207281707</v>
      </c>
      <c r="AZ65" s="208">
        <f t="shared" ref="AZ65" si="365">AZ64/$D$65</f>
        <v>0.44844627646917617</v>
      </c>
      <c r="BA65" s="208">
        <f t="shared" ref="BA65" si="366">BA64/$D$65</f>
        <v>0.59446358775826902</v>
      </c>
      <c r="BB65" s="208">
        <f t="shared" ref="BB65" si="367">BB64/$D$65</f>
        <v>0.28744967804674187</v>
      </c>
      <c r="BC65" s="208">
        <f t="shared" ref="BC65:BD65" si="368">BC64/$D$65</f>
        <v>0.37368621057706702</v>
      </c>
      <c r="BD65" s="246">
        <f t="shared" si="368"/>
        <v>0.48313569252831079</v>
      </c>
      <c r="BE65" s="208">
        <f t="shared" ref="BE65" si="369">BE64/$D$65</f>
        <v>0.53698341262204152</v>
      </c>
      <c r="BF65" s="208">
        <f t="shared" ref="BF65" si="370">BF64/$D$65</f>
        <v>0.55935772148129337</v>
      </c>
      <c r="BG65" s="208">
        <f t="shared" ref="BG65" si="371">BG64/$D$65</f>
        <v>0.57077318518499331</v>
      </c>
      <c r="BH65" s="208">
        <f t="shared" ref="BH65" si="372">BH64/$D$65</f>
        <v>0.58242161753570743</v>
      </c>
      <c r="BI65" s="208">
        <f t="shared" ref="BI65:BJ65" si="373">BI64/$D$65</f>
        <v>0.54545776323565442</v>
      </c>
      <c r="BJ65" s="208">
        <f t="shared" si="373"/>
        <v>0.5290940303385846</v>
      </c>
      <c r="BK65" s="208">
        <f t="shared" ref="BK65" si="374">BK64/$D$65</f>
        <v>0.51322120942842708</v>
      </c>
      <c r="BL65" s="208">
        <f t="shared" ref="BL65" si="375">BL64/$D$65</f>
        <v>0.48756014895700572</v>
      </c>
      <c r="BM65" s="208">
        <f t="shared" ref="BM65" si="376">BM64/$D$65</f>
        <v>0.64630358746398475</v>
      </c>
      <c r="BN65" s="208">
        <f t="shared" ref="BN65" si="377">BN64/$D$65</f>
        <v>0.31362103499033733</v>
      </c>
      <c r="BO65" s="208">
        <f t="shared" ref="BO65:BP65" si="378">BO64/$D$65</f>
        <v>0.40691837785891188</v>
      </c>
      <c r="BP65" s="246">
        <f t="shared" si="378"/>
        <v>0.52549462619244169</v>
      </c>
      <c r="BQ65" s="246">
        <f t="shared" ref="BQ65" si="379">BQ64/$D$65</f>
        <v>0.58376484672651219</v>
      </c>
      <c r="BR65" s="208">
        <f t="shared" ref="BR65" si="380">BR64/$D$65</f>
        <v>0.60808838200678372</v>
      </c>
      <c r="BS65" s="208">
        <f t="shared" ref="BS65" si="381">BS64/$D$65</f>
        <v>0.6204983489865139</v>
      </c>
      <c r="BT65" s="208">
        <f t="shared" ref="BT65" si="382">BT64/$D$65</f>
        <v>0.6331615805984836</v>
      </c>
      <c r="BU65" s="208">
        <f t="shared" ref="BU65:BV65" si="383">BU64/$D$65</f>
        <v>0.59311623094462873</v>
      </c>
      <c r="BV65" s="208">
        <f t="shared" si="383"/>
        <v>0.5753227440162898</v>
      </c>
      <c r="BW65" s="208">
        <f t="shared" ref="BW65" si="384">BW64/$D$65</f>
        <v>0.55806306169580111</v>
      </c>
      <c r="BX65" s="208">
        <f t="shared" ref="BX65:CK65" si="385">BX64/$D$65</f>
        <v>0.53015990861101103</v>
      </c>
      <c r="BY65" s="208">
        <f t="shared" si="385"/>
        <v>0.70276337199957639</v>
      </c>
      <c r="BZ65" s="208">
        <f t="shared" si="385"/>
        <v>0.34223604416774739</v>
      </c>
      <c r="CA65" s="208">
        <f t="shared" si="385"/>
        <v>0.44317698574216435</v>
      </c>
      <c r="CB65" s="208">
        <f t="shared" si="385"/>
        <v>0.57165101590399203</v>
      </c>
      <c r="CC65" s="208">
        <f t="shared" si="385"/>
        <v>0.63471017839881372</v>
      </c>
      <c r="CD65" s="208">
        <f t="shared" si="385"/>
        <v>0.6611564358320976</v>
      </c>
      <c r="CE65" s="208">
        <f t="shared" si="385"/>
        <v>0.67464942431846686</v>
      </c>
      <c r="CF65" s="208">
        <f t="shared" si="385"/>
        <v>0.68841777991680297</v>
      </c>
      <c r="CG65" s="208">
        <f t="shared" si="385"/>
        <v>0.64503070410452656</v>
      </c>
      <c r="CH65" s="208">
        <f t="shared" si="385"/>
        <v>0.6256797829813906</v>
      </c>
      <c r="CI65" s="208">
        <f t="shared" si="385"/>
        <v>0.60690938949194906</v>
      </c>
      <c r="CJ65" s="208">
        <f t="shared" si="385"/>
        <v>0.57656392001735146</v>
      </c>
      <c r="CK65" s="208">
        <f t="shared" si="385"/>
        <v>0.76426490165467087</v>
      </c>
      <c r="CP65" s="208"/>
      <c r="CQ65" s="208">
        <f>AVERAGEIFS($F65:$CK65,$F$2:$CK$2,CQ$3)</f>
        <v>0.17195175892925629</v>
      </c>
      <c r="CR65" s="208">
        <f>AVERAGEIFS($F65:$CK65,$F$2:$CK$2,CR$3)</f>
        <v>0.46865327043759519</v>
      </c>
      <c r="CS65" s="208">
        <f>AVERAGEIFS($F65:$CK65,$F$2:$CK$2,CS$3)</f>
        <v>0.50962035478331769</v>
      </c>
      <c r="CT65" s="208">
        <f t="shared" ref="CT65:CU65" si="386">AVERAGEIFS($F65:$CK65,$F$2:$CK$2,CT$3)</f>
        <v>0.55424770955227431</v>
      </c>
      <c r="CU65" s="208">
        <f t="shared" si="386"/>
        <v>0.60287054687749775</v>
      </c>
    </row>
    <row r="66" spans="2:99" s="27" customFormat="1" x14ac:dyDescent="0.2">
      <c r="B66" s="207"/>
      <c r="F66" s="208"/>
      <c r="G66" s="208"/>
      <c r="H66" s="208"/>
      <c r="I66" s="208"/>
      <c r="J66" s="208"/>
      <c r="K66" s="208"/>
      <c r="L66" s="208"/>
      <c r="M66" s="208"/>
      <c r="N66" s="208"/>
      <c r="O66" s="208"/>
      <c r="P66" s="208"/>
      <c r="Q66" s="208"/>
      <c r="R66" s="208"/>
      <c r="S66" s="208"/>
      <c r="T66" s="208"/>
      <c r="U66" s="208"/>
      <c r="V66" s="208"/>
      <c r="W66" s="208"/>
      <c r="X66" s="208"/>
      <c r="Y66" s="208"/>
      <c r="Z66" s="208"/>
      <c r="AA66" s="208"/>
      <c r="AB66" s="208"/>
      <c r="AC66" s="208"/>
      <c r="AD66" s="208"/>
      <c r="AE66" s="208"/>
      <c r="AF66" s="208"/>
      <c r="AG66" s="208"/>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c r="BI66" s="208"/>
      <c r="BJ66" s="208"/>
      <c r="BK66" s="208"/>
      <c r="BL66" s="208"/>
      <c r="BM66" s="208"/>
      <c r="BN66" s="208"/>
      <c r="BO66" s="208"/>
      <c r="BP66" s="208"/>
      <c r="BQ66" s="208"/>
      <c r="BR66" s="208"/>
      <c r="BS66" s="208"/>
      <c r="BT66" s="208"/>
      <c r="BU66" s="208"/>
      <c r="BV66" s="208"/>
      <c r="BW66" s="208"/>
      <c r="BX66" s="208"/>
      <c r="BY66" s="208"/>
      <c r="BZ66" s="208"/>
      <c r="CA66" s="208"/>
      <c r="CB66" s="208"/>
      <c r="CC66" s="208"/>
      <c r="CD66" s="208"/>
      <c r="CE66" s="208"/>
      <c r="CF66" s="208"/>
      <c r="CG66" s="208"/>
      <c r="CH66" s="208"/>
      <c r="CI66" s="208"/>
      <c r="CJ66" s="208"/>
      <c r="CK66" s="208"/>
      <c r="CP66" s="208"/>
      <c r="CQ66" s="208"/>
      <c r="CR66" s="208"/>
      <c r="CS66" s="208"/>
      <c r="CT66" s="208"/>
      <c r="CU66" s="208"/>
    </row>
    <row r="67" spans="2:99" x14ac:dyDescent="0.2">
      <c r="B67" s="12" t="s">
        <v>66</v>
      </c>
      <c r="F67" s="188" t="s">
        <v>284</v>
      </c>
      <c r="G67" s="188" t="s">
        <v>284</v>
      </c>
      <c r="H67" s="188" t="s">
        <v>284</v>
      </c>
      <c r="I67" s="188" t="s">
        <v>284</v>
      </c>
      <c r="J67" s="188" t="s">
        <v>284</v>
      </c>
      <c r="K67" s="188" t="s">
        <v>284</v>
      </c>
      <c r="L67" s="188" t="s">
        <v>284</v>
      </c>
      <c r="M67" s="188" t="s">
        <v>284</v>
      </c>
      <c r="N67" s="188" t="s">
        <v>284</v>
      </c>
      <c r="O67" s="188" t="s">
        <v>284</v>
      </c>
      <c r="P67" s="188" t="s">
        <v>284</v>
      </c>
      <c r="Q67" s="188" t="s">
        <v>284</v>
      </c>
      <c r="R67" s="188" t="s">
        <v>284</v>
      </c>
      <c r="S67" s="188" t="s">
        <v>284</v>
      </c>
      <c r="T67" s="188" t="s">
        <v>284</v>
      </c>
      <c r="U67" s="188" t="s">
        <v>284</v>
      </c>
      <c r="V67" s="188" t="s">
        <v>284</v>
      </c>
      <c r="W67" s="188" t="s">
        <v>284</v>
      </c>
      <c r="X67" s="188" t="s">
        <v>284</v>
      </c>
      <c r="Y67" s="188" t="s">
        <v>284</v>
      </c>
      <c r="Z67" s="188" t="s">
        <v>284</v>
      </c>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c r="BI67" s="210"/>
      <c r="BJ67" s="210"/>
      <c r="BK67" s="210"/>
      <c r="BL67" s="210"/>
      <c r="BM67" s="210"/>
      <c r="BN67" s="210"/>
      <c r="BO67" s="210"/>
      <c r="BP67" s="210"/>
      <c r="BQ67" s="210"/>
      <c r="BR67" s="210"/>
      <c r="BS67" s="210"/>
      <c r="BT67" s="210"/>
      <c r="BU67" s="210"/>
      <c r="BV67" s="210"/>
      <c r="BW67" s="210"/>
      <c r="BX67" s="210"/>
      <c r="BY67" s="210"/>
      <c r="BZ67" s="210"/>
      <c r="CA67" s="210"/>
      <c r="CB67" s="210"/>
      <c r="CC67" s="210"/>
      <c r="CD67" s="210"/>
      <c r="CE67" s="210"/>
      <c r="CF67" s="210"/>
      <c r="CG67" s="210"/>
      <c r="CH67" s="210"/>
      <c r="CI67" s="210"/>
      <c r="CJ67" s="210"/>
      <c r="CK67" s="210"/>
    </row>
    <row r="68" spans="2:99" x14ac:dyDescent="0.2">
      <c r="B68" s="200" t="s">
        <v>1</v>
      </c>
      <c r="C68" s="200" t="s">
        <v>2</v>
      </c>
      <c r="D68" s="200" t="s">
        <v>38</v>
      </c>
      <c r="F68" s="201">
        <f t="shared" ref="F68:AK68" si="387">F39</f>
        <v>45292</v>
      </c>
      <c r="G68" s="201">
        <f t="shared" si="387"/>
        <v>45323</v>
      </c>
      <c r="H68" s="201">
        <f t="shared" si="387"/>
        <v>45352</v>
      </c>
      <c r="I68" s="201">
        <f t="shared" si="387"/>
        <v>45383</v>
      </c>
      <c r="J68" s="201">
        <f t="shared" si="387"/>
        <v>45413</v>
      </c>
      <c r="K68" s="201">
        <f t="shared" si="387"/>
        <v>45444</v>
      </c>
      <c r="L68" s="201">
        <f t="shared" si="387"/>
        <v>45474</v>
      </c>
      <c r="M68" s="201">
        <f t="shared" si="387"/>
        <v>45505</v>
      </c>
      <c r="N68" s="201">
        <f t="shared" si="387"/>
        <v>45536</v>
      </c>
      <c r="O68" s="201">
        <f t="shared" si="387"/>
        <v>45566</v>
      </c>
      <c r="P68" s="201">
        <f t="shared" si="387"/>
        <v>45597</v>
      </c>
      <c r="Q68" s="201">
        <f t="shared" si="387"/>
        <v>45627</v>
      </c>
      <c r="R68" s="201">
        <f t="shared" si="387"/>
        <v>45658</v>
      </c>
      <c r="S68" s="201">
        <f t="shared" si="387"/>
        <v>45689</v>
      </c>
      <c r="T68" s="201">
        <f t="shared" si="387"/>
        <v>45717</v>
      </c>
      <c r="U68" s="201">
        <f t="shared" si="387"/>
        <v>45748</v>
      </c>
      <c r="V68" s="201">
        <f t="shared" si="387"/>
        <v>45778</v>
      </c>
      <c r="W68" s="201">
        <f t="shared" si="387"/>
        <v>45809</v>
      </c>
      <c r="X68" s="201">
        <f t="shared" si="387"/>
        <v>45839</v>
      </c>
      <c r="Y68" s="201">
        <f t="shared" si="387"/>
        <v>45870</v>
      </c>
      <c r="Z68" s="201">
        <f t="shared" si="387"/>
        <v>45901</v>
      </c>
      <c r="AA68" s="201">
        <f t="shared" si="387"/>
        <v>45931</v>
      </c>
      <c r="AB68" s="201">
        <f t="shared" si="387"/>
        <v>45962</v>
      </c>
      <c r="AC68" s="201">
        <f t="shared" si="387"/>
        <v>45992</v>
      </c>
      <c r="AD68" s="201">
        <f t="shared" si="387"/>
        <v>46023</v>
      </c>
      <c r="AE68" s="201">
        <f t="shared" si="387"/>
        <v>46054</v>
      </c>
      <c r="AF68" s="201">
        <f t="shared" si="387"/>
        <v>46082</v>
      </c>
      <c r="AG68" s="201">
        <f t="shared" si="387"/>
        <v>46113</v>
      </c>
      <c r="AH68" s="201">
        <f t="shared" si="387"/>
        <v>46143</v>
      </c>
      <c r="AI68" s="201">
        <f t="shared" si="387"/>
        <v>46174</v>
      </c>
      <c r="AJ68" s="201">
        <f t="shared" si="387"/>
        <v>46204</v>
      </c>
      <c r="AK68" s="201">
        <f t="shared" si="387"/>
        <v>46235</v>
      </c>
      <c r="AL68" s="201">
        <f t="shared" ref="AL68:BQ68" si="388">AL39</f>
        <v>46266</v>
      </c>
      <c r="AM68" s="201">
        <f t="shared" si="388"/>
        <v>46296</v>
      </c>
      <c r="AN68" s="201">
        <f t="shared" si="388"/>
        <v>46327</v>
      </c>
      <c r="AO68" s="201">
        <f t="shared" si="388"/>
        <v>46357</v>
      </c>
      <c r="AP68" s="201">
        <f t="shared" si="388"/>
        <v>46388</v>
      </c>
      <c r="AQ68" s="201">
        <f t="shared" si="388"/>
        <v>46419</v>
      </c>
      <c r="AR68" s="201">
        <f t="shared" si="388"/>
        <v>46447</v>
      </c>
      <c r="AS68" s="201">
        <f t="shared" si="388"/>
        <v>46478</v>
      </c>
      <c r="AT68" s="201">
        <f t="shared" si="388"/>
        <v>46508</v>
      </c>
      <c r="AU68" s="201">
        <f t="shared" si="388"/>
        <v>46539</v>
      </c>
      <c r="AV68" s="201">
        <f t="shared" si="388"/>
        <v>46569</v>
      </c>
      <c r="AW68" s="201">
        <f t="shared" si="388"/>
        <v>46600</v>
      </c>
      <c r="AX68" s="201">
        <f t="shared" si="388"/>
        <v>46631</v>
      </c>
      <c r="AY68" s="201">
        <f t="shared" si="388"/>
        <v>46661</v>
      </c>
      <c r="AZ68" s="201">
        <f t="shared" si="388"/>
        <v>46692</v>
      </c>
      <c r="BA68" s="201">
        <f t="shared" si="388"/>
        <v>46722</v>
      </c>
      <c r="BB68" s="201">
        <f t="shared" si="388"/>
        <v>46753</v>
      </c>
      <c r="BC68" s="201">
        <f t="shared" si="388"/>
        <v>46784</v>
      </c>
      <c r="BD68" s="201">
        <f t="shared" si="388"/>
        <v>46813</v>
      </c>
      <c r="BE68" s="201">
        <f t="shared" si="388"/>
        <v>46844</v>
      </c>
      <c r="BF68" s="201">
        <f t="shared" si="388"/>
        <v>46874</v>
      </c>
      <c r="BG68" s="201">
        <f t="shared" si="388"/>
        <v>46905</v>
      </c>
      <c r="BH68" s="201">
        <f t="shared" si="388"/>
        <v>46935</v>
      </c>
      <c r="BI68" s="201">
        <f t="shared" si="388"/>
        <v>46966</v>
      </c>
      <c r="BJ68" s="201">
        <f t="shared" si="388"/>
        <v>46997</v>
      </c>
      <c r="BK68" s="201">
        <f t="shared" si="388"/>
        <v>47027</v>
      </c>
      <c r="BL68" s="201">
        <f t="shared" si="388"/>
        <v>47058</v>
      </c>
      <c r="BM68" s="201">
        <f t="shared" si="388"/>
        <v>47088</v>
      </c>
      <c r="BN68" s="201">
        <f t="shared" si="388"/>
        <v>47119</v>
      </c>
      <c r="BO68" s="201">
        <f t="shared" si="388"/>
        <v>47150</v>
      </c>
      <c r="BP68" s="201">
        <f t="shared" si="388"/>
        <v>47178</v>
      </c>
      <c r="BQ68" s="201">
        <f t="shared" si="388"/>
        <v>47209</v>
      </c>
      <c r="BR68" s="201">
        <f t="shared" ref="BR68:BX68" si="389">BR39</f>
        <v>47239</v>
      </c>
      <c r="BS68" s="201">
        <f t="shared" si="389"/>
        <v>47270</v>
      </c>
      <c r="BT68" s="201">
        <f t="shared" si="389"/>
        <v>47300</v>
      </c>
      <c r="BU68" s="201">
        <f t="shared" si="389"/>
        <v>47331</v>
      </c>
      <c r="BV68" s="201">
        <f t="shared" si="389"/>
        <v>47362</v>
      </c>
      <c r="BW68" s="201">
        <f t="shared" si="389"/>
        <v>47392</v>
      </c>
      <c r="BX68" s="201">
        <f t="shared" si="389"/>
        <v>47423</v>
      </c>
      <c r="BY68" s="201">
        <f t="shared" ref="BY68:CK68" si="390">BY39</f>
        <v>47453</v>
      </c>
      <c r="BZ68" s="201">
        <f t="shared" si="390"/>
        <v>47484</v>
      </c>
      <c r="CA68" s="201">
        <f t="shared" si="390"/>
        <v>47515</v>
      </c>
      <c r="CB68" s="201">
        <f t="shared" si="390"/>
        <v>47543</v>
      </c>
      <c r="CC68" s="201">
        <f t="shared" si="390"/>
        <v>47574</v>
      </c>
      <c r="CD68" s="201">
        <f t="shared" si="390"/>
        <v>47604</v>
      </c>
      <c r="CE68" s="201">
        <f t="shared" si="390"/>
        <v>47635</v>
      </c>
      <c r="CF68" s="201">
        <f t="shared" si="390"/>
        <v>47665</v>
      </c>
      <c r="CG68" s="201">
        <f t="shared" si="390"/>
        <v>47696</v>
      </c>
      <c r="CH68" s="201">
        <f t="shared" si="390"/>
        <v>47727</v>
      </c>
      <c r="CI68" s="201">
        <f t="shared" si="390"/>
        <v>47757</v>
      </c>
      <c r="CJ68" s="201">
        <f t="shared" si="390"/>
        <v>47788</v>
      </c>
      <c r="CK68" s="201">
        <f t="shared" si="390"/>
        <v>47818</v>
      </c>
      <c r="CO68" s="202">
        <v>2024</v>
      </c>
      <c r="CP68" s="202">
        <f t="shared" ref="CP68" si="391">CO68+1</f>
        <v>2025</v>
      </c>
      <c r="CQ68" s="202">
        <f t="shared" ref="CQ68" si="392">CP68+1</f>
        <v>2026</v>
      </c>
      <c r="CR68" s="202">
        <f>CQ68+1</f>
        <v>2027</v>
      </c>
      <c r="CS68" s="202">
        <f>CR68+1</f>
        <v>2028</v>
      </c>
      <c r="CT68" s="202">
        <f t="shared" ref="CT68:CU68" si="393">CS68+1</f>
        <v>2029</v>
      </c>
      <c r="CU68" s="202">
        <f t="shared" si="393"/>
        <v>2030</v>
      </c>
    </row>
    <row r="69" spans="2:99" x14ac:dyDescent="0.2">
      <c r="B69" s="96" t="s">
        <v>7</v>
      </c>
      <c r="C69" s="96"/>
      <c r="D69" s="96"/>
      <c r="F69" s="21">
        <f t="shared" ref="F69" si="394">SUM(F70:F72)</f>
        <v>24441.404925333471</v>
      </c>
      <c r="G69" s="21">
        <f>SUM(G70:G72)</f>
        <v>25463.583835845344</v>
      </c>
      <c r="H69" s="21">
        <f t="shared" ref="H69:K69" si="395">SUM(H70:H72)</f>
        <v>23138.862664867269</v>
      </c>
      <c r="I69" s="21">
        <f t="shared" si="395"/>
        <v>27675.421647961342</v>
      </c>
      <c r="J69" s="21">
        <f t="shared" si="395"/>
        <v>27631.576891379456</v>
      </c>
      <c r="K69" s="21">
        <f t="shared" si="395"/>
        <v>28101.711734462773</v>
      </c>
      <c r="L69" s="21">
        <f>SUM(L70:L72)</f>
        <v>31311.510657615669</v>
      </c>
      <c r="M69" s="21">
        <f t="shared" ref="M69:AW69" si="396">SUM(M70:M72)</f>
        <v>29880.686247883415</v>
      </c>
      <c r="N69" s="21">
        <f t="shared" si="396"/>
        <v>28053.092923610209</v>
      </c>
      <c r="O69" s="21">
        <f t="shared" si="396"/>
        <v>32827.300427172035</v>
      </c>
      <c r="P69" s="21">
        <f t="shared" si="396"/>
        <v>30277.622941170102</v>
      </c>
      <c r="Q69" s="21">
        <f t="shared" si="396"/>
        <v>36335.440266544021</v>
      </c>
      <c r="R69" s="21">
        <f t="shared" si="396"/>
        <v>26204.9</v>
      </c>
      <c r="S69" s="21">
        <f t="shared" si="396"/>
        <v>27588.800000000003</v>
      </c>
      <c r="T69" s="21">
        <f t="shared" si="396"/>
        <v>28386.2</v>
      </c>
      <c r="U69" s="21">
        <f t="shared" si="396"/>
        <v>27944.000000000004</v>
      </c>
      <c r="V69" s="21">
        <f>SUM(V70:V72)</f>
        <v>28391.7</v>
      </c>
      <c r="W69" s="21">
        <f t="shared" si="396"/>
        <v>28480.800000000003</v>
      </c>
      <c r="X69" s="21">
        <f>SUM(X70:X72)</f>
        <v>37349.824253507708</v>
      </c>
      <c r="Y69" s="21">
        <f t="shared" si="396"/>
        <v>36544.184317611252</v>
      </c>
      <c r="Z69" s="21">
        <f t="shared" si="396"/>
        <v>37084.671546568061</v>
      </c>
      <c r="AA69" s="21">
        <f t="shared" si="396"/>
        <v>29927.733295200003</v>
      </c>
      <c r="AB69" s="21">
        <f t="shared" si="396"/>
        <v>29131.696724400004</v>
      </c>
      <c r="AC69" s="21">
        <f t="shared" si="396"/>
        <v>34156.705845360011</v>
      </c>
      <c r="AD69" s="21">
        <f t="shared" si="396"/>
        <v>23256.216199999999</v>
      </c>
      <c r="AE69" s="21">
        <f t="shared" si="396"/>
        <v>24562.614199999996</v>
      </c>
      <c r="AF69" s="21">
        <f t="shared" si="396"/>
        <v>30613.523991999995</v>
      </c>
      <c r="AG69" s="21">
        <f t="shared" si="396"/>
        <v>30410.400000000001</v>
      </c>
      <c r="AH69" s="21">
        <f t="shared" si="396"/>
        <v>31618.400000000001</v>
      </c>
      <c r="AI69" s="21">
        <f t="shared" si="396"/>
        <v>32282.799999999999</v>
      </c>
      <c r="AJ69" s="21">
        <f t="shared" si="396"/>
        <v>34276</v>
      </c>
      <c r="AK69" s="21">
        <f t="shared" si="396"/>
        <v>31563.999999999996</v>
      </c>
      <c r="AL69" s="21">
        <f t="shared" si="396"/>
        <v>34150</v>
      </c>
      <c r="AM69" s="21">
        <f t="shared" si="396"/>
        <v>33253.360000000001</v>
      </c>
      <c r="AN69" s="21">
        <f t="shared" si="396"/>
        <v>33824.479999999996</v>
      </c>
      <c r="AO69" s="21">
        <f t="shared" si="396"/>
        <v>40807.75</v>
      </c>
      <c r="AP69" s="21">
        <f t="shared" si="396"/>
        <v>34311.755000000005</v>
      </c>
      <c r="AQ69" s="21">
        <f t="shared" si="396"/>
        <v>34105.286458333336</v>
      </c>
      <c r="AR69" s="21">
        <f t="shared" si="396"/>
        <v>37920.891203703701</v>
      </c>
      <c r="AS69" s="21">
        <f t="shared" si="396"/>
        <v>39113.573485427012</v>
      </c>
      <c r="AT69" s="21">
        <f t="shared" si="396"/>
        <v>40737.055713986469</v>
      </c>
      <c r="AU69" s="21">
        <f t="shared" si="396"/>
        <v>41565.362973455587</v>
      </c>
      <c r="AV69" s="21">
        <f t="shared" si="396"/>
        <v>42410.574462709774</v>
      </c>
      <c r="AW69" s="21">
        <f t="shared" si="396"/>
        <v>41130.477769190882</v>
      </c>
      <c r="AX69" s="21">
        <f t="shared" ref="AX69:BU69" si="397">SUM(AX70:AX72)</f>
        <v>39901.063436115146</v>
      </c>
      <c r="AY69" s="21">
        <f t="shared" si="397"/>
        <v>38708.531533031695</v>
      </c>
      <c r="AZ69" s="21">
        <f t="shared" si="397"/>
        <v>36780.604956380106</v>
      </c>
      <c r="BA69" s="21">
        <f t="shared" si="397"/>
        <v>48990.806608506813</v>
      </c>
      <c r="BB69" s="21">
        <f t="shared" si="397"/>
        <v>37913.932152904679</v>
      </c>
      <c r="BC69" s="21">
        <f t="shared" si="397"/>
        <v>39802.644035156249</v>
      </c>
      <c r="BD69" s="21">
        <f t="shared" si="397"/>
        <v>44257.947434895839</v>
      </c>
      <c r="BE69" s="21">
        <f t="shared" si="397"/>
        <v>45650.434962951025</v>
      </c>
      <c r="BF69" s="21">
        <f t="shared" si="397"/>
        <v>47546.286419740652</v>
      </c>
      <c r="BG69" s="21">
        <f t="shared" si="397"/>
        <v>48513.557571163939</v>
      </c>
      <c r="BH69" s="21">
        <f t="shared" si="397"/>
        <v>49500.568950167282</v>
      </c>
      <c r="BI69" s="21">
        <f t="shared" si="397"/>
        <v>48005.86173810505</v>
      </c>
      <c r="BJ69" s="21">
        <f t="shared" si="397"/>
        <v>46570.185885961895</v>
      </c>
      <c r="BK69" s="21">
        <f t="shared" si="397"/>
        <v>45177.580309383033</v>
      </c>
      <c r="BL69" s="21">
        <f t="shared" si="397"/>
        <v>43943.776025587198</v>
      </c>
      <c r="BM69" s="21">
        <f t="shared" si="397"/>
        <v>57184.93505855184</v>
      </c>
      <c r="BN69" s="21">
        <f t="shared" si="397"/>
        <v>44250.813704265653</v>
      </c>
      <c r="BO69" s="21">
        <f t="shared" si="397"/>
        <v>46456.026272975978</v>
      </c>
      <c r="BP69" s="21">
        <f t="shared" si="397"/>
        <v>51658.289417931643</v>
      </c>
      <c r="BQ69" s="21">
        <f t="shared" si="397"/>
        <v>53284.060748511991</v>
      </c>
      <c r="BR69" s="21">
        <f t="shared" si="397"/>
        <v>55497.979946366664</v>
      </c>
      <c r="BS69" s="21">
        <f t="shared" si="397"/>
        <v>56627.530557517006</v>
      </c>
      <c r="BT69" s="21">
        <f t="shared" si="397"/>
        <v>57780.13322195613</v>
      </c>
      <c r="BU69" s="21">
        <f t="shared" si="397"/>
        <v>56034.831095402726</v>
      </c>
      <c r="BV69" s="21">
        <f t="shared" ref="BV69:BX69" si="398">SUM(BV70:BV72)</f>
        <v>54358.286162540637</v>
      </c>
      <c r="BW69" s="21">
        <f t="shared" si="398"/>
        <v>53981.298008770311</v>
      </c>
      <c r="BX69" s="21">
        <f t="shared" si="398"/>
        <v>51289.733108331784</v>
      </c>
      <c r="BY69" s="21">
        <f t="shared" ref="BY69:CK69" si="399">SUM(BY70:BY72)</f>
        <v>66770.431469352086</v>
      </c>
      <c r="BZ69" s="21">
        <f t="shared" si="399"/>
        <v>50069.756231849111</v>
      </c>
      <c r="CA69" s="21">
        <f t="shared" si="399"/>
        <v>52574.659175204033</v>
      </c>
      <c r="CB69" s="21">
        <f t="shared" si="399"/>
        <v>58479.884449487465</v>
      </c>
      <c r="CC69" s="21">
        <f t="shared" si="399"/>
        <v>60336.387430846677</v>
      </c>
      <c r="CD69" s="21">
        <f t="shared" si="399"/>
        <v>62859.425939396322</v>
      </c>
      <c r="CE69" s="21">
        <f t="shared" si="399"/>
        <v>64154.794188769396</v>
      </c>
      <c r="CF69" s="21">
        <f t="shared" si="399"/>
        <v>65476.916566630243</v>
      </c>
      <c r="CG69" s="21">
        <f t="shared" si="399"/>
        <v>63513.5844163703</v>
      </c>
      <c r="CH69" s="21">
        <f t="shared" si="399"/>
        <v>63129.713839991004</v>
      </c>
      <c r="CI69" s="21">
        <f t="shared" si="399"/>
        <v>61254.835831420933</v>
      </c>
      <c r="CJ69" s="21">
        <f t="shared" si="399"/>
        <v>58213.38177614806</v>
      </c>
      <c r="CK69" s="21">
        <f t="shared" si="399"/>
        <v>75740.676924916537</v>
      </c>
      <c r="CO69" s="21">
        <f t="shared" ref="CO69:CO77" si="400">SUMIF($F$2:$CK$2,CO$3,$F69:$CK69)</f>
        <v>345138.2151638451</v>
      </c>
      <c r="CP69" s="21">
        <f t="shared" ref="CP69:CS77" si="401">SUMIF($L$2:$CK$2,CP$3,$L69:$CK69)</f>
        <v>371191.21598264703</v>
      </c>
      <c r="CQ69" s="21">
        <f t="shared" si="401"/>
        <v>380619.54439199995</v>
      </c>
      <c r="CR69" s="21">
        <f t="shared" si="401"/>
        <v>475675.98360084055</v>
      </c>
      <c r="CS69" s="21">
        <f t="shared" si="401"/>
        <v>554067.71054456872</v>
      </c>
      <c r="CT69" s="21">
        <f t="shared" ref="CT69:CU77" si="402">SUMIF($L$2:$CK$2,CT$3,$L69:$CK69)</f>
        <v>647989.41371392261</v>
      </c>
      <c r="CU69" s="21">
        <f t="shared" si="402"/>
        <v>735804.01677103015</v>
      </c>
    </row>
    <row r="70" spans="2:99" outlineLevel="1" x14ac:dyDescent="0.2">
      <c r="B70" s="95" t="s">
        <v>8</v>
      </c>
      <c r="C70" s="91" t="s">
        <v>39</v>
      </c>
      <c r="D70" s="103">
        <v>0.6</v>
      </c>
      <c r="F70" s="22">
        <v>23994.711324976484</v>
      </c>
      <c r="G70" s="22">
        <v>25005.823473509437</v>
      </c>
      <c r="H70" s="22">
        <v>22709.788891653705</v>
      </c>
      <c r="I70" s="22">
        <v>27187.313423704793</v>
      </c>
      <c r="J70" s="22">
        <v>26749.83251461964</v>
      </c>
      <c r="K70" s="22">
        <v>27549.028389974628</v>
      </c>
      <c r="L70" s="22">
        <v>30755.072863560439</v>
      </c>
      <c r="M70" s="22">
        <v>29363.529133033087</v>
      </c>
      <c r="N70" s="22">
        <v>27501.509424437514</v>
      </c>
      <c r="O70" s="22">
        <v>32219.838447741102</v>
      </c>
      <c r="P70" s="22">
        <v>29719.900291547448</v>
      </c>
      <c r="Q70" s="22">
        <v>35678.926541000088</v>
      </c>
      <c r="R70" s="256">
        <v>25804.9</v>
      </c>
      <c r="S70" s="256">
        <v>27288.800000000003</v>
      </c>
      <c r="T70" s="256">
        <v>27986.2</v>
      </c>
      <c r="U70" s="256">
        <v>27544.000000000004</v>
      </c>
      <c r="V70" s="256">
        <v>27991.7</v>
      </c>
      <c r="W70" s="256">
        <v>28080.800000000003</v>
      </c>
      <c r="X70" s="22">
        <f>(X40+X42)*0.654729</f>
        <v>36949.824253507708</v>
      </c>
      <c r="Y70" s="22">
        <f t="shared" ref="Y70:Z70" si="403">(Y40+Y42)*0.654729</f>
        <v>36144.184317611252</v>
      </c>
      <c r="Z70" s="22">
        <f t="shared" si="403"/>
        <v>36684.671546568061</v>
      </c>
      <c r="AA70" s="22">
        <f>(AA40+AA42)*0.56</f>
        <v>29527.733295200003</v>
      </c>
      <c r="AB70" s="22">
        <f t="shared" ref="AB70:AC70" si="404">(AB40+AB42)*0.56</f>
        <v>28776.152776000003</v>
      </c>
      <c r="AC70" s="22">
        <f t="shared" si="404"/>
        <v>33765.52353440001</v>
      </c>
      <c r="AD70" s="22">
        <f t="shared" ref="AD70:AJ70" si="405">(AD40+AD42)*$D70</f>
        <v>22906.216199999999</v>
      </c>
      <c r="AE70" s="22">
        <f t="shared" si="405"/>
        <v>24212.614199999996</v>
      </c>
      <c r="AF70" s="22">
        <f t="shared" si="405"/>
        <v>30261.778799999996</v>
      </c>
      <c r="AG70" s="22">
        <f t="shared" si="405"/>
        <v>30060</v>
      </c>
      <c r="AH70" s="22">
        <f t="shared" si="405"/>
        <v>31260</v>
      </c>
      <c r="AI70" s="22">
        <f t="shared" si="405"/>
        <v>31920</v>
      </c>
      <c r="AJ70" s="22">
        <f t="shared" si="405"/>
        <v>33900</v>
      </c>
      <c r="AK70" s="256">
        <f t="shared" ref="AK70:AN70" si="406">(AK40+AK42)*($D70*0.85)</f>
        <v>31109.999999999996</v>
      </c>
      <c r="AL70" s="22">
        <f t="shared" si="406"/>
        <v>33660</v>
      </c>
      <c r="AM70" s="22">
        <f t="shared" si="406"/>
        <v>32762.400000000001</v>
      </c>
      <c r="AN70" s="22">
        <f t="shared" si="406"/>
        <v>33313.199999999997</v>
      </c>
      <c r="AO70" s="22">
        <f>(AO40+AO42)*($D70*0.85)</f>
        <v>40226.25</v>
      </c>
      <c r="AP70" s="22">
        <f>(AP40+AP42)*($D70*0.84)</f>
        <v>33790.050000000003</v>
      </c>
      <c r="AQ70" s="22">
        <f t="shared" ref="AQ70:BX70" si="407">(AQ40+AQ42)*($D70*0.8)</f>
        <v>33521.875</v>
      </c>
      <c r="AR70" s="22">
        <f t="shared" si="407"/>
        <v>37246.527777777774</v>
      </c>
      <c r="AS70" s="22">
        <f t="shared" si="407"/>
        <v>38398.48224513173</v>
      </c>
      <c r="AT70" s="22">
        <f t="shared" si="407"/>
        <v>39998.419005345553</v>
      </c>
      <c r="AU70" s="22">
        <f t="shared" si="407"/>
        <v>40814.713270760774</v>
      </c>
      <c r="AV70" s="22">
        <f t="shared" si="407"/>
        <v>41647.666602817109</v>
      </c>
      <c r="AW70" s="22">
        <f t="shared" si="407"/>
        <v>40398.236604732607</v>
      </c>
      <c r="AX70" s="22">
        <f t="shared" si="407"/>
        <v>39186.28950659062</v>
      </c>
      <c r="AY70" s="22">
        <f t="shared" si="407"/>
        <v>38010.7008213929</v>
      </c>
      <c r="AZ70" s="22">
        <f t="shared" si="407"/>
        <v>36110.165780323252</v>
      </c>
      <c r="BA70" s="22">
        <f t="shared" si="407"/>
        <v>48146.887707097674</v>
      </c>
      <c r="BB70" s="22">
        <f t="shared" si="407"/>
        <v>37333.183026351748</v>
      </c>
      <c r="BC70" s="22">
        <f t="shared" si="407"/>
        <v>39148.372968750002</v>
      </c>
      <c r="BD70" s="22">
        <f t="shared" si="407"/>
        <v>43498.192187500004</v>
      </c>
      <c r="BE70" s="22">
        <f t="shared" si="407"/>
        <v>44843.497100515458</v>
      </c>
      <c r="BF70" s="22">
        <f t="shared" si="407"/>
        <v>46711.976146370267</v>
      </c>
      <c r="BG70" s="22">
        <f t="shared" si="407"/>
        <v>47665.28178201049</v>
      </c>
      <c r="BH70" s="22">
        <f t="shared" si="407"/>
        <v>48638.04263470458</v>
      </c>
      <c r="BI70" s="22">
        <f t="shared" si="407"/>
        <v>47178.901355663445</v>
      </c>
      <c r="BJ70" s="22">
        <f t="shared" si="407"/>
        <v>45763.534314993536</v>
      </c>
      <c r="BK70" s="22">
        <f t="shared" si="407"/>
        <v>44390.628285543724</v>
      </c>
      <c r="BL70" s="22">
        <f t="shared" si="407"/>
        <v>43180.261894413634</v>
      </c>
      <c r="BM70" s="22">
        <f t="shared" si="407"/>
        <v>56228.129161688717</v>
      </c>
      <c r="BN70" s="22">
        <f t="shared" si="407"/>
        <v>43599.231635865966</v>
      </c>
      <c r="BO70" s="22">
        <f t="shared" si="407"/>
        <v>45719.295332554691</v>
      </c>
      <c r="BP70" s="22">
        <f t="shared" si="407"/>
        <v>50799.217036171874</v>
      </c>
      <c r="BQ70" s="22">
        <f t="shared" si="407"/>
        <v>52370.326841414295</v>
      </c>
      <c r="BR70" s="22">
        <f t="shared" si="407"/>
        <v>54552.423793139897</v>
      </c>
      <c r="BS70" s="22">
        <f t="shared" si="407"/>
        <v>55665.738564428466</v>
      </c>
      <c r="BT70" s="22">
        <f t="shared" si="407"/>
        <v>56801.774045335173</v>
      </c>
      <c r="BU70" s="22">
        <f t="shared" si="407"/>
        <v>55097.72082397512</v>
      </c>
      <c r="BV70" s="22">
        <f t="shared" si="407"/>
        <v>53444.789199255858</v>
      </c>
      <c r="BW70" s="22">
        <f t="shared" si="407"/>
        <v>53080.381488011299</v>
      </c>
      <c r="BX70" s="22">
        <f t="shared" si="407"/>
        <v>50426.362413610725</v>
      </c>
      <c r="BY70" s="22">
        <f t="shared" ref="BY70:CK70" si="408">(BY40+BY42)*($D70*0.8)</f>
        <v>65682.211694642116</v>
      </c>
      <c r="BZ70" s="22">
        <f t="shared" si="408"/>
        <v>49348.749019100651</v>
      </c>
      <c r="CA70" s="22">
        <f t="shared" si="408"/>
        <v>51755.612940005645</v>
      </c>
      <c r="CB70" s="22">
        <f t="shared" si="408"/>
        <v>57520.340692744678</v>
      </c>
      <c r="CC70" s="22">
        <f t="shared" si="408"/>
        <v>59313.860603590809</v>
      </c>
      <c r="CD70" s="22">
        <f t="shared" si="408"/>
        <v>61800.417609773955</v>
      </c>
      <c r="CE70" s="22">
        <f t="shared" si="408"/>
        <v>63077.105874973611</v>
      </c>
      <c r="CF70" s="22">
        <f t="shared" si="408"/>
        <v>64380.164416049891</v>
      </c>
      <c r="CG70" s="22">
        <f t="shared" si="408"/>
        <v>62464.057029662916</v>
      </c>
      <c r="CH70" s="22">
        <f t="shared" si="408"/>
        <v>62094.634779379783</v>
      </c>
      <c r="CI70" s="22">
        <f t="shared" si="408"/>
        <v>60246.189197118714</v>
      </c>
      <c r="CJ70" s="22">
        <f t="shared" si="408"/>
        <v>57247.553525327086</v>
      </c>
      <c r="CK70" s="22">
        <f t="shared" si="408"/>
        <v>74518.006464675462</v>
      </c>
      <c r="CO70" s="10">
        <f t="shared" si="400"/>
        <v>338435.27471975837</v>
      </c>
      <c r="CP70" s="10">
        <f t="shared" si="401"/>
        <v>366544.48972328706</v>
      </c>
      <c r="CQ70" s="10">
        <f t="shared" si="401"/>
        <v>375592.45920000004</v>
      </c>
      <c r="CR70" s="10">
        <f t="shared" si="401"/>
        <v>467270.01432197</v>
      </c>
      <c r="CS70" s="10">
        <f t="shared" si="401"/>
        <v>544580.00085850549</v>
      </c>
      <c r="CT70" s="10">
        <f t="shared" si="402"/>
        <v>637239.4728684054</v>
      </c>
      <c r="CU70" s="10">
        <f t="shared" si="402"/>
        <v>723766.6921524033</v>
      </c>
    </row>
    <row r="71" spans="2:99" outlineLevel="1" x14ac:dyDescent="0.2">
      <c r="B71" s="95" t="s">
        <v>9</v>
      </c>
      <c r="C71" s="91" t="s">
        <v>39</v>
      </c>
      <c r="D71" s="104">
        <v>4.0000000000000001E-3</v>
      </c>
      <c r="F71" s="22">
        <v>329.28155535592032</v>
      </c>
      <c r="G71" s="22">
        <v>341.85077499459754</v>
      </c>
      <c r="H71" s="22">
        <v>323.98795942050043</v>
      </c>
      <c r="I71" s="22">
        <v>335.46823279625528</v>
      </c>
      <c r="J71" s="22">
        <v>371.30479040295444</v>
      </c>
      <c r="K71" s="22">
        <v>389.76162131714716</v>
      </c>
      <c r="L71" s="22">
        <v>414.71276211623035</v>
      </c>
      <c r="M71" s="22">
        <v>405.31843224713128</v>
      </c>
      <c r="N71" s="22">
        <v>363.29471370393566</v>
      </c>
      <c r="O71" s="22">
        <v>451.40562754511268</v>
      </c>
      <c r="P71" s="22">
        <v>397.17730679971902</v>
      </c>
      <c r="Q71" s="22">
        <v>455.38172935519441</v>
      </c>
      <c r="R71" s="22">
        <f t="shared" ref="R71:AA71" si="409">IF(R$47*$D71&lt;250,250,R$47*$D71)</f>
        <v>250</v>
      </c>
      <c r="S71" s="22">
        <f t="shared" si="409"/>
        <v>250</v>
      </c>
      <c r="T71" s="22">
        <f t="shared" si="409"/>
        <v>250</v>
      </c>
      <c r="U71" s="22">
        <f t="shared" si="409"/>
        <v>250</v>
      </c>
      <c r="V71" s="22">
        <f t="shared" si="409"/>
        <v>250</v>
      </c>
      <c r="W71" s="22">
        <f t="shared" si="409"/>
        <v>250</v>
      </c>
      <c r="X71" s="22">
        <f t="shared" si="409"/>
        <v>250</v>
      </c>
      <c r="Y71" s="22">
        <f t="shared" si="409"/>
        <v>250</v>
      </c>
      <c r="Z71" s="22">
        <f t="shared" si="409"/>
        <v>250</v>
      </c>
      <c r="AA71" s="22">
        <f t="shared" si="409"/>
        <v>250</v>
      </c>
      <c r="AB71" s="22">
        <f t="shared" ref="AB71:CK71" si="410">IF(AB$47*$D71&lt;200,200,AB$47*$D71)</f>
        <v>205.5439484</v>
      </c>
      <c r="AC71" s="22">
        <f t="shared" si="410"/>
        <v>241.18231096000002</v>
      </c>
      <c r="AD71" s="22">
        <f t="shared" si="410"/>
        <v>200</v>
      </c>
      <c r="AE71" s="22">
        <f t="shared" si="410"/>
        <v>200</v>
      </c>
      <c r="AF71" s="22">
        <f t="shared" si="410"/>
        <v>201.74519199999997</v>
      </c>
      <c r="AG71" s="22">
        <f t="shared" si="410"/>
        <v>200.4</v>
      </c>
      <c r="AH71" s="22">
        <f t="shared" si="410"/>
        <v>208.4</v>
      </c>
      <c r="AI71" s="22">
        <f t="shared" si="410"/>
        <v>212.8</v>
      </c>
      <c r="AJ71" s="22">
        <f t="shared" si="410"/>
        <v>226</v>
      </c>
      <c r="AK71" s="22">
        <f t="shared" si="410"/>
        <v>304</v>
      </c>
      <c r="AL71" s="22">
        <f t="shared" si="410"/>
        <v>340</v>
      </c>
      <c r="AM71" s="22">
        <f t="shared" si="410"/>
        <v>340.96</v>
      </c>
      <c r="AN71" s="22">
        <f t="shared" si="410"/>
        <v>361.28000000000003</v>
      </c>
      <c r="AO71" s="22">
        <f t="shared" si="410"/>
        <v>431.5</v>
      </c>
      <c r="AP71" s="22">
        <f t="shared" si="410"/>
        <v>371.70499999999998</v>
      </c>
      <c r="AQ71" s="22">
        <f t="shared" si="410"/>
        <v>433.41145833333337</v>
      </c>
      <c r="AR71" s="22">
        <f t="shared" si="410"/>
        <v>524.36342592592587</v>
      </c>
      <c r="AS71" s="22">
        <f t="shared" si="410"/>
        <v>565.09124029527811</v>
      </c>
      <c r="AT71" s="22">
        <f t="shared" si="410"/>
        <v>588.63670864091478</v>
      </c>
      <c r="AU71" s="22">
        <f t="shared" si="410"/>
        <v>600.64970269481091</v>
      </c>
      <c r="AV71" s="22">
        <f t="shared" si="410"/>
        <v>612.90785989266431</v>
      </c>
      <c r="AW71" s="22">
        <f t="shared" si="410"/>
        <v>582.24116445827576</v>
      </c>
      <c r="AX71" s="22">
        <f t="shared" si="410"/>
        <v>564.77392952452749</v>
      </c>
      <c r="AY71" s="22">
        <f t="shared" si="410"/>
        <v>547.83071163879174</v>
      </c>
      <c r="AZ71" s="22">
        <f t="shared" si="410"/>
        <v>520.43917605685203</v>
      </c>
      <c r="BA71" s="22">
        <f t="shared" si="410"/>
        <v>693.9189014091362</v>
      </c>
      <c r="BB71" s="22">
        <f t="shared" si="410"/>
        <v>430.74912655293127</v>
      </c>
      <c r="BC71" s="22">
        <f t="shared" si="410"/>
        <v>504.27106640625004</v>
      </c>
      <c r="BD71" s="22">
        <f t="shared" si="410"/>
        <v>609.75524739583341</v>
      </c>
      <c r="BE71" s="22">
        <f t="shared" si="410"/>
        <v>656.93786243556713</v>
      </c>
      <c r="BF71" s="22">
        <f t="shared" si="410"/>
        <v>684.31027337038245</v>
      </c>
      <c r="BG71" s="22">
        <f t="shared" si="410"/>
        <v>698.27578915345146</v>
      </c>
      <c r="BH71" s="22">
        <f t="shared" si="410"/>
        <v>712.52631546270561</v>
      </c>
      <c r="BI71" s="22">
        <f t="shared" si="410"/>
        <v>676.96038244160411</v>
      </c>
      <c r="BJ71" s="22">
        <f t="shared" si="410"/>
        <v>656.65157096835571</v>
      </c>
      <c r="BK71" s="22">
        <f t="shared" si="410"/>
        <v>636.95202383930518</v>
      </c>
      <c r="BL71" s="22">
        <f t="shared" si="410"/>
        <v>613.51413117356549</v>
      </c>
      <c r="BM71" s="22">
        <f t="shared" si="410"/>
        <v>806.80589686311964</v>
      </c>
      <c r="BN71" s="22">
        <f t="shared" si="410"/>
        <v>501.58206839968312</v>
      </c>
      <c r="BO71" s="22">
        <f t="shared" si="410"/>
        <v>586.73094042128923</v>
      </c>
      <c r="BP71" s="22">
        <f t="shared" si="410"/>
        <v>709.07238175976568</v>
      </c>
      <c r="BQ71" s="22">
        <f t="shared" si="410"/>
        <v>763.7339070976966</v>
      </c>
      <c r="BR71" s="22">
        <f t="shared" si="410"/>
        <v>795.55615322676738</v>
      </c>
      <c r="BS71" s="22">
        <f t="shared" si="410"/>
        <v>811.79199308853811</v>
      </c>
      <c r="BT71" s="22">
        <f t="shared" si="410"/>
        <v>828.35917662095721</v>
      </c>
      <c r="BU71" s="22">
        <f t="shared" si="410"/>
        <v>787.11027142760463</v>
      </c>
      <c r="BV71" s="22">
        <f t="shared" si="410"/>
        <v>763.49696328477648</v>
      </c>
      <c r="BW71" s="22">
        <f t="shared" si="410"/>
        <v>750.91652075900902</v>
      </c>
      <c r="BX71" s="22">
        <f t="shared" si="410"/>
        <v>713.3706947210585</v>
      </c>
      <c r="BY71" s="22">
        <f t="shared" si="410"/>
        <v>938.21977470997649</v>
      </c>
      <c r="BZ71" s="22">
        <f t="shared" si="410"/>
        <v>571.0072127484566</v>
      </c>
      <c r="CA71" s="22">
        <f t="shared" si="410"/>
        <v>669.04623519838719</v>
      </c>
      <c r="CB71" s="22">
        <f t="shared" si="410"/>
        <v>809.54375674278913</v>
      </c>
      <c r="CC71" s="22">
        <f t="shared" si="410"/>
        <v>872.52682725586862</v>
      </c>
      <c r="CD71" s="22">
        <f t="shared" si="410"/>
        <v>909.00832962236484</v>
      </c>
      <c r="CE71" s="22">
        <f t="shared" si="410"/>
        <v>927.68831379578194</v>
      </c>
      <c r="CF71" s="22">
        <f t="shared" si="410"/>
        <v>946.75215058034962</v>
      </c>
      <c r="CG71" s="22">
        <f t="shared" si="410"/>
        <v>899.52738670738381</v>
      </c>
      <c r="CH71" s="22">
        <f t="shared" si="410"/>
        <v>885.07906061121855</v>
      </c>
      <c r="CI71" s="22">
        <f t="shared" si="410"/>
        <v>858.6466343022181</v>
      </c>
      <c r="CJ71" s="22">
        <f t="shared" si="410"/>
        <v>815.82825082097634</v>
      </c>
      <c r="CK71" s="22">
        <f t="shared" si="410"/>
        <v>1072.6704602410741</v>
      </c>
      <c r="CO71" s="10">
        <f t="shared" si="400"/>
        <v>4578.9455060546979</v>
      </c>
      <c r="CP71" s="10">
        <f t="shared" si="401"/>
        <v>2946.7262593599999</v>
      </c>
      <c r="CQ71" s="10">
        <f t="shared" si="401"/>
        <v>3227.085192</v>
      </c>
      <c r="CR71" s="10">
        <f t="shared" si="401"/>
        <v>6605.9692788705106</v>
      </c>
      <c r="CS71" s="10">
        <f t="shared" si="401"/>
        <v>7687.7096860630718</v>
      </c>
      <c r="CT71" s="10">
        <f t="shared" si="402"/>
        <v>8949.9408455171233</v>
      </c>
      <c r="CU71" s="10">
        <f t="shared" si="402"/>
        <v>10237.324618626868</v>
      </c>
    </row>
    <row r="72" spans="2:99" outlineLevel="1" x14ac:dyDescent="0.2">
      <c r="B72" s="95" t="s">
        <v>291</v>
      </c>
      <c r="C72" s="97" t="s">
        <v>4</v>
      </c>
      <c r="D72" s="92">
        <v>150</v>
      </c>
      <c r="F72" s="22">
        <v>117.41204500106792</v>
      </c>
      <c r="G72" s="22">
        <v>115.90958734130977</v>
      </c>
      <c r="H72" s="22">
        <v>105.08581379306398</v>
      </c>
      <c r="I72" s="22">
        <v>152.63999146029494</v>
      </c>
      <c r="J72" s="22">
        <v>510.43958635686198</v>
      </c>
      <c r="K72" s="22">
        <v>162.92172317099912</v>
      </c>
      <c r="L72" s="22">
        <v>141.72503193900164</v>
      </c>
      <c r="M72" s="22">
        <v>111.83868260319582</v>
      </c>
      <c r="N72" s="22">
        <v>188.28878546875944</v>
      </c>
      <c r="O72" s="22">
        <v>156.05635188582281</v>
      </c>
      <c r="P72" s="22">
        <v>160.54534282293497</v>
      </c>
      <c r="Q72" s="22">
        <v>201.13199618874512</v>
      </c>
      <c r="R72" s="22">
        <f t="shared" ref="R72:CK72" si="411">$D$72</f>
        <v>150</v>
      </c>
      <c r="S72" s="22">
        <v>50</v>
      </c>
      <c r="T72" s="22">
        <f t="shared" si="411"/>
        <v>150</v>
      </c>
      <c r="U72" s="22">
        <f t="shared" si="411"/>
        <v>150</v>
      </c>
      <c r="V72" s="22">
        <f t="shared" si="411"/>
        <v>150</v>
      </c>
      <c r="W72" s="22">
        <f t="shared" si="411"/>
        <v>150</v>
      </c>
      <c r="X72" s="22">
        <f t="shared" si="411"/>
        <v>150</v>
      </c>
      <c r="Y72" s="22">
        <f t="shared" si="411"/>
        <v>150</v>
      </c>
      <c r="Z72" s="22">
        <f t="shared" si="411"/>
        <v>150</v>
      </c>
      <c r="AA72" s="22">
        <f t="shared" si="411"/>
        <v>150</v>
      </c>
      <c r="AB72" s="22">
        <f t="shared" si="411"/>
        <v>150</v>
      </c>
      <c r="AC72" s="22">
        <f t="shared" si="411"/>
        <v>150</v>
      </c>
      <c r="AD72" s="22">
        <f t="shared" si="411"/>
        <v>150</v>
      </c>
      <c r="AE72" s="22">
        <f t="shared" si="411"/>
        <v>150</v>
      </c>
      <c r="AF72" s="22">
        <f t="shared" si="411"/>
        <v>150</v>
      </c>
      <c r="AG72" s="22">
        <f t="shared" si="411"/>
        <v>150</v>
      </c>
      <c r="AH72" s="22">
        <f t="shared" si="411"/>
        <v>150</v>
      </c>
      <c r="AI72" s="22">
        <f t="shared" si="411"/>
        <v>150</v>
      </c>
      <c r="AJ72" s="22">
        <f t="shared" si="411"/>
        <v>150</v>
      </c>
      <c r="AK72" s="22">
        <f t="shared" si="411"/>
        <v>150</v>
      </c>
      <c r="AL72" s="22">
        <f t="shared" si="411"/>
        <v>150</v>
      </c>
      <c r="AM72" s="22">
        <f t="shared" si="411"/>
        <v>150</v>
      </c>
      <c r="AN72" s="22">
        <f t="shared" si="411"/>
        <v>150</v>
      </c>
      <c r="AO72" s="22">
        <f t="shared" si="411"/>
        <v>150</v>
      </c>
      <c r="AP72" s="22">
        <f t="shared" si="411"/>
        <v>150</v>
      </c>
      <c r="AQ72" s="22">
        <f t="shared" si="411"/>
        <v>150</v>
      </c>
      <c r="AR72" s="22">
        <f t="shared" si="411"/>
        <v>150</v>
      </c>
      <c r="AS72" s="22">
        <f t="shared" si="411"/>
        <v>150</v>
      </c>
      <c r="AT72" s="22">
        <f t="shared" si="411"/>
        <v>150</v>
      </c>
      <c r="AU72" s="22">
        <f t="shared" si="411"/>
        <v>150</v>
      </c>
      <c r="AV72" s="22">
        <f t="shared" si="411"/>
        <v>150</v>
      </c>
      <c r="AW72" s="22">
        <f t="shared" si="411"/>
        <v>150</v>
      </c>
      <c r="AX72" s="22">
        <f t="shared" si="411"/>
        <v>150</v>
      </c>
      <c r="AY72" s="22">
        <f t="shared" si="411"/>
        <v>150</v>
      </c>
      <c r="AZ72" s="22">
        <f t="shared" si="411"/>
        <v>150</v>
      </c>
      <c r="BA72" s="22">
        <f t="shared" si="411"/>
        <v>150</v>
      </c>
      <c r="BB72" s="22">
        <f t="shared" si="411"/>
        <v>150</v>
      </c>
      <c r="BC72" s="22">
        <f t="shared" si="411"/>
        <v>150</v>
      </c>
      <c r="BD72" s="22">
        <f t="shared" si="411"/>
        <v>150</v>
      </c>
      <c r="BE72" s="22">
        <f t="shared" si="411"/>
        <v>150</v>
      </c>
      <c r="BF72" s="22">
        <f t="shared" si="411"/>
        <v>150</v>
      </c>
      <c r="BG72" s="22">
        <f t="shared" si="411"/>
        <v>150</v>
      </c>
      <c r="BH72" s="22">
        <f t="shared" si="411"/>
        <v>150</v>
      </c>
      <c r="BI72" s="22">
        <f t="shared" si="411"/>
        <v>150</v>
      </c>
      <c r="BJ72" s="22">
        <f t="shared" si="411"/>
        <v>150</v>
      </c>
      <c r="BK72" s="22">
        <f t="shared" si="411"/>
        <v>150</v>
      </c>
      <c r="BL72" s="22">
        <f t="shared" si="411"/>
        <v>150</v>
      </c>
      <c r="BM72" s="22">
        <f t="shared" si="411"/>
        <v>150</v>
      </c>
      <c r="BN72" s="22">
        <f t="shared" si="411"/>
        <v>150</v>
      </c>
      <c r="BO72" s="22">
        <f t="shared" si="411"/>
        <v>150</v>
      </c>
      <c r="BP72" s="22">
        <f t="shared" si="411"/>
        <v>150</v>
      </c>
      <c r="BQ72" s="22">
        <f t="shared" si="411"/>
        <v>150</v>
      </c>
      <c r="BR72" s="22">
        <f t="shared" si="411"/>
        <v>150</v>
      </c>
      <c r="BS72" s="22">
        <f t="shared" si="411"/>
        <v>150</v>
      </c>
      <c r="BT72" s="22">
        <f t="shared" si="411"/>
        <v>150</v>
      </c>
      <c r="BU72" s="22">
        <f t="shared" si="411"/>
        <v>150</v>
      </c>
      <c r="BV72" s="22">
        <f t="shared" si="411"/>
        <v>150</v>
      </c>
      <c r="BW72" s="22">
        <f t="shared" si="411"/>
        <v>150</v>
      </c>
      <c r="BX72" s="22">
        <f t="shared" si="411"/>
        <v>150</v>
      </c>
      <c r="BY72" s="22">
        <f t="shared" si="411"/>
        <v>150</v>
      </c>
      <c r="BZ72" s="22">
        <f t="shared" si="411"/>
        <v>150</v>
      </c>
      <c r="CA72" s="22">
        <f t="shared" si="411"/>
        <v>150</v>
      </c>
      <c r="CB72" s="22">
        <f t="shared" si="411"/>
        <v>150</v>
      </c>
      <c r="CC72" s="22">
        <f t="shared" si="411"/>
        <v>150</v>
      </c>
      <c r="CD72" s="22">
        <f t="shared" si="411"/>
        <v>150</v>
      </c>
      <c r="CE72" s="22">
        <f t="shared" si="411"/>
        <v>150</v>
      </c>
      <c r="CF72" s="22">
        <f t="shared" si="411"/>
        <v>150</v>
      </c>
      <c r="CG72" s="22">
        <f t="shared" si="411"/>
        <v>150</v>
      </c>
      <c r="CH72" s="22">
        <f t="shared" si="411"/>
        <v>150</v>
      </c>
      <c r="CI72" s="22">
        <f t="shared" si="411"/>
        <v>150</v>
      </c>
      <c r="CJ72" s="22">
        <f t="shared" si="411"/>
        <v>150</v>
      </c>
      <c r="CK72" s="22">
        <f t="shared" si="411"/>
        <v>150</v>
      </c>
      <c r="CO72" s="10">
        <f t="shared" si="400"/>
        <v>2123.9949380320572</v>
      </c>
      <c r="CP72" s="10">
        <f t="shared" si="401"/>
        <v>1700</v>
      </c>
      <c r="CQ72" s="10">
        <f t="shared" si="401"/>
        <v>1800</v>
      </c>
      <c r="CR72" s="10">
        <f t="shared" si="401"/>
        <v>1800</v>
      </c>
      <c r="CS72" s="10">
        <f t="shared" si="401"/>
        <v>1800</v>
      </c>
      <c r="CT72" s="10">
        <f t="shared" si="402"/>
        <v>1800</v>
      </c>
      <c r="CU72" s="10">
        <f t="shared" si="402"/>
        <v>1800</v>
      </c>
    </row>
    <row r="73" spans="2:99" x14ac:dyDescent="0.2">
      <c r="B73" s="96" t="s">
        <v>10</v>
      </c>
      <c r="C73" s="101"/>
      <c r="D73" s="96"/>
      <c r="F73" s="21">
        <f t="shared" ref="F73:AK73" si="412">F74+F81+F85+F92+F93+F94</f>
        <v>8010.1795480159544</v>
      </c>
      <c r="G73" s="21">
        <f t="shared" si="412"/>
        <v>6507.9064445533186</v>
      </c>
      <c r="H73" s="21">
        <f t="shared" si="412"/>
        <v>7176.9835683948659</v>
      </c>
      <c r="I73" s="21">
        <f t="shared" si="412"/>
        <v>7268.0284915856473</v>
      </c>
      <c r="J73" s="21">
        <f t="shared" si="412"/>
        <v>6983.0295067398874</v>
      </c>
      <c r="K73" s="21">
        <f t="shared" si="412"/>
        <v>7475.7177418792189</v>
      </c>
      <c r="L73" s="21">
        <f t="shared" si="412"/>
        <v>7536.8564803551299</v>
      </c>
      <c r="M73" s="21">
        <f t="shared" si="412"/>
        <v>6472.4292814119908</v>
      </c>
      <c r="N73" s="21">
        <f t="shared" si="412"/>
        <v>6082.830611066991</v>
      </c>
      <c r="O73" s="21">
        <f t="shared" si="412"/>
        <v>8862.4915654654869</v>
      </c>
      <c r="P73" s="21">
        <f t="shared" si="412"/>
        <v>6525.559843080875</v>
      </c>
      <c r="Q73" s="21">
        <f t="shared" si="412"/>
        <v>7509.0524174506299</v>
      </c>
      <c r="R73" s="21">
        <f t="shared" si="412"/>
        <v>7250.8398191680008</v>
      </c>
      <c r="S73" s="21">
        <f t="shared" si="412"/>
        <v>4876.1634699200004</v>
      </c>
      <c r="T73" s="21">
        <f t="shared" si="412"/>
        <v>5332.0980055999999</v>
      </c>
      <c r="U73" s="21">
        <f t="shared" si="412"/>
        <v>5974.435299312001</v>
      </c>
      <c r="V73" s="21">
        <f>V74+V81+V85+V92+V93+V94</f>
        <v>4849.0229160959998</v>
      </c>
      <c r="W73" s="21">
        <f t="shared" si="412"/>
        <v>5189.0627883719999</v>
      </c>
      <c r="X73" s="21">
        <f t="shared" si="412"/>
        <v>6672.8424251720007</v>
      </c>
      <c r="Y73" s="21">
        <f t="shared" si="412"/>
        <v>6570.9575435000006</v>
      </c>
      <c r="Z73" s="21">
        <f t="shared" si="412"/>
        <v>6639.3100107920009</v>
      </c>
      <c r="AA73" s="21">
        <f t="shared" si="412"/>
        <v>5655.3243766760006</v>
      </c>
      <c r="AB73" s="21">
        <f t="shared" si="412"/>
        <v>5573.0399898799997</v>
      </c>
      <c r="AC73" s="21">
        <f t="shared" si="412"/>
        <v>6132.5622820720009</v>
      </c>
      <c r="AD73" s="21">
        <f t="shared" si="412"/>
        <v>5203.3497275999998</v>
      </c>
      <c r="AE73" s="21">
        <f t="shared" si="412"/>
        <v>5374.9233315999991</v>
      </c>
      <c r="AF73" s="21">
        <f t="shared" si="412"/>
        <v>6169.3802823999995</v>
      </c>
      <c r="AG73" s="21">
        <f t="shared" si="412"/>
        <v>6142.88</v>
      </c>
      <c r="AH73" s="21">
        <f t="shared" si="412"/>
        <v>6300.48</v>
      </c>
      <c r="AI73" s="21">
        <f t="shared" si="412"/>
        <v>6387.16</v>
      </c>
      <c r="AJ73" s="21">
        <f t="shared" si="412"/>
        <v>6647.2</v>
      </c>
      <c r="AK73" s="21">
        <f t="shared" si="412"/>
        <v>20783.8</v>
      </c>
      <c r="AL73" s="21">
        <f t="shared" ref="AL73:BQ73" si="413">AL74+AL81+AL85+AL92+AL93+AL94</f>
        <v>24853</v>
      </c>
      <c r="AM73" s="21">
        <f t="shared" si="413"/>
        <v>26551.912</v>
      </c>
      <c r="AN73" s="21">
        <f t="shared" si="413"/>
        <v>30199.415999999997</v>
      </c>
      <c r="AO73" s="21">
        <f t="shared" si="413"/>
        <v>34240.550000000003</v>
      </c>
      <c r="AP73" s="21">
        <f t="shared" si="413"/>
        <v>29614.863499999999</v>
      </c>
      <c r="AQ73" s="21">
        <f t="shared" si="413"/>
        <v>41133.7734375</v>
      </c>
      <c r="AR73" s="21">
        <f t="shared" si="413"/>
        <v>55052.538194444438</v>
      </c>
      <c r="AS73" s="21">
        <f t="shared" si="413"/>
        <v>62188.157765368465</v>
      </c>
      <c r="AT73" s="21">
        <f t="shared" si="413"/>
        <v>64678.935172258818</v>
      </c>
      <c r="AU73" s="21">
        <f t="shared" si="413"/>
        <v>65949.739971692674</v>
      </c>
      <c r="AV73" s="21">
        <f t="shared" si="413"/>
        <v>67246.479562951703</v>
      </c>
      <c r="AW73" s="21">
        <f t="shared" si="413"/>
        <v>62542.175595492517</v>
      </c>
      <c r="AX73" s="21">
        <f t="shared" si="413"/>
        <v>60738.195327627742</v>
      </c>
      <c r="AY73" s="21">
        <f t="shared" si="413"/>
        <v>58988.334467798901</v>
      </c>
      <c r="AZ73" s="21">
        <f t="shared" si="413"/>
        <v>56159.39274440895</v>
      </c>
      <c r="BA73" s="21">
        <f t="shared" si="413"/>
        <v>74076.023659211947</v>
      </c>
      <c r="BB73" s="21">
        <f t="shared" si="413"/>
        <v>34101.70844032809</v>
      </c>
      <c r="BC73" s="21">
        <f t="shared" si="413"/>
        <v>47445.505926171885</v>
      </c>
      <c r="BD73" s="21">
        <f t="shared" si="413"/>
        <v>63535.617761718757</v>
      </c>
      <c r="BE73" s="21">
        <f t="shared" si="413"/>
        <v>71783.267763369862</v>
      </c>
      <c r="BF73" s="21">
        <f t="shared" si="413"/>
        <v>74664.010170176945</v>
      </c>
      <c r="BG73" s="21">
        <f t="shared" si="413"/>
        <v>76133.776704262185</v>
      </c>
      <c r="BH73" s="21">
        <f t="shared" si="413"/>
        <v>77633.538473736931</v>
      </c>
      <c r="BI73" s="21">
        <f t="shared" si="413"/>
        <v>72195.370562217402</v>
      </c>
      <c r="BJ73" s="21">
        <f t="shared" si="413"/>
        <v>70108.872945350857</v>
      </c>
      <c r="BK73" s="21">
        <f t="shared" si="413"/>
        <v>68084.970256990331</v>
      </c>
      <c r="BL73" s="21">
        <f t="shared" si="413"/>
        <v>64936.616959476327</v>
      </c>
      <c r="BM73" s="21">
        <f t="shared" si="413"/>
        <v>85535.508992187752</v>
      </c>
      <c r="BN73" s="21">
        <f t="shared" si="413"/>
        <v>39311.830406643348</v>
      </c>
      <c r="BO73" s="21">
        <f t="shared" si="413"/>
        <v>54734.67048069297</v>
      </c>
      <c r="BP73" s="21">
        <f t="shared" si="413"/>
        <v>73334.929368118566</v>
      </c>
      <c r="BQ73" s="21">
        <f t="shared" si="413"/>
        <v>82867.931952377388</v>
      </c>
      <c r="BR73" s="21">
        <f t="shared" ref="BR73:BU73" si="414">BR74+BR81+BR85+BR92+BR93+BR94</f>
        <v>86199.720992059796</v>
      </c>
      <c r="BS73" s="21">
        <f t="shared" si="414"/>
        <v>87899.6133592447</v>
      </c>
      <c r="BT73" s="21">
        <f t="shared" si="414"/>
        <v>89634.197407392538</v>
      </c>
      <c r="BU73" s="21">
        <f t="shared" si="414"/>
        <v>83347.661547826283</v>
      </c>
      <c r="BV73" s="21">
        <f t="shared" ref="BV73:BX73" si="415">BV74+BV81+BV85+BV92+BV93+BV94</f>
        <v>80934.381551391503</v>
      </c>
      <c r="BW73" s="21">
        <f t="shared" si="415"/>
        <v>78745.269610529562</v>
      </c>
      <c r="BX73" s="21">
        <f t="shared" si="415"/>
        <v>74953.255880003067</v>
      </c>
      <c r="BY73" s="21">
        <f t="shared" ref="BY73:CK73" si="416">BY74+BY81+BY85+BY92+BY93+BY94</f>
        <v>98779.107911707993</v>
      </c>
      <c r="BZ73" s="21">
        <f t="shared" si="416"/>
        <v>44945.171421152059</v>
      </c>
      <c r="CA73" s="21">
        <f t="shared" si="416"/>
        <v>62762.527904067712</v>
      </c>
      <c r="CB73" s="21">
        <f t="shared" si="416"/>
        <v>84244.047427801517</v>
      </c>
      <c r="CC73" s="21">
        <f t="shared" si="416"/>
        <v>95257.683528109745</v>
      </c>
      <c r="CD73" s="21">
        <f t="shared" si="416"/>
        <v>99103.602349040942</v>
      </c>
      <c r="CE73" s="21">
        <f t="shared" si="416"/>
        <v>101066.79032870836</v>
      </c>
      <c r="CF73" s="21">
        <f t="shared" si="416"/>
        <v>103070.08200731724</v>
      </c>
      <c r="CG73" s="21">
        <f t="shared" si="416"/>
        <v>95811.865491239034</v>
      </c>
      <c r="CH73" s="21">
        <f t="shared" si="416"/>
        <v>93211.815555426205</v>
      </c>
      <c r="CI73" s="21">
        <f t="shared" si="416"/>
        <v>90507.229132750654</v>
      </c>
      <c r="CJ73" s="21">
        <f t="shared" si="416"/>
        <v>86133.55079015097</v>
      </c>
      <c r="CK73" s="21">
        <f t="shared" si="416"/>
        <v>113622.70260298728</v>
      </c>
      <c r="CO73" s="21">
        <f t="shared" si="400"/>
        <v>86411.065499999997</v>
      </c>
      <c r="CP73" s="21">
        <f t="shared" si="401"/>
        <v>70715.658926560005</v>
      </c>
      <c r="CQ73" s="21">
        <f t="shared" si="401"/>
        <v>178854.05134159996</v>
      </c>
      <c r="CR73" s="21">
        <f t="shared" si="401"/>
        <v>698368.60939875618</v>
      </c>
      <c r="CS73" s="21">
        <f t="shared" si="401"/>
        <v>806158.76495598734</v>
      </c>
      <c r="CT73" s="21">
        <f t="shared" si="402"/>
        <v>930742.57046798768</v>
      </c>
      <c r="CU73" s="21">
        <f t="shared" si="402"/>
        <v>1069737.0685387517</v>
      </c>
    </row>
    <row r="74" spans="2:99" outlineLevel="1" collapsed="1" x14ac:dyDescent="0.2">
      <c r="B74" s="88" t="s">
        <v>16</v>
      </c>
      <c r="C74" s="89"/>
      <c r="D74" s="92"/>
      <c r="F74" s="94">
        <f>SUM(F75:F80)</f>
        <v>2565.157552015954</v>
      </c>
      <c r="G74" s="94">
        <f t="shared" ref="G74:BR74" si="417">SUM(G75:G80)</f>
        <v>1608.9632285533189</v>
      </c>
      <c r="H74" s="94">
        <f t="shared" si="417"/>
        <v>2306.9354403948673</v>
      </c>
      <c r="I74" s="94">
        <f t="shared" si="417"/>
        <v>2083.1259355856478</v>
      </c>
      <c r="J74" s="94">
        <f t="shared" si="417"/>
        <v>2176.9288147398879</v>
      </c>
      <c r="K74" s="94">
        <f t="shared" si="417"/>
        <v>2414.9074978792205</v>
      </c>
      <c r="L74" s="94">
        <f t="shared" si="417"/>
        <v>2243.3741923551302</v>
      </c>
      <c r="M74" s="94">
        <f t="shared" si="417"/>
        <v>1945.5888454119904</v>
      </c>
      <c r="N74" s="94">
        <f t="shared" si="417"/>
        <v>1914.6276710669915</v>
      </c>
      <c r="O74" s="94">
        <f t="shared" si="417"/>
        <v>2559.9626534654863</v>
      </c>
      <c r="P74" s="94">
        <f t="shared" si="417"/>
        <v>2257.2641870808761</v>
      </c>
      <c r="Q74" s="94">
        <f t="shared" si="417"/>
        <v>2920.4498054506298</v>
      </c>
      <c r="R74" s="94">
        <f t="shared" si="417"/>
        <v>1388.4519905700001</v>
      </c>
      <c r="S74" s="94">
        <f t="shared" si="417"/>
        <v>1131.2978358</v>
      </c>
      <c r="T74" s="94">
        <f t="shared" si="417"/>
        <v>1388.2528065000001</v>
      </c>
      <c r="U74" s="94">
        <f t="shared" si="417"/>
        <v>864</v>
      </c>
      <c r="V74" s="94">
        <f t="shared" si="417"/>
        <v>1158.2885470400001</v>
      </c>
      <c r="W74" s="94">
        <f t="shared" si="417"/>
        <v>801</v>
      </c>
      <c r="X74" s="94">
        <f t="shared" si="417"/>
        <v>2345.04706493</v>
      </c>
      <c r="Y74" s="94">
        <f t="shared" si="417"/>
        <v>2336.4336087500001</v>
      </c>
      <c r="Z74" s="94">
        <f t="shared" si="417"/>
        <v>2342.2121989799998</v>
      </c>
      <c r="AA74" s="94">
        <f t="shared" si="417"/>
        <v>2319.0966661900002</v>
      </c>
      <c r="AB74" s="94">
        <f t="shared" si="417"/>
        <v>2309.7019097000002</v>
      </c>
      <c r="AC74" s="94">
        <f t="shared" si="417"/>
        <v>2372.0690441800002</v>
      </c>
      <c r="AD74" s="94">
        <f t="shared" si="417"/>
        <v>2412.2391889999999</v>
      </c>
      <c r="AE74" s="94">
        <f t="shared" si="417"/>
        <v>2427.4804989999998</v>
      </c>
      <c r="AF74" s="94">
        <f t="shared" si="417"/>
        <v>2498.0540860000001</v>
      </c>
      <c r="AG74" s="94">
        <f t="shared" si="417"/>
        <v>2495.6999999999998</v>
      </c>
      <c r="AH74" s="94">
        <f t="shared" si="417"/>
        <v>2509.6999999999998</v>
      </c>
      <c r="AI74" s="94">
        <f t="shared" si="417"/>
        <v>2517.4</v>
      </c>
      <c r="AJ74" s="94">
        <f t="shared" si="417"/>
        <v>2540.5</v>
      </c>
      <c r="AK74" s="94">
        <f t="shared" si="417"/>
        <v>2677</v>
      </c>
      <c r="AL74" s="94">
        <f t="shared" si="417"/>
        <v>2740</v>
      </c>
      <c r="AM74" s="94">
        <f t="shared" si="417"/>
        <v>2741.6800000000003</v>
      </c>
      <c r="AN74" s="94">
        <f t="shared" si="417"/>
        <v>2777.24</v>
      </c>
      <c r="AO74" s="94">
        <f t="shared" si="417"/>
        <v>2900.125</v>
      </c>
      <c r="AP74" s="94">
        <f t="shared" si="417"/>
        <v>3009.9837500000003</v>
      </c>
      <c r="AQ74" s="94">
        <f t="shared" si="417"/>
        <v>3117.9700520833339</v>
      </c>
      <c r="AR74" s="94">
        <f t="shared" si="417"/>
        <v>3277.1359953703704</v>
      </c>
      <c r="AS74" s="94">
        <f t="shared" si="417"/>
        <v>3348.4096705167372</v>
      </c>
      <c r="AT74" s="94">
        <f t="shared" si="417"/>
        <v>3389.6142401216011</v>
      </c>
      <c r="AU74" s="94">
        <f t="shared" si="417"/>
        <v>3410.6369797159196</v>
      </c>
      <c r="AV74" s="94">
        <f t="shared" si="417"/>
        <v>3432.0887548121627</v>
      </c>
      <c r="AW74" s="94">
        <f t="shared" si="417"/>
        <v>3378.4220378019832</v>
      </c>
      <c r="AX74" s="94">
        <f t="shared" si="417"/>
        <v>3347.8543766679236</v>
      </c>
      <c r="AY74" s="94">
        <f t="shared" si="417"/>
        <v>3318.2037453678859</v>
      </c>
      <c r="AZ74" s="94">
        <f t="shared" si="417"/>
        <v>3270.2685580994912</v>
      </c>
      <c r="BA74" s="94">
        <f t="shared" si="417"/>
        <v>3573.8580774659886</v>
      </c>
      <c r="BB74" s="94">
        <f t="shared" si="417"/>
        <v>3349.2609714676305</v>
      </c>
      <c r="BC74" s="94">
        <f t="shared" si="417"/>
        <v>3477.9243662109384</v>
      </c>
      <c r="BD74" s="94">
        <f t="shared" si="417"/>
        <v>3662.521682942709</v>
      </c>
      <c r="BE74" s="94">
        <f t="shared" si="417"/>
        <v>3745.0912592622431</v>
      </c>
      <c r="BF74" s="94">
        <f t="shared" si="417"/>
        <v>3792.9929783981697</v>
      </c>
      <c r="BG74" s="94">
        <f t="shared" si="417"/>
        <v>3817.4326310185406</v>
      </c>
      <c r="BH74" s="94">
        <f t="shared" si="417"/>
        <v>3842.3710520597356</v>
      </c>
      <c r="BI74" s="94">
        <f t="shared" si="417"/>
        <v>3780.1306692728076</v>
      </c>
      <c r="BJ74" s="94">
        <f t="shared" si="417"/>
        <v>3744.5902491946235</v>
      </c>
      <c r="BK74" s="94">
        <f t="shared" si="417"/>
        <v>3710.1160417187848</v>
      </c>
      <c r="BL74" s="94">
        <f t="shared" si="417"/>
        <v>3669.0997295537404</v>
      </c>
      <c r="BM74" s="94">
        <f t="shared" si="417"/>
        <v>4007.3603195104602</v>
      </c>
      <c r="BN74" s="94">
        <f t="shared" si="417"/>
        <v>3732.7636196994467</v>
      </c>
      <c r="BO74" s="94">
        <f t="shared" si="417"/>
        <v>3881.7741457372576</v>
      </c>
      <c r="BP74" s="94">
        <f t="shared" si="417"/>
        <v>4095.8716680795915</v>
      </c>
      <c r="BQ74" s="94">
        <f t="shared" si="417"/>
        <v>4191.5293374209705</v>
      </c>
      <c r="BR74" s="94">
        <f t="shared" si="417"/>
        <v>4247.2182681468439</v>
      </c>
      <c r="BS74" s="94">
        <f t="shared" ref="BS74:BU74" si="418">SUM(BS75:BS80)</f>
        <v>4275.6309879049431</v>
      </c>
      <c r="BT74" s="94">
        <f t="shared" si="418"/>
        <v>4304.6235590866763</v>
      </c>
      <c r="BU74" s="94">
        <f t="shared" si="418"/>
        <v>4232.4379749983091</v>
      </c>
      <c r="BV74" s="94">
        <f t="shared" ref="BV74:BX74" si="419">SUM(BV75:BV80)</f>
        <v>4191.11468574836</v>
      </c>
      <c r="BW74" s="94">
        <f t="shared" si="419"/>
        <v>4169.0989113282667</v>
      </c>
      <c r="BX74" s="94">
        <f t="shared" si="419"/>
        <v>4103.3937157618539</v>
      </c>
      <c r="BY74" s="94">
        <f t="shared" ref="BY74:CK74" si="420">SUM(BY75:BY80)</f>
        <v>4496.8796057424606</v>
      </c>
      <c r="BZ74" s="94">
        <f t="shared" si="420"/>
        <v>3949.4241223098002</v>
      </c>
      <c r="CA74" s="94">
        <f t="shared" si="420"/>
        <v>4120.9924115971789</v>
      </c>
      <c r="CB74" s="94">
        <f t="shared" si="420"/>
        <v>4366.8630742998821</v>
      </c>
      <c r="CC74" s="94">
        <f t="shared" si="420"/>
        <v>4477.0834476977707</v>
      </c>
      <c r="CD74" s="94">
        <f t="shared" si="420"/>
        <v>4540.9260768391396</v>
      </c>
      <c r="CE74" s="94">
        <f t="shared" si="420"/>
        <v>4573.6160491426199</v>
      </c>
      <c r="CF74" s="94">
        <f t="shared" si="420"/>
        <v>4606.9777635156133</v>
      </c>
      <c r="CG74" s="94">
        <f t="shared" si="420"/>
        <v>4524.3344267379225</v>
      </c>
      <c r="CH74" s="94">
        <f t="shared" si="420"/>
        <v>4499.0498560696333</v>
      </c>
      <c r="CI74" s="94">
        <f t="shared" si="420"/>
        <v>4452.7931100288824</v>
      </c>
      <c r="CJ74" s="94">
        <f t="shared" si="420"/>
        <v>4377.8609389367102</v>
      </c>
      <c r="CK74" s="94">
        <f t="shared" si="420"/>
        <v>4827.3348054218804</v>
      </c>
      <c r="CO74" s="94">
        <f t="shared" si="400"/>
        <v>26997.285823999999</v>
      </c>
      <c r="CP74" s="94">
        <f t="shared" si="401"/>
        <v>20755.851672640001</v>
      </c>
      <c r="CQ74" s="94">
        <f t="shared" si="401"/>
        <v>31237.118773999995</v>
      </c>
      <c r="CR74" s="94">
        <f t="shared" si="401"/>
        <v>39874.446238023396</v>
      </c>
      <c r="CS74" s="94">
        <f t="shared" si="401"/>
        <v>44598.891950610378</v>
      </c>
      <c r="CT74" s="94">
        <f t="shared" si="402"/>
        <v>49922.336479654979</v>
      </c>
      <c r="CU74" s="94">
        <f t="shared" si="402"/>
        <v>53317.256082597036</v>
      </c>
    </row>
    <row r="75" spans="2:99" hidden="1" outlineLevel="2" x14ac:dyDescent="0.2">
      <c r="B75" s="95" t="s">
        <v>11</v>
      </c>
      <c r="C75" s="97" t="s">
        <v>4</v>
      </c>
      <c r="D75" s="92">
        <v>650</v>
      </c>
      <c r="F75" s="22">
        <v>312.13919999999996</v>
      </c>
      <c r="G75" s="22">
        <v>285.85559999999998</v>
      </c>
      <c r="H75" s="22">
        <v>345.85560000000004</v>
      </c>
      <c r="I75" s="22">
        <v>315.85560000000004</v>
      </c>
      <c r="J75" s="22">
        <v>315.85560000000004</v>
      </c>
      <c r="K75" s="22">
        <v>293.05559999999997</v>
      </c>
      <c r="L75" s="22">
        <v>328.05560400000002</v>
      </c>
      <c r="M75" s="22">
        <v>358.05560400000002</v>
      </c>
      <c r="N75" s="22">
        <v>342.70880400000004</v>
      </c>
      <c r="O75" s="22">
        <v>342.70880399999993</v>
      </c>
      <c r="P75" s="22">
        <v>307.70879999999994</v>
      </c>
      <c r="Q75" s="22">
        <v>377.70839999999998</v>
      </c>
      <c r="R75" s="8">
        <f t="shared" ref="R75:AC75" si="421">$D$75</f>
        <v>650</v>
      </c>
      <c r="S75" s="8">
        <f t="shared" si="421"/>
        <v>650</v>
      </c>
      <c r="T75" s="8">
        <f t="shared" si="421"/>
        <v>650</v>
      </c>
      <c r="U75" s="8">
        <f t="shared" si="421"/>
        <v>650</v>
      </c>
      <c r="V75" s="8">
        <f t="shared" si="421"/>
        <v>650</v>
      </c>
      <c r="W75" s="8">
        <f t="shared" si="421"/>
        <v>650</v>
      </c>
      <c r="X75" s="8">
        <f t="shared" si="421"/>
        <v>650</v>
      </c>
      <c r="Y75" s="8">
        <f t="shared" si="421"/>
        <v>650</v>
      </c>
      <c r="Z75" s="8">
        <f t="shared" si="421"/>
        <v>650</v>
      </c>
      <c r="AA75" s="8">
        <f t="shared" si="421"/>
        <v>650</v>
      </c>
      <c r="AB75" s="8">
        <f t="shared" si="421"/>
        <v>650</v>
      </c>
      <c r="AC75" s="8">
        <f t="shared" si="421"/>
        <v>650</v>
      </c>
      <c r="AD75" s="10">
        <f>R75*1.1</f>
        <v>715.00000000000011</v>
      </c>
      <c r="AE75" s="10">
        <f t="shared" ref="AE75:BX75" si="422">S75*1.1</f>
        <v>715.00000000000011</v>
      </c>
      <c r="AF75" s="10">
        <f t="shared" si="422"/>
        <v>715.00000000000011</v>
      </c>
      <c r="AG75" s="10">
        <f t="shared" si="422"/>
        <v>715.00000000000011</v>
      </c>
      <c r="AH75" s="10">
        <f t="shared" si="422"/>
        <v>715.00000000000011</v>
      </c>
      <c r="AI75" s="10">
        <f t="shared" si="422"/>
        <v>715.00000000000011</v>
      </c>
      <c r="AJ75" s="10">
        <f t="shared" si="422"/>
        <v>715.00000000000011</v>
      </c>
      <c r="AK75" s="10">
        <f t="shared" si="422"/>
        <v>715.00000000000011</v>
      </c>
      <c r="AL75" s="10">
        <f t="shared" si="422"/>
        <v>715.00000000000011</v>
      </c>
      <c r="AM75" s="10">
        <f t="shared" si="422"/>
        <v>715.00000000000011</v>
      </c>
      <c r="AN75" s="10">
        <f t="shared" si="422"/>
        <v>715.00000000000011</v>
      </c>
      <c r="AO75" s="10">
        <f t="shared" si="422"/>
        <v>715.00000000000011</v>
      </c>
      <c r="AP75" s="10">
        <f t="shared" si="422"/>
        <v>786.50000000000023</v>
      </c>
      <c r="AQ75" s="10">
        <f t="shared" si="422"/>
        <v>786.50000000000023</v>
      </c>
      <c r="AR75" s="10">
        <f t="shared" si="422"/>
        <v>786.50000000000023</v>
      </c>
      <c r="AS75" s="10">
        <f t="shared" si="422"/>
        <v>786.50000000000023</v>
      </c>
      <c r="AT75" s="10">
        <f t="shared" si="422"/>
        <v>786.50000000000023</v>
      </c>
      <c r="AU75" s="10">
        <f t="shared" si="422"/>
        <v>786.50000000000023</v>
      </c>
      <c r="AV75" s="10">
        <f t="shared" si="422"/>
        <v>786.50000000000023</v>
      </c>
      <c r="AW75" s="10">
        <f t="shared" si="422"/>
        <v>786.50000000000023</v>
      </c>
      <c r="AX75" s="10">
        <f t="shared" si="422"/>
        <v>786.50000000000023</v>
      </c>
      <c r="AY75" s="10">
        <f t="shared" si="422"/>
        <v>786.50000000000023</v>
      </c>
      <c r="AZ75" s="10">
        <f t="shared" si="422"/>
        <v>786.50000000000023</v>
      </c>
      <c r="BA75" s="10">
        <f t="shared" si="422"/>
        <v>786.50000000000023</v>
      </c>
      <c r="BB75" s="10">
        <f t="shared" si="422"/>
        <v>865.15000000000032</v>
      </c>
      <c r="BC75" s="10">
        <f t="shared" si="422"/>
        <v>865.15000000000032</v>
      </c>
      <c r="BD75" s="10">
        <f t="shared" si="422"/>
        <v>865.15000000000032</v>
      </c>
      <c r="BE75" s="10">
        <f t="shared" si="422"/>
        <v>865.15000000000032</v>
      </c>
      <c r="BF75" s="10">
        <f t="shared" si="422"/>
        <v>865.15000000000032</v>
      </c>
      <c r="BG75" s="10">
        <f t="shared" si="422"/>
        <v>865.15000000000032</v>
      </c>
      <c r="BH75" s="10">
        <f t="shared" si="422"/>
        <v>865.15000000000032</v>
      </c>
      <c r="BI75" s="10">
        <f t="shared" si="422"/>
        <v>865.15000000000032</v>
      </c>
      <c r="BJ75" s="10">
        <f t="shared" si="422"/>
        <v>865.15000000000032</v>
      </c>
      <c r="BK75" s="10">
        <f t="shared" si="422"/>
        <v>865.15000000000032</v>
      </c>
      <c r="BL75" s="10">
        <f t="shared" si="422"/>
        <v>865.15000000000032</v>
      </c>
      <c r="BM75" s="10">
        <f t="shared" si="422"/>
        <v>865.15000000000032</v>
      </c>
      <c r="BN75" s="10">
        <f t="shared" si="422"/>
        <v>951.66500000000042</v>
      </c>
      <c r="BO75" s="10">
        <f t="shared" si="422"/>
        <v>951.66500000000042</v>
      </c>
      <c r="BP75" s="10">
        <f t="shared" si="422"/>
        <v>951.66500000000042</v>
      </c>
      <c r="BQ75" s="10">
        <f t="shared" si="422"/>
        <v>951.66500000000042</v>
      </c>
      <c r="BR75" s="10">
        <f t="shared" si="422"/>
        <v>951.66500000000042</v>
      </c>
      <c r="BS75" s="10">
        <f t="shared" si="422"/>
        <v>951.66500000000042</v>
      </c>
      <c r="BT75" s="10">
        <f t="shared" si="422"/>
        <v>951.66500000000042</v>
      </c>
      <c r="BU75" s="10">
        <f t="shared" si="422"/>
        <v>951.66500000000042</v>
      </c>
      <c r="BV75" s="10">
        <f t="shared" si="422"/>
        <v>951.66500000000042</v>
      </c>
      <c r="BW75" s="10">
        <f t="shared" si="422"/>
        <v>951.66500000000042</v>
      </c>
      <c r="BX75" s="10">
        <f t="shared" si="422"/>
        <v>951.66500000000042</v>
      </c>
      <c r="BY75" s="10">
        <f t="shared" ref="BY75" si="423">BM75*1.1</f>
        <v>951.66500000000042</v>
      </c>
      <c r="BZ75" s="10">
        <f t="shared" ref="BZ75" si="424">BN75*1.1</f>
        <v>1046.8315000000005</v>
      </c>
      <c r="CA75" s="10">
        <f t="shared" ref="CA75" si="425">BO75*1.1</f>
        <v>1046.8315000000005</v>
      </c>
      <c r="CB75" s="10">
        <f t="shared" ref="CB75" si="426">BP75*1.1</f>
        <v>1046.8315000000005</v>
      </c>
      <c r="CC75" s="10">
        <f t="shared" ref="CC75" si="427">BQ75*1.1</f>
        <v>1046.8315000000005</v>
      </c>
      <c r="CD75" s="10">
        <f t="shared" ref="CD75" si="428">BR75*1.1</f>
        <v>1046.8315000000005</v>
      </c>
      <c r="CE75" s="10">
        <f t="shared" ref="CE75" si="429">BS75*1.1</f>
        <v>1046.8315000000005</v>
      </c>
      <c r="CF75" s="10">
        <f t="shared" ref="CF75" si="430">BT75*1.1</f>
        <v>1046.8315000000005</v>
      </c>
      <c r="CG75" s="10">
        <f t="shared" ref="CG75" si="431">BU75*1.1</f>
        <v>1046.8315000000005</v>
      </c>
      <c r="CH75" s="10">
        <f t="shared" ref="CH75" si="432">BV75*1.1</f>
        <v>1046.8315000000005</v>
      </c>
      <c r="CI75" s="10">
        <f t="shared" ref="CI75" si="433">BW75*1.1</f>
        <v>1046.8315000000005</v>
      </c>
      <c r="CJ75" s="10">
        <f t="shared" ref="CJ75" si="434">BX75*1.1</f>
        <v>1046.8315000000005</v>
      </c>
      <c r="CK75" s="10">
        <f t="shared" ref="CK75" si="435">BY75*1.1</f>
        <v>1046.8315000000005</v>
      </c>
      <c r="CO75" s="10">
        <f t="shared" si="400"/>
        <v>3925.563216</v>
      </c>
      <c r="CP75" s="10">
        <f t="shared" si="401"/>
        <v>7800</v>
      </c>
      <c r="CQ75" s="10">
        <f t="shared" si="401"/>
        <v>8580.0000000000018</v>
      </c>
      <c r="CR75" s="10">
        <f t="shared" si="401"/>
        <v>9438.0000000000018</v>
      </c>
      <c r="CS75" s="10">
        <f t="shared" si="401"/>
        <v>10381.800000000003</v>
      </c>
      <c r="CT75" s="10">
        <f t="shared" si="402"/>
        <v>11419.980000000009</v>
      </c>
      <c r="CU75" s="10">
        <f t="shared" si="402"/>
        <v>12561.978000000005</v>
      </c>
    </row>
    <row r="76" spans="2:99" hidden="1" outlineLevel="2" x14ac:dyDescent="0.2">
      <c r="B76" s="95" t="s">
        <v>12</v>
      </c>
      <c r="C76" s="97" t="s">
        <v>4</v>
      </c>
      <c r="D76" s="92"/>
      <c r="F76" s="22">
        <v>0</v>
      </c>
      <c r="G76" s="22">
        <v>0</v>
      </c>
      <c r="H76" s="22">
        <v>0</v>
      </c>
      <c r="I76" s="22">
        <v>0</v>
      </c>
      <c r="J76" s="22">
        <v>0</v>
      </c>
      <c r="K76" s="22">
        <v>0</v>
      </c>
      <c r="L76" s="22">
        <v>0</v>
      </c>
      <c r="M76" s="22">
        <v>0</v>
      </c>
      <c r="N76" s="22">
        <v>0</v>
      </c>
      <c r="O76" s="22">
        <v>0</v>
      </c>
      <c r="P76" s="22">
        <v>0</v>
      </c>
      <c r="Q76" s="22">
        <v>0</v>
      </c>
      <c r="CO76" s="10">
        <f t="shared" si="400"/>
        <v>0</v>
      </c>
      <c r="CP76" s="10">
        <f t="shared" si="401"/>
        <v>0</v>
      </c>
      <c r="CQ76" s="10">
        <f t="shared" si="401"/>
        <v>0</v>
      </c>
      <c r="CR76" s="10">
        <f t="shared" si="401"/>
        <v>0</v>
      </c>
      <c r="CS76" s="10">
        <f t="shared" si="401"/>
        <v>0</v>
      </c>
      <c r="CT76" s="10">
        <f t="shared" si="402"/>
        <v>0</v>
      </c>
      <c r="CU76" s="10">
        <f t="shared" si="402"/>
        <v>0</v>
      </c>
    </row>
    <row r="77" spans="2:99" hidden="1" outlineLevel="2" x14ac:dyDescent="0.2">
      <c r="B77" s="95" t="s">
        <v>13</v>
      </c>
      <c r="C77" s="97" t="s">
        <v>4</v>
      </c>
      <c r="D77" s="92">
        <v>800</v>
      </c>
      <c r="F77" s="22">
        <v>669.369192</v>
      </c>
      <c r="G77" s="22">
        <v>41.940000000000005</v>
      </c>
      <c r="H77" s="22">
        <v>198.83999999999997</v>
      </c>
      <c r="I77" s="22">
        <v>158.55999599999998</v>
      </c>
      <c r="J77" s="22">
        <v>29.879999999999995</v>
      </c>
      <c r="K77" s="22">
        <v>24.680003999999997</v>
      </c>
      <c r="L77" s="22">
        <v>54.42</v>
      </c>
      <c r="M77" s="22">
        <v>145.77999599999998</v>
      </c>
      <c r="N77" s="22">
        <v>178.68</v>
      </c>
      <c r="O77" s="22">
        <v>235.26752399999998</v>
      </c>
      <c r="P77" s="22">
        <v>154.86600000000001</v>
      </c>
      <c r="Q77" s="22">
        <v>186.37399200000002</v>
      </c>
      <c r="R77" s="22">
        <f t="shared" ref="R77:V77" si="436">Q77</f>
        <v>186.37399200000002</v>
      </c>
      <c r="S77" s="22">
        <v>186</v>
      </c>
      <c r="T77" s="22">
        <v>186</v>
      </c>
      <c r="U77" s="22">
        <f>T77-107</f>
        <v>79</v>
      </c>
      <c r="V77" s="22">
        <f t="shared" si="436"/>
        <v>79</v>
      </c>
      <c r="W77" s="8">
        <v>85</v>
      </c>
      <c r="X77" s="8">
        <f t="shared" ref="X77:AC77" si="437">$D$77</f>
        <v>800</v>
      </c>
      <c r="Y77" s="8">
        <f t="shared" si="437"/>
        <v>800</v>
      </c>
      <c r="Z77" s="8">
        <f t="shared" si="437"/>
        <v>800</v>
      </c>
      <c r="AA77" s="8">
        <f t="shared" si="437"/>
        <v>800</v>
      </c>
      <c r="AB77" s="8">
        <f t="shared" si="437"/>
        <v>800</v>
      </c>
      <c r="AC77" s="8">
        <f t="shared" si="437"/>
        <v>800</v>
      </c>
      <c r="AD77" s="8">
        <f>AC77*1.1</f>
        <v>880.00000000000011</v>
      </c>
      <c r="AE77" s="8">
        <f>AD77</f>
        <v>880.00000000000011</v>
      </c>
      <c r="AF77" s="8">
        <f t="shared" ref="AF77:AO78" si="438">AE77</f>
        <v>880.00000000000011</v>
      </c>
      <c r="AG77" s="8">
        <f t="shared" si="438"/>
        <v>880.00000000000011</v>
      </c>
      <c r="AH77" s="8">
        <f t="shared" si="438"/>
        <v>880.00000000000011</v>
      </c>
      <c r="AI77" s="8">
        <f t="shared" si="438"/>
        <v>880.00000000000011</v>
      </c>
      <c r="AJ77" s="8">
        <f t="shared" si="438"/>
        <v>880.00000000000011</v>
      </c>
      <c r="AK77" s="8">
        <f t="shared" si="438"/>
        <v>880.00000000000011</v>
      </c>
      <c r="AL77" s="8">
        <f t="shared" si="438"/>
        <v>880.00000000000011</v>
      </c>
      <c r="AM77" s="8">
        <f t="shared" si="438"/>
        <v>880.00000000000011</v>
      </c>
      <c r="AN77" s="8">
        <f t="shared" si="438"/>
        <v>880.00000000000011</v>
      </c>
      <c r="AO77" s="8">
        <f t="shared" si="438"/>
        <v>880.00000000000011</v>
      </c>
      <c r="AP77" s="8">
        <f>AO77*1.1</f>
        <v>968.00000000000023</v>
      </c>
      <c r="AQ77" s="8">
        <f>AP77</f>
        <v>968.00000000000023</v>
      </c>
      <c r="AR77" s="8">
        <f t="shared" ref="AR77:BA78" si="439">AQ77</f>
        <v>968.00000000000023</v>
      </c>
      <c r="AS77" s="8">
        <f t="shared" si="439"/>
        <v>968.00000000000023</v>
      </c>
      <c r="AT77" s="8">
        <f t="shared" si="439"/>
        <v>968.00000000000023</v>
      </c>
      <c r="AU77" s="8">
        <f t="shared" si="439"/>
        <v>968.00000000000023</v>
      </c>
      <c r="AV77" s="8">
        <f t="shared" si="439"/>
        <v>968.00000000000023</v>
      </c>
      <c r="AW77" s="8">
        <f t="shared" si="439"/>
        <v>968.00000000000023</v>
      </c>
      <c r="AX77" s="8">
        <f t="shared" si="439"/>
        <v>968.00000000000023</v>
      </c>
      <c r="AY77" s="8">
        <f t="shared" si="439"/>
        <v>968.00000000000023</v>
      </c>
      <c r="AZ77" s="8">
        <f t="shared" si="439"/>
        <v>968.00000000000023</v>
      </c>
      <c r="BA77" s="8">
        <f t="shared" si="439"/>
        <v>968.00000000000023</v>
      </c>
      <c r="BB77" s="10">
        <f>BA77*1.1</f>
        <v>1064.8000000000004</v>
      </c>
      <c r="BC77" s="10">
        <f>BB77</f>
        <v>1064.8000000000004</v>
      </c>
      <c r="BD77" s="10">
        <f t="shared" ref="BD77:BM78" si="440">BC77</f>
        <v>1064.8000000000004</v>
      </c>
      <c r="BE77" s="10">
        <f t="shared" si="440"/>
        <v>1064.8000000000004</v>
      </c>
      <c r="BF77" s="10">
        <f t="shared" si="440"/>
        <v>1064.8000000000004</v>
      </c>
      <c r="BG77" s="10">
        <f t="shared" si="440"/>
        <v>1064.8000000000004</v>
      </c>
      <c r="BH77" s="10">
        <f t="shared" si="440"/>
        <v>1064.8000000000004</v>
      </c>
      <c r="BI77" s="10">
        <f t="shared" si="440"/>
        <v>1064.8000000000004</v>
      </c>
      <c r="BJ77" s="10">
        <f t="shared" si="440"/>
        <v>1064.8000000000004</v>
      </c>
      <c r="BK77" s="10">
        <f t="shared" si="440"/>
        <v>1064.8000000000004</v>
      </c>
      <c r="BL77" s="10">
        <f t="shared" si="440"/>
        <v>1064.8000000000004</v>
      </c>
      <c r="BM77" s="10">
        <f t="shared" si="440"/>
        <v>1064.8000000000004</v>
      </c>
      <c r="BN77" s="10">
        <f>BM77*1.1</f>
        <v>1171.2800000000007</v>
      </c>
      <c r="BO77" s="10">
        <f>BN77</f>
        <v>1171.2800000000007</v>
      </c>
      <c r="BP77" s="10">
        <f t="shared" ref="BP77:BX78" si="441">BO77</f>
        <v>1171.2800000000007</v>
      </c>
      <c r="BQ77" s="10">
        <f t="shared" si="441"/>
        <v>1171.2800000000007</v>
      </c>
      <c r="BR77" s="10">
        <f t="shared" si="441"/>
        <v>1171.2800000000007</v>
      </c>
      <c r="BS77" s="10">
        <f t="shared" si="441"/>
        <v>1171.2800000000007</v>
      </c>
      <c r="BT77" s="10">
        <f t="shared" si="441"/>
        <v>1171.2800000000007</v>
      </c>
      <c r="BU77" s="10">
        <f t="shared" si="441"/>
        <v>1171.2800000000007</v>
      </c>
      <c r="BV77" s="10">
        <f t="shared" si="441"/>
        <v>1171.2800000000007</v>
      </c>
      <c r="BW77" s="10">
        <f t="shared" si="441"/>
        <v>1171.2800000000007</v>
      </c>
      <c r="BX77" s="10">
        <f t="shared" si="441"/>
        <v>1171.2800000000007</v>
      </c>
      <c r="BY77" s="10">
        <f t="shared" ref="BY77:BY78" si="442">BX77</f>
        <v>1171.2800000000007</v>
      </c>
      <c r="BZ77" s="10">
        <f t="shared" ref="BZ77:BZ78" si="443">BY77</f>
        <v>1171.2800000000007</v>
      </c>
      <c r="CA77" s="10">
        <f t="shared" ref="CA77:CA78" si="444">BZ77</f>
        <v>1171.2800000000007</v>
      </c>
      <c r="CB77" s="10">
        <f t="shared" ref="CB77:CB78" si="445">CA77</f>
        <v>1171.2800000000007</v>
      </c>
      <c r="CC77" s="10">
        <f t="shared" ref="CC77:CC78" si="446">CB77</f>
        <v>1171.2800000000007</v>
      </c>
      <c r="CD77" s="10">
        <f t="shared" ref="CD77:CD78" si="447">CC77</f>
        <v>1171.2800000000007</v>
      </c>
      <c r="CE77" s="10">
        <f t="shared" ref="CE77:CE78" si="448">CD77</f>
        <v>1171.2800000000007</v>
      </c>
      <c r="CF77" s="10">
        <f t="shared" ref="CF77:CF78" si="449">CE77</f>
        <v>1171.2800000000007</v>
      </c>
      <c r="CG77" s="10">
        <f t="shared" ref="CG77:CG78" si="450">CF77</f>
        <v>1171.2800000000007</v>
      </c>
      <c r="CH77" s="10">
        <f t="shared" ref="CH77:CH78" si="451">CG77</f>
        <v>1171.2800000000007</v>
      </c>
      <c r="CI77" s="10">
        <f t="shared" ref="CI77:CI78" si="452">CH77</f>
        <v>1171.2800000000007</v>
      </c>
      <c r="CJ77" s="10">
        <f t="shared" ref="CJ77:CJ78" si="453">CI77</f>
        <v>1171.2800000000007</v>
      </c>
      <c r="CK77" s="10">
        <f t="shared" ref="CK77:CK78" si="454">CJ77</f>
        <v>1171.2800000000007</v>
      </c>
      <c r="CO77" s="10">
        <f t="shared" si="400"/>
        <v>2078.656704</v>
      </c>
      <c r="CP77" s="10">
        <f t="shared" si="401"/>
        <v>5601.3739919999998</v>
      </c>
      <c r="CQ77" s="10">
        <f t="shared" si="401"/>
        <v>10560.000000000002</v>
      </c>
      <c r="CR77" s="10">
        <f t="shared" si="401"/>
        <v>11616.000000000002</v>
      </c>
      <c r="CS77" s="10">
        <f t="shared" si="401"/>
        <v>12777.600000000008</v>
      </c>
      <c r="CT77" s="10">
        <f t="shared" si="402"/>
        <v>14055.360000000008</v>
      </c>
      <c r="CU77" s="10">
        <f t="shared" si="402"/>
        <v>14055.360000000008</v>
      </c>
    </row>
    <row r="78" spans="2:99" hidden="1" outlineLevel="2" x14ac:dyDescent="0.2">
      <c r="B78" s="95" t="s">
        <v>295</v>
      </c>
      <c r="C78" s="97" t="s">
        <v>4</v>
      </c>
      <c r="D78" s="92">
        <v>500</v>
      </c>
      <c r="F78" s="22">
        <v>831.38743199999999</v>
      </c>
      <c r="G78" s="22">
        <v>526.83567599999992</v>
      </c>
      <c r="H78" s="22">
        <v>705.98740799999985</v>
      </c>
      <c r="I78" s="22">
        <v>584.70251999999994</v>
      </c>
      <c r="J78" s="22">
        <v>530.69338799999991</v>
      </c>
      <c r="K78" s="22">
        <v>376.07356800000002</v>
      </c>
      <c r="L78" s="22">
        <v>506.28556800000001</v>
      </c>
      <c r="M78" s="22">
        <v>376.52356800000001</v>
      </c>
      <c r="N78" s="22">
        <v>424.36551599999996</v>
      </c>
      <c r="O78" s="22">
        <v>620.57608800000003</v>
      </c>
      <c r="P78" s="22">
        <v>562.19563199999993</v>
      </c>
      <c r="Q78" s="22">
        <v>349.89872399999996</v>
      </c>
      <c r="R78" s="8">
        <v>266</v>
      </c>
      <c r="S78" s="8">
        <v>78</v>
      </c>
      <c r="T78" s="8">
        <v>200</v>
      </c>
      <c r="U78" s="8">
        <v>35</v>
      </c>
      <c r="V78" s="8">
        <f>$D$78-370</f>
        <v>130</v>
      </c>
      <c r="W78" s="8">
        <v>16</v>
      </c>
      <c r="X78" s="8">
        <f t="shared" ref="X78:AC78" si="455">$D$78</f>
        <v>500</v>
      </c>
      <c r="Y78" s="8">
        <f t="shared" si="455"/>
        <v>500</v>
      </c>
      <c r="Z78" s="8">
        <f t="shared" si="455"/>
        <v>500</v>
      </c>
      <c r="AA78" s="8">
        <f t="shared" si="455"/>
        <v>500</v>
      </c>
      <c r="AB78" s="8">
        <f t="shared" si="455"/>
        <v>500</v>
      </c>
      <c r="AC78" s="8">
        <f t="shared" si="455"/>
        <v>500</v>
      </c>
      <c r="AD78" s="8">
        <f>AC78*1.1</f>
        <v>550</v>
      </c>
      <c r="AE78" s="8">
        <f>AD78</f>
        <v>550</v>
      </c>
      <c r="AF78" s="8">
        <f t="shared" si="438"/>
        <v>550</v>
      </c>
      <c r="AG78" s="8">
        <f t="shared" si="438"/>
        <v>550</v>
      </c>
      <c r="AH78" s="8">
        <f t="shared" si="438"/>
        <v>550</v>
      </c>
      <c r="AI78" s="8">
        <f t="shared" si="438"/>
        <v>550</v>
      </c>
      <c r="AJ78" s="8">
        <f t="shared" si="438"/>
        <v>550</v>
      </c>
      <c r="AK78" s="8">
        <f t="shared" si="438"/>
        <v>550</v>
      </c>
      <c r="AL78" s="8">
        <f t="shared" si="438"/>
        <v>550</v>
      </c>
      <c r="AM78" s="8">
        <f t="shared" si="438"/>
        <v>550</v>
      </c>
      <c r="AN78" s="8">
        <f t="shared" si="438"/>
        <v>550</v>
      </c>
      <c r="AO78" s="8">
        <f t="shared" si="438"/>
        <v>550</v>
      </c>
      <c r="AP78" s="8">
        <f>AO78*1.1</f>
        <v>605</v>
      </c>
      <c r="AQ78" s="8">
        <f>AP78</f>
        <v>605</v>
      </c>
      <c r="AR78" s="8">
        <f t="shared" si="439"/>
        <v>605</v>
      </c>
      <c r="AS78" s="8">
        <f t="shared" si="439"/>
        <v>605</v>
      </c>
      <c r="AT78" s="8">
        <f t="shared" si="439"/>
        <v>605</v>
      </c>
      <c r="AU78" s="8">
        <f t="shared" si="439"/>
        <v>605</v>
      </c>
      <c r="AV78" s="8">
        <f t="shared" si="439"/>
        <v>605</v>
      </c>
      <c r="AW78" s="8">
        <f t="shared" si="439"/>
        <v>605</v>
      </c>
      <c r="AX78" s="8">
        <f t="shared" si="439"/>
        <v>605</v>
      </c>
      <c r="AY78" s="8">
        <f t="shared" si="439"/>
        <v>605</v>
      </c>
      <c r="AZ78" s="8">
        <f t="shared" si="439"/>
        <v>605</v>
      </c>
      <c r="BA78" s="8">
        <f t="shared" si="439"/>
        <v>605</v>
      </c>
      <c r="BB78" s="10">
        <f>BA78*1.1</f>
        <v>665.5</v>
      </c>
      <c r="BC78" s="10">
        <f>BB78</f>
        <v>665.5</v>
      </c>
      <c r="BD78" s="10">
        <f t="shared" si="440"/>
        <v>665.5</v>
      </c>
      <c r="BE78" s="10">
        <f t="shared" si="440"/>
        <v>665.5</v>
      </c>
      <c r="BF78" s="10">
        <f t="shared" si="440"/>
        <v>665.5</v>
      </c>
      <c r="BG78" s="10">
        <f t="shared" si="440"/>
        <v>665.5</v>
      </c>
      <c r="BH78" s="10">
        <f t="shared" si="440"/>
        <v>665.5</v>
      </c>
      <c r="BI78" s="10">
        <f t="shared" si="440"/>
        <v>665.5</v>
      </c>
      <c r="BJ78" s="10">
        <f t="shared" si="440"/>
        <v>665.5</v>
      </c>
      <c r="BK78" s="10">
        <f t="shared" si="440"/>
        <v>665.5</v>
      </c>
      <c r="BL78" s="10">
        <f t="shared" si="440"/>
        <v>665.5</v>
      </c>
      <c r="BM78" s="10">
        <f t="shared" si="440"/>
        <v>665.5</v>
      </c>
      <c r="BN78" s="10">
        <f>BM78*1.1</f>
        <v>732.05000000000007</v>
      </c>
      <c r="BO78" s="10">
        <f>BN78</f>
        <v>732.05000000000007</v>
      </c>
      <c r="BP78" s="10">
        <f t="shared" si="441"/>
        <v>732.05000000000007</v>
      </c>
      <c r="BQ78" s="10">
        <f t="shared" si="441"/>
        <v>732.05000000000007</v>
      </c>
      <c r="BR78" s="10">
        <f t="shared" si="441"/>
        <v>732.05000000000007</v>
      </c>
      <c r="BS78" s="10">
        <f t="shared" si="441"/>
        <v>732.05000000000007</v>
      </c>
      <c r="BT78" s="10">
        <f t="shared" si="441"/>
        <v>732.05000000000007</v>
      </c>
      <c r="BU78" s="10">
        <f t="shared" si="441"/>
        <v>732.05000000000007</v>
      </c>
      <c r="BV78" s="10">
        <f t="shared" si="441"/>
        <v>732.05000000000007</v>
      </c>
      <c r="BW78" s="10">
        <f t="shared" si="441"/>
        <v>732.05000000000007</v>
      </c>
      <c r="BX78" s="10">
        <f t="shared" si="441"/>
        <v>732.05000000000007</v>
      </c>
      <c r="BY78" s="10">
        <f t="shared" si="442"/>
        <v>732.05000000000007</v>
      </c>
      <c r="BZ78" s="10">
        <f t="shared" si="443"/>
        <v>732.05000000000007</v>
      </c>
      <c r="CA78" s="10">
        <f t="shared" si="444"/>
        <v>732.05000000000007</v>
      </c>
      <c r="CB78" s="10">
        <f t="shared" si="445"/>
        <v>732.05000000000007</v>
      </c>
      <c r="CC78" s="10">
        <f t="shared" si="446"/>
        <v>732.05000000000007</v>
      </c>
      <c r="CD78" s="10">
        <f t="shared" si="447"/>
        <v>732.05000000000007</v>
      </c>
      <c r="CE78" s="10">
        <f t="shared" si="448"/>
        <v>732.05000000000007</v>
      </c>
      <c r="CF78" s="10">
        <f t="shared" si="449"/>
        <v>732.05000000000007</v>
      </c>
      <c r="CG78" s="10">
        <f t="shared" si="450"/>
        <v>732.05000000000007</v>
      </c>
      <c r="CH78" s="10">
        <f t="shared" si="451"/>
        <v>732.05000000000007</v>
      </c>
      <c r="CI78" s="10">
        <f t="shared" si="452"/>
        <v>732.05000000000007</v>
      </c>
      <c r="CJ78" s="10">
        <f t="shared" si="453"/>
        <v>732.05000000000007</v>
      </c>
      <c r="CK78" s="10">
        <f t="shared" si="454"/>
        <v>732.05000000000007</v>
      </c>
      <c r="CO78" s="10"/>
      <c r="CP78" s="10"/>
      <c r="CQ78" s="10"/>
      <c r="CR78" s="10"/>
      <c r="CS78" s="10"/>
      <c r="CT78" s="10"/>
      <c r="CU78" s="10"/>
    </row>
    <row r="79" spans="2:99" hidden="1" outlineLevel="2" x14ac:dyDescent="0.2">
      <c r="B79" s="95" t="s">
        <v>14</v>
      </c>
      <c r="C79" s="91" t="s">
        <v>39</v>
      </c>
      <c r="D79" s="104">
        <v>7.0000000000000001E-3</v>
      </c>
      <c r="E79" s="158"/>
      <c r="F79" s="22">
        <v>122.50047599999999</v>
      </c>
      <c r="G79" s="22">
        <v>168.26762399999998</v>
      </c>
      <c r="H79" s="22">
        <v>252.03904800000001</v>
      </c>
      <c r="I79" s="22">
        <v>132.242256</v>
      </c>
      <c r="J79" s="22">
        <v>114.362004</v>
      </c>
      <c r="K79" s="22">
        <v>548.52717600000005</v>
      </c>
      <c r="L79" s="22">
        <v>223.279224</v>
      </c>
      <c r="M79" s="22">
        <v>176.94939600000001</v>
      </c>
      <c r="N79" s="22">
        <v>109.23996</v>
      </c>
      <c r="O79" s="22">
        <v>154.17016800000002</v>
      </c>
      <c r="P79" s="22">
        <v>219.18199199999998</v>
      </c>
      <c r="Q79" s="22">
        <v>840.25296000000003</v>
      </c>
      <c r="R79" s="22">
        <f t="shared" ref="R79:CK79" si="456">IF(R$47*$D79&lt;200,200,R$47*$D79)</f>
        <v>286.07799857000003</v>
      </c>
      <c r="S79" s="22">
        <f>IF(S$47*$D79&lt;200,200,S$47*$D79)-45</f>
        <v>217.29783579999997</v>
      </c>
      <c r="T79" s="22">
        <f>IF(T$47*$D79&lt;200,200,T$47*$D79)-14</f>
        <v>352.25280650000002</v>
      </c>
      <c r="U79" s="22">
        <v>100</v>
      </c>
      <c r="V79" s="22">
        <f t="shared" si="456"/>
        <v>299.28854704000003</v>
      </c>
      <c r="W79" s="22">
        <v>50</v>
      </c>
      <c r="X79" s="22">
        <f t="shared" si="456"/>
        <v>395.04706492999998</v>
      </c>
      <c r="Y79" s="22">
        <f t="shared" si="456"/>
        <v>386.43360875000002</v>
      </c>
      <c r="Z79" s="22">
        <f t="shared" si="456"/>
        <v>392.21219898000004</v>
      </c>
      <c r="AA79" s="22">
        <f t="shared" si="456"/>
        <v>369.09666619000001</v>
      </c>
      <c r="AB79" s="22">
        <f t="shared" si="456"/>
        <v>359.70190969999999</v>
      </c>
      <c r="AC79" s="22">
        <f t="shared" si="456"/>
        <v>422.06904418000005</v>
      </c>
      <c r="AD79" s="22">
        <f t="shared" si="456"/>
        <v>267.23918900000001</v>
      </c>
      <c r="AE79" s="22">
        <f t="shared" si="456"/>
        <v>282.48049899999995</v>
      </c>
      <c r="AF79" s="22">
        <f t="shared" si="456"/>
        <v>353.05408599999998</v>
      </c>
      <c r="AG79" s="22">
        <f t="shared" si="456"/>
        <v>350.7</v>
      </c>
      <c r="AH79" s="22">
        <f t="shared" si="456"/>
        <v>364.7</v>
      </c>
      <c r="AI79" s="22">
        <f t="shared" si="456"/>
        <v>372.40000000000003</v>
      </c>
      <c r="AJ79" s="22">
        <f t="shared" si="456"/>
        <v>395.5</v>
      </c>
      <c r="AK79" s="22">
        <f t="shared" si="456"/>
        <v>532</v>
      </c>
      <c r="AL79" s="22">
        <f t="shared" si="456"/>
        <v>595</v>
      </c>
      <c r="AM79" s="22">
        <f t="shared" si="456"/>
        <v>596.68000000000006</v>
      </c>
      <c r="AN79" s="22">
        <f t="shared" si="456"/>
        <v>632.24</v>
      </c>
      <c r="AO79" s="22">
        <f t="shared" si="456"/>
        <v>755.125</v>
      </c>
      <c r="AP79" s="22">
        <f t="shared" si="456"/>
        <v>650.48374999999999</v>
      </c>
      <c r="AQ79" s="22">
        <f t="shared" si="456"/>
        <v>758.47005208333337</v>
      </c>
      <c r="AR79" s="22">
        <f t="shared" si="456"/>
        <v>917.63599537037021</v>
      </c>
      <c r="AS79" s="22">
        <f t="shared" si="456"/>
        <v>988.90967051673681</v>
      </c>
      <c r="AT79" s="22">
        <f t="shared" si="456"/>
        <v>1030.1142401216009</v>
      </c>
      <c r="AU79" s="22">
        <f t="shared" si="456"/>
        <v>1051.1369797159191</v>
      </c>
      <c r="AV79" s="22">
        <f t="shared" si="456"/>
        <v>1072.5887548121625</v>
      </c>
      <c r="AW79" s="22">
        <f t="shared" si="456"/>
        <v>1018.9220378019826</v>
      </c>
      <c r="AX79" s="22">
        <f t="shared" si="456"/>
        <v>988.35437666792313</v>
      </c>
      <c r="AY79" s="22">
        <f t="shared" si="456"/>
        <v>958.70374536788552</v>
      </c>
      <c r="AZ79" s="22">
        <f t="shared" si="456"/>
        <v>910.76855809949097</v>
      </c>
      <c r="BA79" s="22">
        <f t="shared" si="456"/>
        <v>1214.3580774659883</v>
      </c>
      <c r="BB79" s="22">
        <f t="shared" si="456"/>
        <v>753.81097146762977</v>
      </c>
      <c r="BC79" s="22">
        <f t="shared" si="456"/>
        <v>882.47436621093766</v>
      </c>
      <c r="BD79" s="22">
        <f t="shared" si="456"/>
        <v>1067.0716829427083</v>
      </c>
      <c r="BE79" s="22">
        <f t="shared" si="456"/>
        <v>1149.6412592622423</v>
      </c>
      <c r="BF79" s="22">
        <f t="shared" si="456"/>
        <v>1197.5429783981692</v>
      </c>
      <c r="BG79" s="22">
        <f t="shared" si="456"/>
        <v>1221.9826310185401</v>
      </c>
      <c r="BH79" s="22">
        <f t="shared" si="456"/>
        <v>1246.9210520597348</v>
      </c>
      <c r="BI79" s="22">
        <f t="shared" si="456"/>
        <v>1184.6806692728071</v>
      </c>
      <c r="BJ79" s="22">
        <f t="shared" si="456"/>
        <v>1149.1402491946226</v>
      </c>
      <c r="BK79" s="22">
        <f t="shared" si="456"/>
        <v>1114.6660417187841</v>
      </c>
      <c r="BL79" s="22">
        <f t="shared" si="456"/>
        <v>1073.6497295537397</v>
      </c>
      <c r="BM79" s="22">
        <f t="shared" si="456"/>
        <v>1411.9103195104594</v>
      </c>
      <c r="BN79" s="22">
        <f t="shared" si="456"/>
        <v>877.76861969944548</v>
      </c>
      <c r="BO79" s="22">
        <f t="shared" si="456"/>
        <v>1026.7791457372562</v>
      </c>
      <c r="BP79" s="22">
        <f t="shared" si="456"/>
        <v>1240.87666807959</v>
      </c>
      <c r="BQ79" s="22">
        <f t="shared" si="456"/>
        <v>1336.534337420969</v>
      </c>
      <c r="BR79" s="22">
        <f t="shared" si="456"/>
        <v>1392.2232681468429</v>
      </c>
      <c r="BS79" s="22">
        <f t="shared" si="456"/>
        <v>1420.6359879049417</v>
      </c>
      <c r="BT79" s="22">
        <f t="shared" si="456"/>
        <v>1449.6285590866751</v>
      </c>
      <c r="BU79" s="22">
        <f t="shared" si="456"/>
        <v>1377.442974998308</v>
      </c>
      <c r="BV79" s="22">
        <f t="shared" si="456"/>
        <v>1336.1196857483587</v>
      </c>
      <c r="BW79" s="22">
        <f t="shared" si="456"/>
        <v>1314.1039113282659</v>
      </c>
      <c r="BX79" s="22">
        <f t="shared" si="456"/>
        <v>1248.3987157618524</v>
      </c>
      <c r="BY79" s="22">
        <f t="shared" si="456"/>
        <v>1641.8846057424589</v>
      </c>
      <c r="BZ79" s="22">
        <f t="shared" si="456"/>
        <v>999.2626223097991</v>
      </c>
      <c r="CA79" s="22">
        <f t="shared" si="456"/>
        <v>1170.8309115971776</v>
      </c>
      <c r="CB79" s="22">
        <f t="shared" si="456"/>
        <v>1416.7015742998808</v>
      </c>
      <c r="CC79" s="22">
        <f t="shared" si="456"/>
        <v>1526.9219476977701</v>
      </c>
      <c r="CD79" s="22">
        <f t="shared" si="456"/>
        <v>1590.7645768391385</v>
      </c>
      <c r="CE79" s="22">
        <f t="shared" si="456"/>
        <v>1623.4545491426184</v>
      </c>
      <c r="CF79" s="22">
        <f t="shared" si="456"/>
        <v>1656.8162635156118</v>
      </c>
      <c r="CG79" s="22">
        <f t="shared" si="456"/>
        <v>1574.1729267379217</v>
      </c>
      <c r="CH79" s="22">
        <f t="shared" si="456"/>
        <v>1548.8883560696324</v>
      </c>
      <c r="CI79" s="22">
        <f t="shared" si="456"/>
        <v>1502.6316100288816</v>
      </c>
      <c r="CJ79" s="22">
        <f t="shared" si="456"/>
        <v>1427.6994389367087</v>
      </c>
      <c r="CK79" s="22">
        <f t="shared" si="456"/>
        <v>1877.1733054218798</v>
      </c>
      <c r="CO79" s="10">
        <f>SUMIF($F$2:$CK$2,CO$3,$F79:$CK79)</f>
        <v>3061.0122839999995</v>
      </c>
      <c r="CP79" s="10">
        <f t="shared" ref="CP79:CS95" si="457">SUMIF($L$2:$CK$2,CP$3,$L79:$CK79)</f>
        <v>3629.4776806400009</v>
      </c>
      <c r="CQ79" s="10">
        <f t="shared" si="457"/>
        <v>5497.1187739999996</v>
      </c>
      <c r="CR79" s="10">
        <f t="shared" si="457"/>
        <v>11560.446238023394</v>
      </c>
      <c r="CS79" s="10">
        <f t="shared" si="457"/>
        <v>13453.491950610376</v>
      </c>
      <c r="CT79" s="10">
        <f t="shared" ref="CT79:CU94" si="458">SUMIF($L$2:$CK$2,CT$3,$L79:$CK79)</f>
        <v>15662.396479654966</v>
      </c>
      <c r="CU79" s="10">
        <f t="shared" si="458"/>
        <v>17915.318082597019</v>
      </c>
    </row>
    <row r="80" spans="2:99" hidden="1" outlineLevel="2" x14ac:dyDescent="0.2">
      <c r="B80" s="95" t="s">
        <v>288</v>
      </c>
      <c r="C80" s="91"/>
      <c r="D80" s="104"/>
      <c r="E80" s="158"/>
      <c r="F80" s="22">
        <v>629.76125201595414</v>
      </c>
      <c r="G80" s="22">
        <v>586.06432855331923</v>
      </c>
      <c r="H80" s="22">
        <v>804.21338439486703</v>
      </c>
      <c r="I80" s="22">
        <v>891.76556358564767</v>
      </c>
      <c r="J80" s="22">
        <v>1186.1378227398882</v>
      </c>
      <c r="K80" s="22">
        <v>1172.5711498792202</v>
      </c>
      <c r="L80" s="22">
        <v>1131.3337963551303</v>
      </c>
      <c r="M80" s="22">
        <v>888.28028141199047</v>
      </c>
      <c r="N80" s="22">
        <v>859.63339106699163</v>
      </c>
      <c r="O80" s="22">
        <v>1207.2400694654862</v>
      </c>
      <c r="P80" s="22">
        <v>1013.3117630808763</v>
      </c>
      <c r="Q80" s="22">
        <v>1166.2157294506299</v>
      </c>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O80" s="10">
        <f>SUMIF($F$2:$CK$2,CO$3,$F80:$CK80)</f>
        <v>11536.528532</v>
      </c>
      <c r="CP80" s="10">
        <f t="shared" si="457"/>
        <v>0</v>
      </c>
      <c r="CQ80" s="10">
        <f t="shared" si="457"/>
        <v>0</v>
      </c>
      <c r="CR80" s="10">
        <f t="shared" si="457"/>
        <v>0</v>
      </c>
      <c r="CS80" s="10">
        <f t="shared" si="457"/>
        <v>0</v>
      </c>
      <c r="CT80" s="10">
        <f t="shared" si="458"/>
        <v>0</v>
      </c>
      <c r="CU80" s="10">
        <f t="shared" si="458"/>
        <v>0</v>
      </c>
    </row>
    <row r="81" spans="2:99" outlineLevel="1" x14ac:dyDescent="0.2">
      <c r="B81" s="88" t="s">
        <v>17</v>
      </c>
      <c r="C81" s="91"/>
      <c r="D81" s="92"/>
      <c r="E81" s="159" t="s">
        <v>473</v>
      </c>
      <c r="F81" s="94">
        <f t="shared" ref="F81" si="459">SUM(F82:F84)</f>
        <v>2731.031508</v>
      </c>
      <c r="G81" s="94">
        <f>SUM(G82:G84)</f>
        <v>2995.0368239999998</v>
      </c>
      <c r="H81" s="94">
        <f t="shared" ref="H81:K81" si="460">SUM(H82:H84)</f>
        <v>2435.5885800000001</v>
      </c>
      <c r="I81" s="94">
        <f t="shared" si="460"/>
        <v>2583.3579480000003</v>
      </c>
      <c r="J81" s="94">
        <f t="shared" si="460"/>
        <v>2233.7488200000003</v>
      </c>
      <c r="K81" s="94">
        <f t="shared" si="460"/>
        <v>2573.8716839999993</v>
      </c>
      <c r="L81" s="94">
        <f>SUM(L82:L84)</f>
        <v>2733.1882559999999</v>
      </c>
      <c r="M81" s="94">
        <f t="shared" ref="M81:AW81" si="461">SUM(M82:M84)</f>
        <v>2562.2739119999997</v>
      </c>
      <c r="N81" s="94">
        <f t="shared" si="461"/>
        <v>1642.6288079999999</v>
      </c>
      <c r="O81" s="94">
        <f t="shared" si="461"/>
        <v>2403.0561480000001</v>
      </c>
      <c r="P81" s="94">
        <f t="shared" si="461"/>
        <v>2102.7601519999998</v>
      </c>
      <c r="Q81" s="94">
        <f t="shared" si="461"/>
        <v>2126.0036759999998</v>
      </c>
      <c r="R81" s="94">
        <f t="shared" si="461"/>
        <v>1634.7314204000002</v>
      </c>
      <c r="S81" s="94">
        <f t="shared" si="461"/>
        <v>1498.8447759999999</v>
      </c>
      <c r="T81" s="94">
        <f t="shared" si="461"/>
        <v>2092.87318</v>
      </c>
      <c r="U81" s="94">
        <f t="shared" si="461"/>
        <v>1659.7442976</v>
      </c>
      <c r="V81" s="94">
        <f t="shared" si="461"/>
        <v>1710.2202688000002</v>
      </c>
      <c r="W81" s="94">
        <f t="shared" si="461"/>
        <v>1752.2422856000003</v>
      </c>
      <c r="X81" s="94">
        <f t="shared" si="461"/>
        <v>2257.4117996</v>
      </c>
      <c r="Y81" s="94">
        <f t="shared" si="461"/>
        <v>2208.1920500000001</v>
      </c>
      <c r="Z81" s="94">
        <f t="shared" si="461"/>
        <v>2241.2125656000003</v>
      </c>
      <c r="AA81" s="94">
        <f t="shared" si="461"/>
        <v>1943.1238068000002</v>
      </c>
      <c r="AB81" s="94">
        <f t="shared" si="461"/>
        <v>1891.439484</v>
      </c>
      <c r="AC81" s="94">
        <f t="shared" si="461"/>
        <v>2247.8231096000004</v>
      </c>
      <c r="AD81" s="94">
        <f t="shared" si="461"/>
        <v>1527.0810800000002</v>
      </c>
      <c r="AE81" s="94">
        <f t="shared" si="461"/>
        <v>1614.17428</v>
      </c>
      <c r="AF81" s="94">
        <f t="shared" si="461"/>
        <v>2017.4519199999997</v>
      </c>
      <c r="AG81" s="94">
        <f t="shared" si="461"/>
        <v>2004</v>
      </c>
      <c r="AH81" s="94">
        <f t="shared" si="461"/>
        <v>2084</v>
      </c>
      <c r="AI81" s="94">
        <f t="shared" si="461"/>
        <v>2128</v>
      </c>
      <c r="AJ81" s="94">
        <f t="shared" si="461"/>
        <v>2260</v>
      </c>
      <c r="AK81" s="94">
        <f t="shared" si="461"/>
        <v>3040</v>
      </c>
      <c r="AL81" s="94">
        <f t="shared" si="461"/>
        <v>3400</v>
      </c>
      <c r="AM81" s="94">
        <f t="shared" si="461"/>
        <v>3409.6</v>
      </c>
      <c r="AN81" s="94">
        <f t="shared" si="461"/>
        <v>3500</v>
      </c>
      <c r="AO81" s="94">
        <f t="shared" si="461"/>
        <v>3500</v>
      </c>
      <c r="AP81" s="94">
        <f t="shared" si="461"/>
        <v>1858.5250000000001</v>
      </c>
      <c r="AQ81" s="94">
        <f t="shared" si="461"/>
        <v>2167.057291666667</v>
      </c>
      <c r="AR81" s="94">
        <f t="shared" si="461"/>
        <v>2621.8171296296291</v>
      </c>
      <c r="AS81" s="94">
        <f t="shared" si="461"/>
        <v>2825.4562014763906</v>
      </c>
      <c r="AT81" s="94">
        <f t="shared" si="461"/>
        <v>2943.1835432045737</v>
      </c>
      <c r="AU81" s="94">
        <f t="shared" si="461"/>
        <v>3003.2485134740546</v>
      </c>
      <c r="AV81" s="94">
        <f t="shared" si="461"/>
        <v>3064.5392994633212</v>
      </c>
      <c r="AW81" s="94">
        <f t="shared" si="461"/>
        <v>2911.2058222913788</v>
      </c>
      <c r="AX81" s="94">
        <f t="shared" ref="AX81:BU81" si="462">SUM(AX82:AX84)</f>
        <v>2823.8696476226378</v>
      </c>
      <c r="AY81" s="94">
        <f t="shared" si="462"/>
        <v>2739.1535581939588</v>
      </c>
      <c r="AZ81" s="94">
        <f t="shared" si="462"/>
        <v>2602.1958802842601</v>
      </c>
      <c r="BA81" s="94">
        <f t="shared" si="462"/>
        <v>3469.5945070456805</v>
      </c>
      <c r="BB81" s="94">
        <f t="shared" si="462"/>
        <v>2153.7456327646564</v>
      </c>
      <c r="BC81" s="94">
        <f t="shared" si="462"/>
        <v>2521.3553320312503</v>
      </c>
      <c r="BD81" s="94">
        <f t="shared" si="462"/>
        <v>3048.7762369791667</v>
      </c>
      <c r="BE81" s="94">
        <f t="shared" si="462"/>
        <v>3284.6893121778353</v>
      </c>
      <c r="BF81" s="94">
        <f t="shared" si="462"/>
        <v>3421.551366851912</v>
      </c>
      <c r="BG81" s="94">
        <f t="shared" si="462"/>
        <v>3491.3789457672574</v>
      </c>
      <c r="BH81" s="94">
        <f t="shared" si="462"/>
        <v>3562.6315773135279</v>
      </c>
      <c r="BI81" s="94">
        <f t="shared" si="462"/>
        <v>3384.8019122080204</v>
      </c>
      <c r="BJ81" s="94">
        <f t="shared" si="462"/>
        <v>3283.2578548417787</v>
      </c>
      <c r="BK81" s="94">
        <f t="shared" si="462"/>
        <v>3184.7601191965259</v>
      </c>
      <c r="BL81" s="94">
        <f t="shared" si="462"/>
        <v>3067.5706558678276</v>
      </c>
      <c r="BM81" s="94">
        <f t="shared" si="462"/>
        <v>4034.0294843155984</v>
      </c>
      <c r="BN81" s="94">
        <f t="shared" si="462"/>
        <v>2507.9103419984158</v>
      </c>
      <c r="BO81" s="94">
        <f t="shared" si="462"/>
        <v>2933.6547021064462</v>
      </c>
      <c r="BP81" s="94">
        <f t="shared" si="462"/>
        <v>3545.3619087988286</v>
      </c>
      <c r="BQ81" s="94">
        <f t="shared" si="462"/>
        <v>3818.6695354884828</v>
      </c>
      <c r="BR81" s="94">
        <f t="shared" si="462"/>
        <v>3977.7807661338366</v>
      </c>
      <c r="BS81" s="94">
        <f t="shared" si="462"/>
        <v>4058.9599654426902</v>
      </c>
      <c r="BT81" s="94">
        <f t="shared" si="462"/>
        <v>4141.7958831047863</v>
      </c>
      <c r="BU81" s="94">
        <f t="shared" si="462"/>
        <v>3935.5513571380229</v>
      </c>
      <c r="BV81" s="94">
        <f t="shared" ref="BV81:BX81" si="463">SUM(BV82:BV84)</f>
        <v>3817.4848164238824</v>
      </c>
      <c r="BW81" s="94">
        <f t="shared" si="463"/>
        <v>3754.5826037950455</v>
      </c>
      <c r="BX81" s="94">
        <f t="shared" si="463"/>
        <v>3566.8534736052925</v>
      </c>
      <c r="BY81" s="94">
        <f t="shared" ref="BY81:CK81" si="464">SUM(BY82:BY84)</f>
        <v>4691.0988735498822</v>
      </c>
      <c r="BZ81" s="94">
        <f t="shared" si="464"/>
        <v>2855.0360637422832</v>
      </c>
      <c r="CA81" s="94">
        <f t="shared" si="464"/>
        <v>3345.2311759919357</v>
      </c>
      <c r="CB81" s="94">
        <f t="shared" si="464"/>
        <v>4047.7187837139454</v>
      </c>
      <c r="CC81" s="94">
        <f t="shared" si="464"/>
        <v>4362.6341362793428</v>
      </c>
      <c r="CD81" s="94">
        <f t="shared" si="464"/>
        <v>4545.0416481118245</v>
      </c>
      <c r="CE81" s="94">
        <f t="shared" si="464"/>
        <v>4638.4415689789093</v>
      </c>
      <c r="CF81" s="94">
        <f t="shared" si="464"/>
        <v>4733.7607529017478</v>
      </c>
      <c r="CG81" s="94">
        <f t="shared" si="464"/>
        <v>4497.6369335369191</v>
      </c>
      <c r="CH81" s="94">
        <f t="shared" si="464"/>
        <v>4425.3953030560933</v>
      </c>
      <c r="CI81" s="94">
        <f t="shared" si="464"/>
        <v>4293.2331715110904</v>
      </c>
      <c r="CJ81" s="94">
        <f t="shared" si="464"/>
        <v>4079.1412541048817</v>
      </c>
      <c r="CK81" s="94">
        <f t="shared" si="464"/>
        <v>5363.3523012053711</v>
      </c>
      <c r="CO81" s="94">
        <f>SUMIF($F$2:$CK$2,CO$3,$F81:$CK81)</f>
        <v>29122.546316000004</v>
      </c>
      <c r="CP81" s="94">
        <f t="shared" si="457"/>
        <v>23137.859044000001</v>
      </c>
      <c r="CQ81" s="94">
        <f t="shared" si="457"/>
        <v>30484.307279999997</v>
      </c>
      <c r="CR81" s="94">
        <f t="shared" si="457"/>
        <v>33029.846394352557</v>
      </c>
      <c r="CS81" s="94">
        <f t="shared" si="457"/>
        <v>38438.548430315364</v>
      </c>
      <c r="CT81" s="94">
        <f t="shared" si="458"/>
        <v>44749.704227585607</v>
      </c>
      <c r="CU81" s="94">
        <f t="shared" si="458"/>
        <v>51186.623093134345</v>
      </c>
    </row>
    <row r="82" spans="2:99" outlineLevel="2" x14ac:dyDescent="0.2">
      <c r="B82" s="95" t="s">
        <v>40</v>
      </c>
      <c r="C82" s="91" t="s">
        <v>39</v>
      </c>
      <c r="D82" s="104">
        <v>0.04</v>
      </c>
      <c r="E82" s="211">
        <v>0.02</v>
      </c>
      <c r="F82" s="22">
        <v>2731.031508</v>
      </c>
      <c r="G82" s="22">
        <v>2995.0368239999998</v>
      </c>
      <c r="H82" s="22">
        <v>2435.5885800000001</v>
      </c>
      <c r="I82" s="22">
        <v>2583.3579480000003</v>
      </c>
      <c r="J82" s="22">
        <v>2233.7488200000003</v>
      </c>
      <c r="K82" s="22">
        <v>2573.8716839999993</v>
      </c>
      <c r="L82" s="22">
        <v>2733.1882559999999</v>
      </c>
      <c r="M82" s="22">
        <v>2562.2739119999997</v>
      </c>
      <c r="N82" s="22">
        <v>1642.6288079999999</v>
      </c>
      <c r="O82" s="22">
        <v>2403.0561480000001</v>
      </c>
      <c r="P82" s="22">
        <v>2102.7601519999998</v>
      </c>
      <c r="Q82" s="22">
        <v>2126.0036759999998</v>
      </c>
      <c r="R82" s="22">
        <f>IF(R$47*$D82&lt;4500,R$47*$D82,4500)</f>
        <v>1634.7314204000002</v>
      </c>
      <c r="S82" s="22">
        <f>IF(S$47*$D82&lt;3500,S$47*$D82,3500)</f>
        <v>1498.8447759999999</v>
      </c>
      <c r="T82" s="22">
        <f t="shared" ref="T82:AO82" si="465">IF(T$47*$D82&lt;3500,T$47*$D82,3500)</f>
        <v>2092.87318</v>
      </c>
      <c r="U82" s="22">
        <f>IF(U$47*$D82&lt;3500,U$47*$D82,3500)</f>
        <v>1659.7442976</v>
      </c>
      <c r="V82" s="22">
        <f t="shared" si="465"/>
        <v>1710.2202688000002</v>
      </c>
      <c r="W82" s="22">
        <f t="shared" si="465"/>
        <v>1752.2422856000003</v>
      </c>
      <c r="X82" s="22">
        <f t="shared" si="465"/>
        <v>2257.4117996</v>
      </c>
      <c r="Y82" s="22">
        <f t="shared" si="465"/>
        <v>2208.1920500000001</v>
      </c>
      <c r="Z82" s="22">
        <f>IF(Z$47*$D82&lt;3500,Z$47*$D82,3500)</f>
        <v>2241.2125656000003</v>
      </c>
      <c r="AA82" s="22">
        <f>IF(AA$47*$D82&lt;3500,AA$47*$D82,3500)-166</f>
        <v>1943.1238068000002</v>
      </c>
      <c r="AB82" s="22">
        <f t="shared" ref="AB82:AC82" si="466">IF(AB$47*$D82&lt;3500,AB$47*$D82,3500)-164</f>
        <v>1891.439484</v>
      </c>
      <c r="AC82" s="22">
        <f t="shared" si="466"/>
        <v>2247.8231096000004</v>
      </c>
      <c r="AD82" s="22">
        <f t="shared" si="465"/>
        <v>1527.0810800000002</v>
      </c>
      <c r="AE82" s="22">
        <f t="shared" si="465"/>
        <v>1614.17428</v>
      </c>
      <c r="AF82" s="22">
        <f t="shared" si="465"/>
        <v>2017.4519199999997</v>
      </c>
      <c r="AG82" s="22">
        <f t="shared" si="465"/>
        <v>2004</v>
      </c>
      <c r="AH82" s="22">
        <f t="shared" si="465"/>
        <v>2084</v>
      </c>
      <c r="AI82" s="22">
        <f t="shared" si="465"/>
        <v>2128</v>
      </c>
      <c r="AJ82" s="22">
        <f t="shared" si="465"/>
        <v>2260</v>
      </c>
      <c r="AK82" s="22">
        <f t="shared" si="465"/>
        <v>3040</v>
      </c>
      <c r="AL82" s="22">
        <f t="shared" si="465"/>
        <v>3400</v>
      </c>
      <c r="AM82" s="22">
        <f t="shared" si="465"/>
        <v>3409.6</v>
      </c>
      <c r="AN82" s="22">
        <f t="shared" si="465"/>
        <v>3500</v>
      </c>
      <c r="AO82" s="22">
        <f t="shared" si="465"/>
        <v>3500</v>
      </c>
      <c r="AP82" s="22">
        <f t="shared" ref="AP82:CK82" si="467">AP$47*$E82</f>
        <v>1858.5250000000001</v>
      </c>
      <c r="AQ82" s="22">
        <f t="shared" si="467"/>
        <v>2167.057291666667</v>
      </c>
      <c r="AR82" s="22">
        <f t="shared" si="467"/>
        <v>2621.8171296296291</v>
      </c>
      <c r="AS82" s="22">
        <f t="shared" si="467"/>
        <v>2825.4562014763906</v>
      </c>
      <c r="AT82" s="22">
        <f t="shared" si="467"/>
        <v>2943.1835432045737</v>
      </c>
      <c r="AU82" s="22">
        <f t="shared" si="467"/>
        <v>3003.2485134740546</v>
      </c>
      <c r="AV82" s="22">
        <f t="shared" si="467"/>
        <v>3064.5392994633212</v>
      </c>
      <c r="AW82" s="22">
        <f t="shared" si="467"/>
        <v>2911.2058222913788</v>
      </c>
      <c r="AX82" s="22">
        <f t="shared" si="467"/>
        <v>2823.8696476226378</v>
      </c>
      <c r="AY82" s="22">
        <f t="shared" si="467"/>
        <v>2739.1535581939588</v>
      </c>
      <c r="AZ82" s="22">
        <f t="shared" si="467"/>
        <v>2602.1958802842601</v>
      </c>
      <c r="BA82" s="22">
        <f t="shared" si="467"/>
        <v>3469.5945070456805</v>
      </c>
      <c r="BB82" s="22">
        <f t="shared" si="467"/>
        <v>2153.7456327646564</v>
      </c>
      <c r="BC82" s="22">
        <f t="shared" si="467"/>
        <v>2521.3553320312503</v>
      </c>
      <c r="BD82" s="22">
        <f t="shared" si="467"/>
        <v>3048.7762369791667</v>
      </c>
      <c r="BE82" s="22">
        <f t="shared" si="467"/>
        <v>3284.6893121778353</v>
      </c>
      <c r="BF82" s="22">
        <f t="shared" si="467"/>
        <v>3421.551366851912</v>
      </c>
      <c r="BG82" s="22">
        <f t="shared" si="467"/>
        <v>3491.3789457672574</v>
      </c>
      <c r="BH82" s="22">
        <f t="shared" si="467"/>
        <v>3562.6315773135279</v>
      </c>
      <c r="BI82" s="22">
        <f t="shared" si="467"/>
        <v>3384.8019122080204</v>
      </c>
      <c r="BJ82" s="22">
        <f t="shared" si="467"/>
        <v>3283.2578548417787</v>
      </c>
      <c r="BK82" s="22">
        <f t="shared" si="467"/>
        <v>3184.7601191965259</v>
      </c>
      <c r="BL82" s="22">
        <f t="shared" si="467"/>
        <v>3067.5706558678276</v>
      </c>
      <c r="BM82" s="22">
        <f t="shared" si="467"/>
        <v>4034.0294843155984</v>
      </c>
      <c r="BN82" s="22">
        <f t="shared" si="467"/>
        <v>2507.9103419984158</v>
      </c>
      <c r="BO82" s="22">
        <f t="shared" si="467"/>
        <v>2933.6547021064462</v>
      </c>
      <c r="BP82" s="22">
        <f t="shared" si="467"/>
        <v>3545.3619087988286</v>
      </c>
      <c r="BQ82" s="22">
        <f t="shared" si="467"/>
        <v>3818.6695354884828</v>
      </c>
      <c r="BR82" s="22">
        <f t="shared" si="467"/>
        <v>3977.7807661338366</v>
      </c>
      <c r="BS82" s="22">
        <f t="shared" si="467"/>
        <v>4058.9599654426902</v>
      </c>
      <c r="BT82" s="22">
        <f t="shared" si="467"/>
        <v>4141.7958831047863</v>
      </c>
      <c r="BU82" s="22">
        <f t="shared" si="467"/>
        <v>3935.5513571380229</v>
      </c>
      <c r="BV82" s="22">
        <f t="shared" si="467"/>
        <v>3817.4848164238824</v>
      </c>
      <c r="BW82" s="22">
        <f t="shared" si="467"/>
        <v>3754.5826037950455</v>
      </c>
      <c r="BX82" s="22">
        <f t="shared" si="467"/>
        <v>3566.8534736052925</v>
      </c>
      <c r="BY82" s="22">
        <f t="shared" si="467"/>
        <v>4691.0988735498822</v>
      </c>
      <c r="BZ82" s="22">
        <f t="shared" si="467"/>
        <v>2855.0360637422832</v>
      </c>
      <c r="CA82" s="22">
        <f t="shared" si="467"/>
        <v>3345.2311759919357</v>
      </c>
      <c r="CB82" s="22">
        <f t="shared" si="467"/>
        <v>4047.7187837139454</v>
      </c>
      <c r="CC82" s="22">
        <f t="shared" si="467"/>
        <v>4362.6341362793428</v>
      </c>
      <c r="CD82" s="22">
        <f t="shared" si="467"/>
        <v>4545.0416481118245</v>
      </c>
      <c r="CE82" s="22">
        <f t="shared" si="467"/>
        <v>4638.4415689789093</v>
      </c>
      <c r="CF82" s="22">
        <f t="shared" si="467"/>
        <v>4733.7607529017478</v>
      </c>
      <c r="CG82" s="22">
        <f t="shared" si="467"/>
        <v>4497.6369335369191</v>
      </c>
      <c r="CH82" s="22">
        <f t="shared" si="467"/>
        <v>4425.3953030560933</v>
      </c>
      <c r="CI82" s="22">
        <f t="shared" si="467"/>
        <v>4293.2331715110904</v>
      </c>
      <c r="CJ82" s="22">
        <f t="shared" si="467"/>
        <v>4079.1412541048817</v>
      </c>
      <c r="CK82" s="22">
        <f t="shared" si="467"/>
        <v>5363.3523012053711</v>
      </c>
      <c r="CO82" s="10">
        <f>SUMIF($F$2:$CK$2,CO$3,$F82:$CK82)</f>
        <v>29122.546316000004</v>
      </c>
      <c r="CP82" s="10">
        <f t="shared" si="457"/>
        <v>23137.859044000001</v>
      </c>
      <c r="CQ82" s="10">
        <f t="shared" si="457"/>
        <v>30484.307279999997</v>
      </c>
      <c r="CR82" s="10">
        <f t="shared" si="457"/>
        <v>33029.846394352557</v>
      </c>
      <c r="CS82" s="10">
        <f t="shared" si="457"/>
        <v>38438.548430315364</v>
      </c>
      <c r="CT82" s="10">
        <f t="shared" si="458"/>
        <v>44749.704227585607</v>
      </c>
      <c r="CU82" s="10">
        <f t="shared" si="458"/>
        <v>51186.623093134345</v>
      </c>
    </row>
    <row r="83" spans="2:99" outlineLevel="2" x14ac:dyDescent="0.2">
      <c r="B83" s="95" t="s">
        <v>41</v>
      </c>
      <c r="C83" s="91"/>
      <c r="D83" s="92"/>
      <c r="F83" s="22"/>
      <c r="G83" s="22"/>
      <c r="H83" s="22"/>
      <c r="I83" s="22"/>
      <c r="J83" s="22"/>
      <c r="K83" s="22"/>
      <c r="L83" s="22"/>
      <c r="M83" s="22"/>
      <c r="N83" s="22"/>
      <c r="O83" s="22"/>
      <c r="P83" s="22"/>
      <c r="Q83" s="22"/>
      <c r="CO83" s="10">
        <f>SUMIF($L$2:$CK$2,CO$3,$L83:$CK83)</f>
        <v>0</v>
      </c>
      <c r="CP83" s="10">
        <f t="shared" si="457"/>
        <v>0</v>
      </c>
      <c r="CQ83" s="10">
        <f t="shared" si="457"/>
        <v>0</v>
      </c>
      <c r="CR83" s="10">
        <f t="shared" si="457"/>
        <v>0</v>
      </c>
      <c r="CS83" s="10">
        <f t="shared" si="457"/>
        <v>0</v>
      </c>
      <c r="CT83" s="10">
        <f t="shared" si="458"/>
        <v>0</v>
      </c>
      <c r="CU83" s="10">
        <f t="shared" si="458"/>
        <v>0</v>
      </c>
    </row>
    <row r="84" spans="2:99" outlineLevel="2" x14ac:dyDescent="0.2">
      <c r="B84" s="95" t="s">
        <v>18</v>
      </c>
      <c r="C84" s="91"/>
      <c r="D84" s="92"/>
      <c r="F84" s="22"/>
      <c r="G84" s="22"/>
      <c r="H84" s="22"/>
      <c r="I84" s="22"/>
      <c r="J84" s="22"/>
      <c r="K84" s="22"/>
      <c r="L84" s="22"/>
      <c r="M84" s="22"/>
      <c r="N84" s="22"/>
      <c r="O84" s="22"/>
      <c r="P84" s="22"/>
      <c r="Q84" s="22"/>
      <c r="CO84" s="10">
        <f>SUMIF($L$2:$CK$2,CO$3,$L84:$CK84)</f>
        <v>0</v>
      </c>
      <c r="CP84" s="10">
        <f t="shared" si="457"/>
        <v>0</v>
      </c>
      <c r="CQ84" s="10">
        <f t="shared" si="457"/>
        <v>0</v>
      </c>
      <c r="CR84" s="10">
        <f t="shared" si="457"/>
        <v>0</v>
      </c>
      <c r="CS84" s="10">
        <f t="shared" si="457"/>
        <v>0</v>
      </c>
      <c r="CT84" s="10">
        <f t="shared" si="458"/>
        <v>0</v>
      </c>
      <c r="CU84" s="10">
        <f t="shared" si="458"/>
        <v>0</v>
      </c>
    </row>
    <row r="85" spans="2:99" outlineLevel="1" x14ac:dyDescent="0.2">
      <c r="B85" s="88" t="s">
        <v>19</v>
      </c>
      <c r="C85" s="91"/>
      <c r="D85" s="92"/>
      <c r="E85" s="159" t="s">
        <v>319</v>
      </c>
      <c r="F85" s="94">
        <f t="shared" ref="F85" si="468">SUM(F86:F91)</f>
        <v>1239.3906960000002</v>
      </c>
      <c r="G85" s="94">
        <f>SUM(G86:G91)</f>
        <v>605.93196</v>
      </c>
      <c r="H85" s="94">
        <f t="shared" ref="H85:K85" si="469">SUM(H86:H91)</f>
        <v>892.68085199999996</v>
      </c>
      <c r="I85" s="94">
        <f t="shared" si="469"/>
        <v>1118.535768</v>
      </c>
      <c r="J85" s="94">
        <f t="shared" si="469"/>
        <v>923.88219599999991</v>
      </c>
      <c r="K85" s="94">
        <f t="shared" si="469"/>
        <v>956.23639199999991</v>
      </c>
      <c r="L85" s="94">
        <f>SUM(L86:L91)</f>
        <v>1116.512232</v>
      </c>
      <c r="M85" s="94">
        <f t="shared" ref="M85:AW85" si="470">SUM(M86:M91)</f>
        <v>563.95845599999996</v>
      </c>
      <c r="N85" s="94">
        <f t="shared" si="470"/>
        <v>1137.378336</v>
      </c>
      <c r="O85" s="94">
        <f t="shared" si="470"/>
        <v>2024.9797400000002</v>
      </c>
      <c r="P85" s="94">
        <f t="shared" si="470"/>
        <v>680.68107599999996</v>
      </c>
      <c r="Q85" s="94">
        <f t="shared" si="470"/>
        <v>1211.8849440000001</v>
      </c>
      <c r="R85" s="94">
        <f t="shared" si="470"/>
        <v>1267.8749081980002</v>
      </c>
      <c r="S85" s="94">
        <f t="shared" si="470"/>
        <v>1166.63935812</v>
      </c>
      <c r="T85" s="94">
        <f t="shared" si="470"/>
        <v>1609.1905191000001</v>
      </c>
      <c r="U85" s="94">
        <f t="shared" si="470"/>
        <v>1286.5095017120002</v>
      </c>
      <c r="V85" s="94">
        <f t="shared" si="470"/>
        <v>1324.114100256</v>
      </c>
      <c r="W85" s="94">
        <f t="shared" si="470"/>
        <v>1355.4205027720002</v>
      </c>
      <c r="X85" s="94">
        <f t="shared" si="470"/>
        <v>2070.3835606420002</v>
      </c>
      <c r="Y85" s="94">
        <f t="shared" si="470"/>
        <v>2026.3318847500002</v>
      </c>
      <c r="Z85" s="94">
        <f t="shared" si="470"/>
        <v>2055.8852462120003</v>
      </c>
      <c r="AA85" s="94">
        <f t="shared" si="470"/>
        <v>1393.1039036860002</v>
      </c>
      <c r="AB85" s="94">
        <f t="shared" si="470"/>
        <v>1371.8985961799999</v>
      </c>
      <c r="AC85" s="94">
        <f t="shared" si="470"/>
        <v>1512.6701282920001</v>
      </c>
      <c r="AD85" s="94">
        <f t="shared" si="470"/>
        <v>1264.0294586000002</v>
      </c>
      <c r="AE85" s="94">
        <f t="shared" si="470"/>
        <v>1333.2685526</v>
      </c>
      <c r="AF85" s="94">
        <f t="shared" si="470"/>
        <v>1653.8742763999999</v>
      </c>
      <c r="AG85" s="94">
        <f t="shared" si="470"/>
        <v>1643.18</v>
      </c>
      <c r="AH85" s="94">
        <f t="shared" si="470"/>
        <v>1706.7800000000002</v>
      </c>
      <c r="AI85" s="94">
        <f t="shared" si="470"/>
        <v>1741.76</v>
      </c>
      <c r="AJ85" s="94">
        <f t="shared" si="470"/>
        <v>1846.7</v>
      </c>
      <c r="AK85" s="94">
        <f t="shared" si="470"/>
        <v>2466.8000000000002</v>
      </c>
      <c r="AL85" s="94">
        <f t="shared" si="470"/>
        <v>2753</v>
      </c>
      <c r="AM85" s="94">
        <f t="shared" si="470"/>
        <v>2760.6320000000001</v>
      </c>
      <c r="AN85" s="94">
        <f t="shared" si="470"/>
        <v>2922.1759999999999</v>
      </c>
      <c r="AO85" s="94">
        <f t="shared" si="470"/>
        <v>3480.4250000000002</v>
      </c>
      <c r="AP85" s="94">
        <f t="shared" si="470"/>
        <v>3005.0547499999998</v>
      </c>
      <c r="AQ85" s="94">
        <f t="shared" si="470"/>
        <v>3495.62109375</v>
      </c>
      <c r="AR85" s="94">
        <f t="shared" si="470"/>
        <v>4218.6892361111104</v>
      </c>
      <c r="AS85" s="94">
        <f t="shared" si="470"/>
        <v>4542.475360347461</v>
      </c>
      <c r="AT85" s="94">
        <f t="shared" si="470"/>
        <v>4729.6618336952724</v>
      </c>
      <c r="AU85" s="94">
        <f t="shared" si="470"/>
        <v>4825.1651364237459</v>
      </c>
      <c r="AV85" s="94">
        <f t="shared" si="470"/>
        <v>4922.6174861466816</v>
      </c>
      <c r="AW85" s="94">
        <f t="shared" si="470"/>
        <v>4678.8172574432929</v>
      </c>
      <c r="AX85" s="94">
        <f t="shared" ref="AX85:BU85" si="471">SUM(AX86:AX91)</f>
        <v>4539.9527397199936</v>
      </c>
      <c r="AY85" s="94">
        <f t="shared" si="471"/>
        <v>4405.254157528394</v>
      </c>
      <c r="AZ85" s="94">
        <f t="shared" si="471"/>
        <v>4187.4914496519732</v>
      </c>
      <c r="BA85" s="94">
        <f t="shared" si="471"/>
        <v>5566.6552662026334</v>
      </c>
      <c r="BB85" s="94">
        <f t="shared" si="471"/>
        <v>3474.4555560958033</v>
      </c>
      <c r="BC85" s="94">
        <f t="shared" si="471"/>
        <v>4058.9549779296881</v>
      </c>
      <c r="BD85" s="94">
        <f t="shared" si="471"/>
        <v>4897.5542167968752</v>
      </c>
      <c r="BE85" s="94">
        <f t="shared" si="471"/>
        <v>5272.6560063627576</v>
      </c>
      <c r="BF85" s="94">
        <f t="shared" si="471"/>
        <v>5490.2666732945399</v>
      </c>
      <c r="BG85" s="94">
        <f t="shared" si="471"/>
        <v>5601.2925237699383</v>
      </c>
      <c r="BH85" s="94">
        <f t="shared" si="471"/>
        <v>5714.5842079285094</v>
      </c>
      <c r="BI85" s="94">
        <f t="shared" si="471"/>
        <v>5431.8350404107523</v>
      </c>
      <c r="BJ85" s="94">
        <f t="shared" si="471"/>
        <v>5270.3799891984281</v>
      </c>
      <c r="BK85" s="94">
        <f t="shared" si="471"/>
        <v>5113.7685895224758</v>
      </c>
      <c r="BL85" s="94">
        <f t="shared" si="471"/>
        <v>4927.4373428298459</v>
      </c>
      <c r="BM85" s="94">
        <f t="shared" si="471"/>
        <v>6464.1068800618013</v>
      </c>
      <c r="BN85" s="94">
        <f t="shared" si="471"/>
        <v>4037.5774437774808</v>
      </c>
      <c r="BO85" s="94">
        <f t="shared" si="471"/>
        <v>4714.5109763492492</v>
      </c>
      <c r="BP85" s="94">
        <f t="shared" si="471"/>
        <v>5687.1254349901374</v>
      </c>
      <c r="BQ85" s="94">
        <f t="shared" si="471"/>
        <v>6121.6845614266877</v>
      </c>
      <c r="BR85" s="94">
        <f t="shared" si="471"/>
        <v>6374.6714181528005</v>
      </c>
      <c r="BS85" s="94">
        <f t="shared" si="471"/>
        <v>6503.7463450538771</v>
      </c>
      <c r="BT85" s="94">
        <f t="shared" si="471"/>
        <v>6635.4554541366097</v>
      </c>
      <c r="BU85" s="94">
        <f t="shared" si="471"/>
        <v>6307.5266578494566</v>
      </c>
      <c r="BV85" s="94">
        <f t="shared" ref="BV85:BX85" si="472">SUM(BV86:BV91)</f>
        <v>6119.8008581139729</v>
      </c>
      <c r="BW85" s="94">
        <f t="shared" si="472"/>
        <v>6019.7863400341221</v>
      </c>
      <c r="BX85" s="94">
        <f t="shared" si="472"/>
        <v>5721.2970230324145</v>
      </c>
      <c r="BY85" s="94">
        <f t="shared" ref="BY85:CK85" si="473">SUM(BY86:BY91)</f>
        <v>7508.8472089443139</v>
      </c>
      <c r="BZ85" s="94">
        <f t="shared" si="473"/>
        <v>4589.5073413502296</v>
      </c>
      <c r="CA85" s="94">
        <f t="shared" si="473"/>
        <v>5368.9175698271783</v>
      </c>
      <c r="CB85" s="94">
        <f t="shared" si="473"/>
        <v>6485.8728661051737</v>
      </c>
      <c r="CC85" s="94">
        <f t="shared" si="473"/>
        <v>6986.588276684156</v>
      </c>
      <c r="CD85" s="94">
        <f t="shared" si="473"/>
        <v>7276.6162204978009</v>
      </c>
      <c r="CE85" s="94">
        <f t="shared" si="473"/>
        <v>7425.122094676467</v>
      </c>
      <c r="CF85" s="94">
        <f t="shared" si="473"/>
        <v>7576.6795971137799</v>
      </c>
      <c r="CG85" s="94">
        <f t="shared" si="473"/>
        <v>7201.2427243237007</v>
      </c>
      <c r="CH85" s="94">
        <f t="shared" si="473"/>
        <v>7086.3785318591881</v>
      </c>
      <c r="CI85" s="94">
        <f t="shared" si="473"/>
        <v>6876.2407427026346</v>
      </c>
      <c r="CJ85" s="94">
        <f t="shared" si="473"/>
        <v>6535.8345940267627</v>
      </c>
      <c r="CK85" s="94">
        <f t="shared" si="473"/>
        <v>8577.7301589165399</v>
      </c>
      <c r="CO85" s="94">
        <f t="shared" ref="CO85:CO95" si="474">SUMIF($F$2:$CK$2,CO$3,$F85:$CK85)</f>
        <v>12472.052648000001</v>
      </c>
      <c r="CP85" s="94">
        <f t="shared" si="457"/>
        <v>18440.02220992</v>
      </c>
      <c r="CQ85" s="94">
        <f t="shared" si="457"/>
        <v>25572.625287600004</v>
      </c>
      <c r="CR85" s="94">
        <f t="shared" si="457"/>
        <v>53117.455767020554</v>
      </c>
      <c r="CS85" s="94">
        <f t="shared" si="457"/>
        <v>61717.292004201423</v>
      </c>
      <c r="CT85" s="94">
        <f t="shared" si="458"/>
        <v>71752.029721861123</v>
      </c>
      <c r="CU85" s="94">
        <f t="shared" si="458"/>
        <v>81986.730718083621</v>
      </c>
    </row>
    <row r="86" spans="2:99" outlineLevel="2" x14ac:dyDescent="0.2">
      <c r="B86" s="95" t="s">
        <v>20</v>
      </c>
      <c r="C86" s="91" t="s">
        <v>39</v>
      </c>
      <c r="D86" s="105">
        <v>5.0000000000000001E-3</v>
      </c>
      <c r="E86" s="159"/>
      <c r="F86" s="22">
        <v>423.86265600000002</v>
      </c>
      <c r="G86" s="22">
        <v>223.073868</v>
      </c>
      <c r="H86" s="22">
        <v>290.63020799999998</v>
      </c>
      <c r="I86" s="22">
        <v>250.99339199999997</v>
      </c>
      <c r="J86" s="22">
        <v>143.83771199999998</v>
      </c>
      <c r="K86" s="22">
        <v>181.29009599999998</v>
      </c>
      <c r="L86" s="22">
        <v>150.38710799999998</v>
      </c>
      <c r="M86" s="22">
        <v>210.36145199999999</v>
      </c>
      <c r="N86" s="22">
        <v>172.37440799999999</v>
      </c>
      <c r="O86" s="22">
        <v>247.50610799999998</v>
      </c>
      <c r="P86" s="22">
        <v>185.56175999999996</v>
      </c>
      <c r="Q86" s="22">
        <v>439.51698000000005</v>
      </c>
      <c r="R86" s="22">
        <f t="shared" ref="R86:AA86" si="475">R$47*$D86</f>
        <v>204.34142755000002</v>
      </c>
      <c r="S86" s="22">
        <f t="shared" si="475"/>
        <v>187.35559699999999</v>
      </c>
      <c r="T86" s="22">
        <f t="shared" si="475"/>
        <v>261.60914750000001</v>
      </c>
      <c r="U86" s="22">
        <f t="shared" si="475"/>
        <v>207.4680372</v>
      </c>
      <c r="V86" s="22">
        <f t="shared" si="475"/>
        <v>213.77753360000003</v>
      </c>
      <c r="W86" s="22">
        <f t="shared" si="475"/>
        <v>219.03028570000004</v>
      </c>
      <c r="X86" s="22">
        <f t="shared" si="475"/>
        <v>282.17647495</v>
      </c>
      <c r="Y86" s="22">
        <f t="shared" si="475"/>
        <v>276.02400625000001</v>
      </c>
      <c r="Z86" s="22">
        <f t="shared" si="475"/>
        <v>280.15157070000004</v>
      </c>
      <c r="AA86" s="22">
        <f t="shared" si="475"/>
        <v>263.64047585000003</v>
      </c>
      <c r="AB86" s="22">
        <f t="shared" ref="X86:CK88" si="476">AB$47*$D86</f>
        <v>256.9299355</v>
      </c>
      <c r="AC86" s="22">
        <f t="shared" si="476"/>
        <v>301.47788870000005</v>
      </c>
      <c r="AD86" s="22">
        <f t="shared" si="476"/>
        <v>190.88513500000002</v>
      </c>
      <c r="AE86" s="22">
        <f t="shared" si="476"/>
        <v>201.77178499999999</v>
      </c>
      <c r="AF86" s="22">
        <f t="shared" si="476"/>
        <v>252.18148999999997</v>
      </c>
      <c r="AG86" s="22">
        <f t="shared" si="476"/>
        <v>250.5</v>
      </c>
      <c r="AH86" s="22">
        <f t="shared" si="476"/>
        <v>260.5</v>
      </c>
      <c r="AI86" s="22">
        <f t="shared" si="476"/>
        <v>266</v>
      </c>
      <c r="AJ86" s="22">
        <f t="shared" si="476"/>
        <v>282.5</v>
      </c>
      <c r="AK86" s="22">
        <f t="shared" si="476"/>
        <v>380</v>
      </c>
      <c r="AL86" s="22">
        <f t="shared" si="476"/>
        <v>425</v>
      </c>
      <c r="AM86" s="22">
        <f t="shared" si="476"/>
        <v>426.2</v>
      </c>
      <c r="AN86" s="22">
        <f t="shared" si="476"/>
        <v>451.6</v>
      </c>
      <c r="AO86" s="22">
        <f t="shared" si="476"/>
        <v>539.375</v>
      </c>
      <c r="AP86" s="22">
        <f t="shared" si="476"/>
        <v>464.63125000000002</v>
      </c>
      <c r="AQ86" s="22">
        <f t="shared" si="476"/>
        <v>541.76432291666674</v>
      </c>
      <c r="AR86" s="22">
        <f t="shared" si="476"/>
        <v>655.45428240740728</v>
      </c>
      <c r="AS86" s="22">
        <f t="shared" si="476"/>
        <v>706.36405036909764</v>
      </c>
      <c r="AT86" s="22">
        <f t="shared" si="476"/>
        <v>735.79588580114341</v>
      </c>
      <c r="AU86" s="22">
        <f t="shared" si="476"/>
        <v>750.81212836851364</v>
      </c>
      <c r="AV86" s="22">
        <f t="shared" si="476"/>
        <v>766.1348248658303</v>
      </c>
      <c r="AW86" s="22">
        <f t="shared" si="476"/>
        <v>727.8014555728447</v>
      </c>
      <c r="AX86" s="22">
        <f t="shared" si="476"/>
        <v>705.96741190565945</v>
      </c>
      <c r="AY86" s="22">
        <f t="shared" si="476"/>
        <v>684.7883895484897</v>
      </c>
      <c r="AZ86" s="22">
        <f t="shared" si="476"/>
        <v>650.54897007106501</v>
      </c>
      <c r="BA86" s="22">
        <f t="shared" si="476"/>
        <v>867.39862676142013</v>
      </c>
      <c r="BB86" s="22">
        <f t="shared" si="476"/>
        <v>538.43640819116411</v>
      </c>
      <c r="BC86" s="22">
        <f t="shared" si="476"/>
        <v>630.33883300781258</v>
      </c>
      <c r="BD86" s="22">
        <f t="shared" si="476"/>
        <v>762.19405924479167</v>
      </c>
      <c r="BE86" s="22">
        <f t="shared" si="476"/>
        <v>821.17232804445882</v>
      </c>
      <c r="BF86" s="22">
        <f t="shared" si="476"/>
        <v>855.387841712978</v>
      </c>
      <c r="BG86" s="22">
        <f t="shared" si="476"/>
        <v>872.84473644181435</v>
      </c>
      <c r="BH86" s="22">
        <f t="shared" si="476"/>
        <v>890.65789432838199</v>
      </c>
      <c r="BI86" s="22">
        <f t="shared" si="476"/>
        <v>846.20047805200511</v>
      </c>
      <c r="BJ86" s="22">
        <f t="shared" si="476"/>
        <v>820.81446371044467</v>
      </c>
      <c r="BK86" s="22">
        <f t="shared" si="476"/>
        <v>796.19002979913148</v>
      </c>
      <c r="BL86" s="22">
        <f t="shared" si="476"/>
        <v>766.89266396695689</v>
      </c>
      <c r="BM86" s="22">
        <f t="shared" si="476"/>
        <v>1008.5073710788996</v>
      </c>
      <c r="BN86" s="22">
        <f t="shared" si="476"/>
        <v>626.97758549960395</v>
      </c>
      <c r="BO86" s="22">
        <f t="shared" si="476"/>
        <v>733.41367552661154</v>
      </c>
      <c r="BP86" s="22">
        <f t="shared" si="476"/>
        <v>886.34047719970715</v>
      </c>
      <c r="BQ86" s="22">
        <f t="shared" si="476"/>
        <v>954.66738387212069</v>
      </c>
      <c r="BR86" s="22">
        <f t="shared" si="476"/>
        <v>994.44519153345914</v>
      </c>
      <c r="BS86" s="22">
        <f t="shared" si="476"/>
        <v>1014.7399913606725</v>
      </c>
      <c r="BT86" s="22">
        <f t="shared" si="476"/>
        <v>1035.4489707761966</v>
      </c>
      <c r="BU86" s="22">
        <f t="shared" si="476"/>
        <v>983.88783928450573</v>
      </c>
      <c r="BV86" s="22">
        <f t="shared" si="476"/>
        <v>954.37120410597061</v>
      </c>
      <c r="BW86" s="22">
        <f t="shared" si="476"/>
        <v>938.64565094876139</v>
      </c>
      <c r="BX86" s="22">
        <f t="shared" si="476"/>
        <v>891.71336840132312</v>
      </c>
      <c r="BY86" s="22">
        <f t="shared" si="476"/>
        <v>1172.7747183874706</v>
      </c>
      <c r="BZ86" s="22">
        <f t="shared" si="476"/>
        <v>713.7590159355708</v>
      </c>
      <c r="CA86" s="22">
        <f t="shared" si="476"/>
        <v>836.30779399798394</v>
      </c>
      <c r="CB86" s="22">
        <f t="shared" si="476"/>
        <v>1011.9296959284864</v>
      </c>
      <c r="CC86" s="22">
        <f t="shared" si="476"/>
        <v>1090.6585340698357</v>
      </c>
      <c r="CD86" s="22">
        <f t="shared" si="476"/>
        <v>1136.2604120279561</v>
      </c>
      <c r="CE86" s="22">
        <f t="shared" si="476"/>
        <v>1159.6103922447273</v>
      </c>
      <c r="CF86" s="22">
        <f t="shared" si="476"/>
        <v>1183.4401882254369</v>
      </c>
      <c r="CG86" s="22">
        <f t="shared" si="476"/>
        <v>1124.4092333842298</v>
      </c>
      <c r="CH86" s="22">
        <f t="shared" si="476"/>
        <v>1106.3488257640233</v>
      </c>
      <c r="CI86" s="22">
        <f t="shared" si="476"/>
        <v>1073.3082928777726</v>
      </c>
      <c r="CJ86" s="22">
        <f t="shared" si="476"/>
        <v>1019.7853135262204</v>
      </c>
      <c r="CK86" s="22">
        <f t="shared" si="476"/>
        <v>1340.8380753013428</v>
      </c>
      <c r="CO86" s="10">
        <f t="shared" si="474"/>
        <v>2919.3957479999995</v>
      </c>
      <c r="CP86" s="10">
        <f t="shared" si="457"/>
        <v>2953.9823805000001</v>
      </c>
      <c r="CQ86" s="10">
        <f t="shared" si="457"/>
        <v>3926.5134099999996</v>
      </c>
      <c r="CR86" s="10">
        <f t="shared" si="457"/>
        <v>8257.4615985881392</v>
      </c>
      <c r="CS86" s="10">
        <f t="shared" si="457"/>
        <v>9609.6371075788411</v>
      </c>
      <c r="CT86" s="10">
        <f t="shared" si="458"/>
        <v>11187.426056896402</v>
      </c>
      <c r="CU86" s="10">
        <f t="shared" si="458"/>
        <v>12796.655773283586</v>
      </c>
    </row>
    <row r="87" spans="2:99" outlineLevel="2" x14ac:dyDescent="0.2">
      <c r="B87" s="95" t="s">
        <v>21</v>
      </c>
      <c r="C87" s="91" t="s">
        <v>39</v>
      </c>
      <c r="D87" s="212">
        <v>7.0000000000000001E-3</v>
      </c>
      <c r="E87" s="213">
        <v>7.0000000000000001E-3</v>
      </c>
      <c r="F87" s="22">
        <v>241.77510000000001</v>
      </c>
      <c r="G87" s="22">
        <v>274.26801599999999</v>
      </c>
      <c r="H87" s="22">
        <v>240.068568</v>
      </c>
      <c r="I87" s="22">
        <v>269.28098399999999</v>
      </c>
      <c r="J87" s="22">
        <v>265.23794399999997</v>
      </c>
      <c r="K87" s="22">
        <v>258.62708399999997</v>
      </c>
      <c r="L87" s="22">
        <v>297.73518000000001</v>
      </c>
      <c r="M87" s="22">
        <v>255.48243599999998</v>
      </c>
      <c r="N87" s="22">
        <v>224.534964</v>
      </c>
      <c r="O87" s="22">
        <v>274.69190399999997</v>
      </c>
      <c r="P87" s="22">
        <v>261.89275199999997</v>
      </c>
      <c r="Q87" s="22">
        <v>297.62329199999999</v>
      </c>
      <c r="R87" s="22">
        <v>343.29359828400004</v>
      </c>
      <c r="S87" s="22">
        <v>314.75740295999998</v>
      </c>
      <c r="T87" s="22">
        <v>439.50336780000004</v>
      </c>
      <c r="U87" s="22">
        <v>348.54630249600001</v>
      </c>
      <c r="V87" s="22">
        <v>359.14625644799997</v>
      </c>
      <c r="W87" s="22">
        <v>367.97087997600005</v>
      </c>
      <c r="X87" s="22">
        <f t="shared" si="476"/>
        <v>395.04706492999998</v>
      </c>
      <c r="Y87" s="22">
        <f t="shared" si="476"/>
        <v>386.43360875000002</v>
      </c>
      <c r="Z87" s="22">
        <f t="shared" si="476"/>
        <v>392.21219898000004</v>
      </c>
      <c r="AA87" s="22">
        <f t="shared" si="476"/>
        <v>369.09666619000001</v>
      </c>
      <c r="AB87" s="22">
        <f t="shared" si="476"/>
        <v>359.70190969999999</v>
      </c>
      <c r="AC87" s="22">
        <f t="shared" si="476"/>
        <v>422.06904418000005</v>
      </c>
      <c r="AD87" s="22">
        <f>AD$47*$E87</f>
        <v>267.23918900000001</v>
      </c>
      <c r="AE87" s="22">
        <f t="shared" ref="AE87:CK88" si="477">AE$47*$E87</f>
        <v>282.48049899999995</v>
      </c>
      <c r="AF87" s="22">
        <f t="shared" si="477"/>
        <v>353.05408599999998</v>
      </c>
      <c r="AG87" s="22">
        <f t="shared" si="477"/>
        <v>350.7</v>
      </c>
      <c r="AH87" s="22">
        <f t="shared" si="477"/>
        <v>364.7</v>
      </c>
      <c r="AI87" s="22">
        <f t="shared" si="477"/>
        <v>372.40000000000003</v>
      </c>
      <c r="AJ87" s="22">
        <f t="shared" si="477"/>
        <v>395.5</v>
      </c>
      <c r="AK87" s="22">
        <f t="shared" si="477"/>
        <v>532</v>
      </c>
      <c r="AL87" s="22">
        <f t="shared" si="477"/>
        <v>595</v>
      </c>
      <c r="AM87" s="22">
        <f t="shared" si="477"/>
        <v>596.68000000000006</v>
      </c>
      <c r="AN87" s="22">
        <f t="shared" si="477"/>
        <v>632.24</v>
      </c>
      <c r="AO87" s="22">
        <f t="shared" si="477"/>
        <v>755.125</v>
      </c>
      <c r="AP87" s="22">
        <f t="shared" si="477"/>
        <v>650.48374999999999</v>
      </c>
      <c r="AQ87" s="22">
        <f t="shared" si="477"/>
        <v>758.47005208333337</v>
      </c>
      <c r="AR87" s="22">
        <f t="shared" si="477"/>
        <v>917.63599537037021</v>
      </c>
      <c r="AS87" s="22">
        <f t="shared" si="477"/>
        <v>988.90967051673681</v>
      </c>
      <c r="AT87" s="22">
        <f t="shared" si="477"/>
        <v>1030.1142401216009</v>
      </c>
      <c r="AU87" s="22">
        <f t="shared" si="477"/>
        <v>1051.1369797159191</v>
      </c>
      <c r="AV87" s="22">
        <f t="shared" si="477"/>
        <v>1072.5887548121625</v>
      </c>
      <c r="AW87" s="22">
        <f t="shared" si="477"/>
        <v>1018.9220378019826</v>
      </c>
      <c r="AX87" s="22">
        <f t="shared" si="477"/>
        <v>988.35437666792313</v>
      </c>
      <c r="AY87" s="22">
        <f t="shared" si="477"/>
        <v>958.70374536788552</v>
      </c>
      <c r="AZ87" s="22">
        <f t="shared" si="477"/>
        <v>910.76855809949097</v>
      </c>
      <c r="BA87" s="22">
        <f t="shared" si="477"/>
        <v>1214.3580774659883</v>
      </c>
      <c r="BB87" s="22">
        <f t="shared" si="477"/>
        <v>753.81097146762977</v>
      </c>
      <c r="BC87" s="22">
        <f t="shared" si="477"/>
        <v>882.47436621093766</v>
      </c>
      <c r="BD87" s="22">
        <f t="shared" si="477"/>
        <v>1067.0716829427083</v>
      </c>
      <c r="BE87" s="22">
        <f t="shared" si="477"/>
        <v>1149.6412592622423</v>
      </c>
      <c r="BF87" s="22">
        <f t="shared" si="477"/>
        <v>1197.5429783981692</v>
      </c>
      <c r="BG87" s="22">
        <f t="shared" si="477"/>
        <v>1221.9826310185401</v>
      </c>
      <c r="BH87" s="22">
        <f t="shared" si="477"/>
        <v>1246.9210520597348</v>
      </c>
      <c r="BI87" s="22">
        <f t="shared" si="477"/>
        <v>1184.6806692728071</v>
      </c>
      <c r="BJ87" s="22">
        <f t="shared" si="477"/>
        <v>1149.1402491946226</v>
      </c>
      <c r="BK87" s="22">
        <f t="shared" si="477"/>
        <v>1114.6660417187841</v>
      </c>
      <c r="BL87" s="22">
        <f t="shared" si="477"/>
        <v>1073.6497295537397</v>
      </c>
      <c r="BM87" s="22">
        <f t="shared" si="477"/>
        <v>1411.9103195104594</v>
      </c>
      <c r="BN87" s="22">
        <f t="shared" si="477"/>
        <v>877.76861969944548</v>
      </c>
      <c r="BO87" s="22">
        <f t="shared" si="477"/>
        <v>1026.7791457372562</v>
      </c>
      <c r="BP87" s="22">
        <f t="shared" si="477"/>
        <v>1240.87666807959</v>
      </c>
      <c r="BQ87" s="22">
        <f t="shared" si="477"/>
        <v>1336.534337420969</v>
      </c>
      <c r="BR87" s="22">
        <f t="shared" si="477"/>
        <v>1392.2232681468429</v>
      </c>
      <c r="BS87" s="22">
        <f t="shared" si="477"/>
        <v>1420.6359879049417</v>
      </c>
      <c r="BT87" s="22">
        <f t="shared" si="477"/>
        <v>1449.6285590866751</v>
      </c>
      <c r="BU87" s="22">
        <f t="shared" si="477"/>
        <v>1377.442974998308</v>
      </c>
      <c r="BV87" s="22">
        <f t="shared" si="477"/>
        <v>1336.1196857483587</v>
      </c>
      <c r="BW87" s="22">
        <f t="shared" si="477"/>
        <v>1314.1039113282659</v>
      </c>
      <c r="BX87" s="22">
        <f t="shared" si="477"/>
        <v>1248.3987157618524</v>
      </c>
      <c r="BY87" s="22">
        <f t="shared" si="477"/>
        <v>1641.8846057424589</v>
      </c>
      <c r="BZ87" s="22">
        <f t="shared" si="477"/>
        <v>999.2626223097991</v>
      </c>
      <c r="CA87" s="22">
        <f t="shared" si="477"/>
        <v>1170.8309115971776</v>
      </c>
      <c r="CB87" s="22">
        <f t="shared" si="477"/>
        <v>1416.7015742998808</v>
      </c>
      <c r="CC87" s="22">
        <f t="shared" si="477"/>
        <v>1526.9219476977701</v>
      </c>
      <c r="CD87" s="22">
        <f t="shared" si="477"/>
        <v>1590.7645768391385</v>
      </c>
      <c r="CE87" s="22">
        <f t="shared" si="477"/>
        <v>1623.4545491426184</v>
      </c>
      <c r="CF87" s="22">
        <f t="shared" si="477"/>
        <v>1656.8162635156118</v>
      </c>
      <c r="CG87" s="22">
        <f t="shared" si="477"/>
        <v>1574.1729267379217</v>
      </c>
      <c r="CH87" s="22">
        <f t="shared" si="477"/>
        <v>1548.8883560696324</v>
      </c>
      <c r="CI87" s="22">
        <f t="shared" si="477"/>
        <v>1502.6316100288816</v>
      </c>
      <c r="CJ87" s="22">
        <f t="shared" si="477"/>
        <v>1427.6994389367087</v>
      </c>
      <c r="CK87" s="22">
        <f t="shared" si="477"/>
        <v>1877.1733054218798</v>
      </c>
      <c r="CO87" s="10">
        <f t="shared" si="474"/>
        <v>3161.2182239999993</v>
      </c>
      <c r="CP87" s="10">
        <f t="shared" si="457"/>
        <v>4497.7783006939999</v>
      </c>
      <c r="CQ87" s="10">
        <f t="shared" si="457"/>
        <v>5497.1187739999996</v>
      </c>
      <c r="CR87" s="10">
        <f t="shared" si="457"/>
        <v>11560.446238023394</v>
      </c>
      <c r="CS87" s="10">
        <f t="shared" si="457"/>
        <v>13453.491950610376</v>
      </c>
      <c r="CT87" s="10">
        <f t="shared" si="458"/>
        <v>15662.396479654966</v>
      </c>
      <c r="CU87" s="10">
        <f t="shared" si="458"/>
        <v>17915.318082597019</v>
      </c>
    </row>
    <row r="88" spans="2:99" outlineLevel="2" x14ac:dyDescent="0.2">
      <c r="B88" s="255" t="s">
        <v>22</v>
      </c>
      <c r="C88" s="91" t="s">
        <v>39</v>
      </c>
      <c r="D88" s="105">
        <v>0.02</v>
      </c>
      <c r="E88" s="213">
        <v>1.6E-2</v>
      </c>
      <c r="F88" s="22">
        <v>478.11050399999993</v>
      </c>
      <c r="G88" s="22">
        <v>98.490516</v>
      </c>
      <c r="H88" s="22">
        <v>358.98207599999995</v>
      </c>
      <c r="I88" s="22">
        <v>598.261392</v>
      </c>
      <c r="J88" s="22">
        <v>514.80653999999993</v>
      </c>
      <c r="K88" s="22">
        <v>516.31921199999999</v>
      </c>
      <c r="L88" s="22">
        <v>609.91634399999998</v>
      </c>
      <c r="M88" s="22">
        <v>98.114568000000006</v>
      </c>
      <c r="N88" s="22">
        <v>725.97285599999998</v>
      </c>
      <c r="O88" s="22">
        <f>1384.124508-19</f>
        <v>1365.1245080000001</v>
      </c>
      <c r="P88" s="22">
        <v>177.99998400000001</v>
      </c>
      <c r="Q88" s="22">
        <v>433.514724</v>
      </c>
      <c r="R88" s="22">
        <v>490.41942612000003</v>
      </c>
      <c r="S88" s="22">
        <v>449.65343279999996</v>
      </c>
      <c r="T88" s="22">
        <v>627.86195399999997</v>
      </c>
      <c r="U88" s="22">
        <v>497.92328928000006</v>
      </c>
      <c r="V88" s="22">
        <v>513.06608064</v>
      </c>
      <c r="W88" s="22">
        <v>525.67268568000009</v>
      </c>
      <c r="X88" s="22">
        <f t="shared" si="476"/>
        <v>1128.7058998</v>
      </c>
      <c r="Y88" s="22">
        <f>Y$47*$D88</f>
        <v>1104.0960250000001</v>
      </c>
      <c r="Z88" s="22">
        <f t="shared" si="476"/>
        <v>1120.6062828000001</v>
      </c>
      <c r="AA88" s="245">
        <v>510</v>
      </c>
      <c r="AB88" s="245">
        <f>AA88</f>
        <v>510</v>
      </c>
      <c r="AC88" s="245">
        <f>AB88</f>
        <v>510</v>
      </c>
      <c r="AD88" s="22">
        <f t="shared" ref="AD88" si="478">AD$47*$E88</f>
        <v>610.83243200000004</v>
      </c>
      <c r="AE88" s="22">
        <f t="shared" si="477"/>
        <v>645.669712</v>
      </c>
      <c r="AF88" s="22">
        <f t="shared" si="477"/>
        <v>806.9807679999999</v>
      </c>
      <c r="AG88" s="22">
        <f t="shared" si="477"/>
        <v>801.6</v>
      </c>
      <c r="AH88" s="453">
        <f>AH$47*$E88</f>
        <v>833.6</v>
      </c>
      <c r="AI88" s="453">
        <f t="shared" si="477"/>
        <v>851.2</v>
      </c>
      <c r="AJ88" s="453">
        <f t="shared" si="477"/>
        <v>904</v>
      </c>
      <c r="AK88" s="453">
        <f t="shared" si="477"/>
        <v>1216</v>
      </c>
      <c r="AL88" s="453">
        <f t="shared" si="477"/>
        <v>1360</v>
      </c>
      <c r="AM88" s="453">
        <f t="shared" si="477"/>
        <v>1363.84</v>
      </c>
      <c r="AN88" s="453">
        <f t="shared" si="477"/>
        <v>1445.1200000000001</v>
      </c>
      <c r="AO88" s="453">
        <f t="shared" si="477"/>
        <v>1726</v>
      </c>
      <c r="AP88" s="22">
        <f t="shared" ref="AP88:CK88" si="479">AP$47*$E88</f>
        <v>1486.82</v>
      </c>
      <c r="AQ88" s="22">
        <f t="shared" si="479"/>
        <v>1733.6458333333335</v>
      </c>
      <c r="AR88" s="22">
        <f t="shared" si="479"/>
        <v>2097.4537037037035</v>
      </c>
      <c r="AS88" s="22">
        <f t="shared" si="479"/>
        <v>2260.3649611811124</v>
      </c>
      <c r="AT88" s="22">
        <f t="shared" si="479"/>
        <v>2354.5468345636591</v>
      </c>
      <c r="AU88" s="22">
        <f t="shared" si="479"/>
        <v>2402.5988107792436</v>
      </c>
      <c r="AV88" s="22">
        <f t="shared" si="479"/>
        <v>2451.6314395706572</v>
      </c>
      <c r="AW88" s="22">
        <f t="shared" si="479"/>
        <v>2328.964657833103</v>
      </c>
      <c r="AX88" s="22">
        <f t="shared" si="479"/>
        <v>2259.09571809811</v>
      </c>
      <c r="AY88" s="22">
        <f t="shared" si="479"/>
        <v>2191.322846555167</v>
      </c>
      <c r="AZ88" s="22">
        <f t="shared" si="479"/>
        <v>2081.7567042274081</v>
      </c>
      <c r="BA88" s="22">
        <f t="shared" si="479"/>
        <v>2775.6756056365448</v>
      </c>
      <c r="BB88" s="22">
        <f t="shared" si="479"/>
        <v>1722.9965062117251</v>
      </c>
      <c r="BC88" s="22">
        <f t="shared" si="479"/>
        <v>2017.0842656250002</v>
      </c>
      <c r="BD88" s="22">
        <f t="shared" si="479"/>
        <v>2439.0209895833336</v>
      </c>
      <c r="BE88" s="22">
        <f t="shared" si="479"/>
        <v>2627.7514497422685</v>
      </c>
      <c r="BF88" s="22">
        <f t="shared" si="479"/>
        <v>2737.2410934815298</v>
      </c>
      <c r="BG88" s="22">
        <f t="shared" si="479"/>
        <v>2793.1031566138058</v>
      </c>
      <c r="BH88" s="22">
        <f t="shared" si="479"/>
        <v>2850.1052618508224</v>
      </c>
      <c r="BI88" s="22">
        <f t="shared" si="479"/>
        <v>2707.8415297664164</v>
      </c>
      <c r="BJ88" s="22">
        <f t="shared" si="479"/>
        <v>2626.6062838734229</v>
      </c>
      <c r="BK88" s="22">
        <f t="shared" si="479"/>
        <v>2547.8080953572207</v>
      </c>
      <c r="BL88" s="22">
        <f t="shared" si="479"/>
        <v>2454.056524694262</v>
      </c>
      <c r="BM88" s="22">
        <f t="shared" si="479"/>
        <v>3227.2235874524786</v>
      </c>
      <c r="BN88" s="22">
        <f t="shared" si="479"/>
        <v>2006.3282735987325</v>
      </c>
      <c r="BO88" s="22">
        <f t="shared" si="479"/>
        <v>2346.9237616851569</v>
      </c>
      <c r="BP88" s="22">
        <f t="shared" si="479"/>
        <v>2836.2895270390627</v>
      </c>
      <c r="BQ88" s="22">
        <f t="shared" si="479"/>
        <v>3054.9356283907864</v>
      </c>
      <c r="BR88" s="22">
        <f t="shared" si="479"/>
        <v>3182.2246129070695</v>
      </c>
      <c r="BS88" s="22">
        <f t="shared" si="479"/>
        <v>3247.1679723541524</v>
      </c>
      <c r="BT88" s="22">
        <f t="shared" si="479"/>
        <v>3313.4367064838289</v>
      </c>
      <c r="BU88" s="22">
        <f t="shared" si="479"/>
        <v>3148.4410857104185</v>
      </c>
      <c r="BV88" s="22">
        <f t="shared" si="479"/>
        <v>3053.9878531391059</v>
      </c>
      <c r="BW88" s="22">
        <f t="shared" si="479"/>
        <v>3003.6660830360361</v>
      </c>
      <c r="BX88" s="22">
        <f t="shared" si="479"/>
        <v>2853.482778884234</v>
      </c>
      <c r="BY88" s="22">
        <f t="shared" si="479"/>
        <v>3752.879098839906</v>
      </c>
      <c r="BZ88" s="22">
        <f t="shared" si="479"/>
        <v>2284.0288509938264</v>
      </c>
      <c r="CA88" s="22">
        <f t="shared" si="479"/>
        <v>2676.1849407935488</v>
      </c>
      <c r="CB88" s="22">
        <f t="shared" si="479"/>
        <v>3238.1750269711565</v>
      </c>
      <c r="CC88" s="22">
        <f t="shared" si="479"/>
        <v>3490.1073090234745</v>
      </c>
      <c r="CD88" s="22">
        <f t="shared" si="479"/>
        <v>3636.0333184894594</v>
      </c>
      <c r="CE88" s="22">
        <f t="shared" si="479"/>
        <v>3710.7532551831277</v>
      </c>
      <c r="CF88" s="22">
        <f t="shared" si="479"/>
        <v>3787.0086023213985</v>
      </c>
      <c r="CG88" s="22">
        <f t="shared" si="479"/>
        <v>3598.1095468295352</v>
      </c>
      <c r="CH88" s="22">
        <f t="shared" si="479"/>
        <v>3540.3162424448742</v>
      </c>
      <c r="CI88" s="22">
        <f t="shared" si="479"/>
        <v>3434.5865372088724</v>
      </c>
      <c r="CJ88" s="22">
        <f t="shared" si="479"/>
        <v>3263.3130032839053</v>
      </c>
      <c r="CK88" s="22">
        <f t="shared" si="479"/>
        <v>4290.6818409642965</v>
      </c>
      <c r="CO88" s="10">
        <f t="shared" si="474"/>
        <v>5975.6132239999997</v>
      </c>
      <c r="CP88" s="10">
        <f t="shared" si="457"/>
        <v>7988.00507612</v>
      </c>
      <c r="CQ88" s="243">
        <f t="shared" si="457"/>
        <v>12564.842912</v>
      </c>
      <c r="CR88" s="10">
        <f t="shared" si="457"/>
        <v>26423.877115482042</v>
      </c>
      <c r="CS88" s="10">
        <f t="shared" si="457"/>
        <v>30750.838744252287</v>
      </c>
      <c r="CT88" s="10">
        <f t="shared" si="458"/>
        <v>35799.763382068493</v>
      </c>
      <c r="CU88" s="10">
        <f t="shared" si="458"/>
        <v>40949.298474507472</v>
      </c>
    </row>
    <row r="89" spans="2:99" outlineLevel="2" x14ac:dyDescent="0.2">
      <c r="B89" s="95" t="s">
        <v>15</v>
      </c>
      <c r="C89" s="97" t="s">
        <v>4</v>
      </c>
      <c r="D89" s="92">
        <v>50</v>
      </c>
      <c r="F89" s="22">
        <v>95.642435999999989</v>
      </c>
      <c r="G89" s="22">
        <v>10.099559999999999</v>
      </c>
      <c r="H89" s="22">
        <v>3</v>
      </c>
      <c r="I89" s="22">
        <v>0</v>
      </c>
      <c r="J89" s="22">
        <v>0</v>
      </c>
      <c r="K89" s="22">
        <v>0</v>
      </c>
      <c r="L89" s="22">
        <v>58.473599999999998</v>
      </c>
      <c r="M89" s="22">
        <v>0</v>
      </c>
      <c r="N89" s="22">
        <v>14.496108</v>
      </c>
      <c r="O89" s="22">
        <v>137.65722</v>
      </c>
      <c r="P89" s="22">
        <v>55.226580000000006</v>
      </c>
      <c r="Q89" s="22">
        <v>41.229948</v>
      </c>
      <c r="R89" s="8">
        <f t="shared" ref="R89:CK89" si="480">$D$89</f>
        <v>50</v>
      </c>
      <c r="S89" s="8">
        <f t="shared" si="480"/>
        <v>50</v>
      </c>
      <c r="T89" s="8">
        <f t="shared" si="480"/>
        <v>50</v>
      </c>
      <c r="U89" s="8">
        <f t="shared" si="480"/>
        <v>50</v>
      </c>
      <c r="V89" s="8">
        <f t="shared" si="480"/>
        <v>50</v>
      </c>
      <c r="W89" s="8">
        <f t="shared" si="480"/>
        <v>50</v>
      </c>
      <c r="X89" s="8">
        <f t="shared" si="480"/>
        <v>50</v>
      </c>
      <c r="Y89" s="8">
        <f t="shared" si="480"/>
        <v>50</v>
      </c>
      <c r="Z89" s="8">
        <f t="shared" si="480"/>
        <v>50</v>
      </c>
      <c r="AA89" s="8">
        <f t="shared" si="480"/>
        <v>50</v>
      </c>
      <c r="AB89" s="8">
        <f t="shared" si="480"/>
        <v>50</v>
      </c>
      <c r="AC89" s="8">
        <f t="shared" si="480"/>
        <v>50</v>
      </c>
      <c r="AD89" s="8">
        <f t="shared" si="480"/>
        <v>50</v>
      </c>
      <c r="AE89" s="8">
        <f t="shared" si="480"/>
        <v>50</v>
      </c>
      <c r="AF89" s="8">
        <f t="shared" si="480"/>
        <v>50</v>
      </c>
      <c r="AG89" s="8">
        <f t="shared" si="480"/>
        <v>50</v>
      </c>
      <c r="AH89" s="8">
        <f t="shared" si="480"/>
        <v>50</v>
      </c>
      <c r="AI89" s="8">
        <f t="shared" si="480"/>
        <v>50</v>
      </c>
      <c r="AJ89" s="8">
        <f t="shared" si="480"/>
        <v>50</v>
      </c>
      <c r="AK89" s="8">
        <f t="shared" si="480"/>
        <v>50</v>
      </c>
      <c r="AL89" s="8">
        <f t="shared" si="480"/>
        <v>50</v>
      </c>
      <c r="AM89" s="8">
        <f t="shared" si="480"/>
        <v>50</v>
      </c>
      <c r="AN89" s="8">
        <f t="shared" si="480"/>
        <v>50</v>
      </c>
      <c r="AO89" s="8">
        <f t="shared" si="480"/>
        <v>50</v>
      </c>
      <c r="AP89" s="8">
        <f t="shared" si="480"/>
        <v>50</v>
      </c>
      <c r="AQ89" s="8">
        <f t="shared" si="480"/>
        <v>50</v>
      </c>
      <c r="AR89" s="8">
        <f t="shared" si="480"/>
        <v>50</v>
      </c>
      <c r="AS89" s="8">
        <f t="shared" si="480"/>
        <v>50</v>
      </c>
      <c r="AT89" s="8">
        <f t="shared" si="480"/>
        <v>50</v>
      </c>
      <c r="AU89" s="8">
        <f t="shared" si="480"/>
        <v>50</v>
      </c>
      <c r="AV89" s="8">
        <f t="shared" si="480"/>
        <v>50</v>
      </c>
      <c r="AW89" s="8">
        <f t="shared" si="480"/>
        <v>50</v>
      </c>
      <c r="AX89" s="8">
        <f t="shared" si="480"/>
        <v>50</v>
      </c>
      <c r="AY89" s="8">
        <f t="shared" si="480"/>
        <v>50</v>
      </c>
      <c r="AZ89" s="8">
        <f t="shared" si="480"/>
        <v>50</v>
      </c>
      <c r="BA89" s="8">
        <f t="shared" si="480"/>
        <v>50</v>
      </c>
      <c r="BB89" s="8">
        <f t="shared" si="480"/>
        <v>50</v>
      </c>
      <c r="BC89" s="8">
        <f t="shared" si="480"/>
        <v>50</v>
      </c>
      <c r="BD89" s="8">
        <f t="shared" si="480"/>
        <v>50</v>
      </c>
      <c r="BE89" s="8">
        <f t="shared" si="480"/>
        <v>50</v>
      </c>
      <c r="BF89" s="8">
        <f t="shared" si="480"/>
        <v>50</v>
      </c>
      <c r="BG89" s="8">
        <f t="shared" si="480"/>
        <v>50</v>
      </c>
      <c r="BH89" s="8">
        <f t="shared" si="480"/>
        <v>50</v>
      </c>
      <c r="BI89" s="8">
        <f t="shared" si="480"/>
        <v>50</v>
      </c>
      <c r="BJ89" s="8">
        <f t="shared" si="480"/>
        <v>50</v>
      </c>
      <c r="BK89" s="8">
        <f t="shared" si="480"/>
        <v>50</v>
      </c>
      <c r="BL89" s="8">
        <f t="shared" si="480"/>
        <v>50</v>
      </c>
      <c r="BM89" s="8">
        <f t="shared" si="480"/>
        <v>50</v>
      </c>
      <c r="BN89" s="8">
        <f t="shared" si="480"/>
        <v>50</v>
      </c>
      <c r="BO89" s="8">
        <f t="shared" si="480"/>
        <v>50</v>
      </c>
      <c r="BP89" s="8">
        <f t="shared" si="480"/>
        <v>50</v>
      </c>
      <c r="BQ89" s="8">
        <f t="shared" si="480"/>
        <v>50</v>
      </c>
      <c r="BR89" s="8">
        <f t="shared" si="480"/>
        <v>50</v>
      </c>
      <c r="BS89" s="8">
        <f t="shared" si="480"/>
        <v>50</v>
      </c>
      <c r="BT89" s="8">
        <f t="shared" si="480"/>
        <v>50</v>
      </c>
      <c r="BU89" s="8">
        <f t="shared" si="480"/>
        <v>50</v>
      </c>
      <c r="BV89" s="8">
        <f t="shared" si="480"/>
        <v>50</v>
      </c>
      <c r="BW89" s="8">
        <f t="shared" si="480"/>
        <v>50</v>
      </c>
      <c r="BX89" s="8">
        <f t="shared" si="480"/>
        <v>50</v>
      </c>
      <c r="BY89" s="8">
        <f t="shared" si="480"/>
        <v>50</v>
      </c>
      <c r="BZ89" s="8">
        <f t="shared" si="480"/>
        <v>50</v>
      </c>
      <c r="CA89" s="8">
        <f t="shared" si="480"/>
        <v>50</v>
      </c>
      <c r="CB89" s="8">
        <f t="shared" si="480"/>
        <v>50</v>
      </c>
      <c r="CC89" s="8">
        <f t="shared" si="480"/>
        <v>50</v>
      </c>
      <c r="CD89" s="8">
        <f t="shared" si="480"/>
        <v>50</v>
      </c>
      <c r="CE89" s="8">
        <f t="shared" si="480"/>
        <v>50</v>
      </c>
      <c r="CF89" s="8">
        <f t="shared" si="480"/>
        <v>50</v>
      </c>
      <c r="CG89" s="8">
        <f t="shared" si="480"/>
        <v>50</v>
      </c>
      <c r="CH89" s="8">
        <f t="shared" si="480"/>
        <v>50</v>
      </c>
      <c r="CI89" s="8">
        <f t="shared" si="480"/>
        <v>50</v>
      </c>
      <c r="CJ89" s="8">
        <f t="shared" si="480"/>
        <v>50</v>
      </c>
      <c r="CK89" s="8">
        <f t="shared" si="480"/>
        <v>50</v>
      </c>
      <c r="CO89" s="10">
        <f t="shared" si="474"/>
        <v>415.82545199999998</v>
      </c>
      <c r="CP89" s="10">
        <f t="shared" si="457"/>
        <v>600</v>
      </c>
      <c r="CQ89" s="10">
        <f t="shared" si="457"/>
        <v>600</v>
      </c>
      <c r="CR89" s="10">
        <f t="shared" si="457"/>
        <v>600</v>
      </c>
      <c r="CS89" s="10">
        <f t="shared" si="457"/>
        <v>600</v>
      </c>
      <c r="CT89" s="10">
        <f t="shared" si="458"/>
        <v>600</v>
      </c>
      <c r="CU89" s="10">
        <f t="shared" si="458"/>
        <v>600</v>
      </c>
    </row>
    <row r="90" spans="2:99" outlineLevel="2" x14ac:dyDescent="0.2">
      <c r="B90" s="95" t="s">
        <v>23</v>
      </c>
      <c r="C90" s="91" t="s">
        <v>39</v>
      </c>
      <c r="D90" s="105">
        <v>8.0000000000000004E-4</v>
      </c>
      <c r="E90" s="159"/>
      <c r="F90" s="22">
        <v>0</v>
      </c>
      <c r="G90" s="22">
        <v>0</v>
      </c>
      <c r="H90" s="22">
        <v>0</v>
      </c>
      <c r="I90" s="22">
        <v>0</v>
      </c>
      <c r="J90" s="22">
        <v>0</v>
      </c>
      <c r="K90" s="22">
        <v>0</v>
      </c>
      <c r="L90" s="22">
        <v>0</v>
      </c>
      <c r="M90" s="22">
        <v>0</v>
      </c>
      <c r="N90" s="22">
        <v>0</v>
      </c>
      <c r="O90" s="22">
        <v>0</v>
      </c>
      <c r="P90" s="22">
        <v>0</v>
      </c>
      <c r="Q90" s="22">
        <v>0</v>
      </c>
      <c r="R90" s="22">
        <f t="shared" ref="R90:CK91" si="481">R$47*$D90</f>
        <v>32.694628408</v>
      </c>
      <c r="S90" s="22">
        <f t="shared" si="481"/>
        <v>29.976895519999999</v>
      </c>
      <c r="T90" s="22">
        <f t="shared" si="481"/>
        <v>41.857463600000003</v>
      </c>
      <c r="U90" s="22">
        <f t="shared" si="481"/>
        <v>33.194885952</v>
      </c>
      <c r="V90" s="22">
        <f t="shared" si="481"/>
        <v>34.204405376000004</v>
      </c>
      <c r="W90" s="22">
        <f t="shared" si="481"/>
        <v>35.044845712000004</v>
      </c>
      <c r="X90" s="22">
        <f t="shared" si="481"/>
        <v>45.148235991999996</v>
      </c>
      <c r="Y90" s="22">
        <f t="shared" si="481"/>
        <v>44.163841000000005</v>
      </c>
      <c r="Z90" s="22">
        <f t="shared" si="481"/>
        <v>44.824251312000001</v>
      </c>
      <c r="AA90" s="22">
        <f t="shared" si="481"/>
        <v>42.182476136000005</v>
      </c>
      <c r="AB90" s="22">
        <f t="shared" si="481"/>
        <v>41.108789680000001</v>
      </c>
      <c r="AC90" s="22">
        <f t="shared" si="481"/>
        <v>48.236462192000012</v>
      </c>
      <c r="AD90" s="22">
        <f t="shared" si="481"/>
        <v>30.541621600000003</v>
      </c>
      <c r="AE90" s="22">
        <f t="shared" si="481"/>
        <v>32.283485599999999</v>
      </c>
      <c r="AF90" s="22">
        <f t="shared" si="481"/>
        <v>40.349038399999998</v>
      </c>
      <c r="AG90" s="22">
        <f t="shared" si="481"/>
        <v>40.080000000000005</v>
      </c>
      <c r="AH90" s="22">
        <f t="shared" si="481"/>
        <v>41.68</v>
      </c>
      <c r="AI90" s="22">
        <f t="shared" si="481"/>
        <v>42.56</v>
      </c>
      <c r="AJ90" s="22">
        <f t="shared" si="481"/>
        <v>45.2</v>
      </c>
      <c r="AK90" s="22">
        <f t="shared" si="481"/>
        <v>60.800000000000004</v>
      </c>
      <c r="AL90" s="22">
        <f t="shared" si="481"/>
        <v>68</v>
      </c>
      <c r="AM90" s="22">
        <f t="shared" si="481"/>
        <v>68.192000000000007</v>
      </c>
      <c r="AN90" s="22">
        <f t="shared" si="481"/>
        <v>72.256</v>
      </c>
      <c r="AO90" s="22">
        <f t="shared" si="481"/>
        <v>86.3</v>
      </c>
      <c r="AP90" s="22">
        <f t="shared" si="481"/>
        <v>74.341000000000008</v>
      </c>
      <c r="AQ90" s="22">
        <f t="shared" si="481"/>
        <v>86.682291666666686</v>
      </c>
      <c r="AR90" s="22">
        <f t="shared" si="481"/>
        <v>104.87268518518518</v>
      </c>
      <c r="AS90" s="22">
        <f t="shared" si="481"/>
        <v>113.01824805905564</v>
      </c>
      <c r="AT90" s="22">
        <f t="shared" si="481"/>
        <v>117.72734172818296</v>
      </c>
      <c r="AU90" s="22">
        <f t="shared" si="481"/>
        <v>120.12994053896219</v>
      </c>
      <c r="AV90" s="22">
        <f t="shared" si="481"/>
        <v>122.58157197853285</v>
      </c>
      <c r="AW90" s="22">
        <f t="shared" si="481"/>
        <v>116.44823289165517</v>
      </c>
      <c r="AX90" s="22">
        <f t="shared" si="481"/>
        <v>112.95478590490551</v>
      </c>
      <c r="AY90" s="22">
        <f t="shared" si="481"/>
        <v>109.56614232775834</v>
      </c>
      <c r="AZ90" s="22">
        <f t="shared" si="481"/>
        <v>104.0878352113704</v>
      </c>
      <c r="BA90" s="22">
        <f t="shared" si="481"/>
        <v>138.78378028182723</v>
      </c>
      <c r="BB90" s="22">
        <f t="shared" si="481"/>
        <v>86.149825310586252</v>
      </c>
      <c r="BC90" s="22">
        <f t="shared" si="481"/>
        <v>100.85421328125001</v>
      </c>
      <c r="BD90" s="22">
        <f t="shared" si="481"/>
        <v>121.95104947916668</v>
      </c>
      <c r="BE90" s="22">
        <f t="shared" si="481"/>
        <v>131.38757248711343</v>
      </c>
      <c r="BF90" s="22">
        <f t="shared" si="481"/>
        <v>136.86205467407649</v>
      </c>
      <c r="BG90" s="22">
        <f t="shared" si="481"/>
        <v>139.65515783069029</v>
      </c>
      <c r="BH90" s="22">
        <f t="shared" si="481"/>
        <v>142.50526309254113</v>
      </c>
      <c r="BI90" s="22">
        <f t="shared" si="481"/>
        <v>135.39207648832081</v>
      </c>
      <c r="BJ90" s="22">
        <f t="shared" si="481"/>
        <v>131.33031419367114</v>
      </c>
      <c r="BK90" s="22">
        <f t="shared" si="481"/>
        <v>127.39040476786104</v>
      </c>
      <c r="BL90" s="22">
        <f t="shared" si="481"/>
        <v>122.70282623471311</v>
      </c>
      <c r="BM90" s="22">
        <f t="shared" si="481"/>
        <v>161.36117937262395</v>
      </c>
      <c r="BN90" s="22">
        <f t="shared" si="481"/>
        <v>100.31641367993663</v>
      </c>
      <c r="BO90" s="22">
        <f t="shared" si="481"/>
        <v>117.34618808425785</v>
      </c>
      <c r="BP90" s="22">
        <f t="shared" si="481"/>
        <v>141.81447635195315</v>
      </c>
      <c r="BQ90" s="22">
        <f t="shared" si="481"/>
        <v>152.74678141953933</v>
      </c>
      <c r="BR90" s="22">
        <f t="shared" si="481"/>
        <v>159.11123064535346</v>
      </c>
      <c r="BS90" s="22">
        <f t="shared" si="481"/>
        <v>162.35839861770762</v>
      </c>
      <c r="BT90" s="22">
        <f t="shared" si="481"/>
        <v>165.67183532419145</v>
      </c>
      <c r="BU90" s="22">
        <f t="shared" si="481"/>
        <v>157.42205428552091</v>
      </c>
      <c r="BV90" s="22">
        <f t="shared" si="481"/>
        <v>152.6993926569553</v>
      </c>
      <c r="BW90" s="22">
        <f t="shared" si="481"/>
        <v>150.18330415180182</v>
      </c>
      <c r="BX90" s="22">
        <f t="shared" si="481"/>
        <v>142.67413894421171</v>
      </c>
      <c r="BY90" s="22">
        <f t="shared" si="481"/>
        <v>187.6439549419953</v>
      </c>
      <c r="BZ90" s="22">
        <f t="shared" si="481"/>
        <v>114.20144254969134</v>
      </c>
      <c r="CA90" s="22">
        <f t="shared" si="481"/>
        <v>133.80924703967744</v>
      </c>
      <c r="CB90" s="22">
        <f t="shared" si="481"/>
        <v>161.90875134855781</v>
      </c>
      <c r="CC90" s="22">
        <f t="shared" si="481"/>
        <v>174.50536545117373</v>
      </c>
      <c r="CD90" s="22">
        <f t="shared" si="481"/>
        <v>181.80166592447299</v>
      </c>
      <c r="CE90" s="22">
        <f t="shared" si="481"/>
        <v>185.5376627591564</v>
      </c>
      <c r="CF90" s="22">
        <f t="shared" si="481"/>
        <v>189.35043011606993</v>
      </c>
      <c r="CG90" s="22">
        <f t="shared" si="481"/>
        <v>179.90547734147677</v>
      </c>
      <c r="CH90" s="22">
        <f t="shared" si="481"/>
        <v>177.01581212224372</v>
      </c>
      <c r="CI90" s="22">
        <f t="shared" si="481"/>
        <v>171.72932686044362</v>
      </c>
      <c r="CJ90" s="22">
        <f t="shared" si="481"/>
        <v>163.16565016419528</v>
      </c>
      <c r="CK90" s="22">
        <f t="shared" si="481"/>
        <v>214.53409204821486</v>
      </c>
      <c r="CO90" s="10">
        <f t="shared" si="474"/>
        <v>0</v>
      </c>
      <c r="CP90" s="10">
        <f t="shared" si="457"/>
        <v>472.63718088000002</v>
      </c>
      <c r="CQ90" s="10">
        <f t="shared" si="457"/>
        <v>628.24214559999996</v>
      </c>
      <c r="CR90" s="10">
        <f t="shared" si="457"/>
        <v>1321.1938557741021</v>
      </c>
      <c r="CS90" s="10">
        <f t="shared" si="457"/>
        <v>1537.5419372126144</v>
      </c>
      <c r="CT90" s="10">
        <f t="shared" si="458"/>
        <v>1789.9881691034245</v>
      </c>
      <c r="CU90" s="10">
        <f t="shared" si="458"/>
        <v>2047.4649237253741</v>
      </c>
    </row>
    <row r="91" spans="2:99" outlineLevel="2" x14ac:dyDescent="0.2">
      <c r="B91" s="95" t="s">
        <v>24</v>
      </c>
      <c r="C91" s="91"/>
      <c r="D91" s="106">
        <v>3.0000000000000001E-3</v>
      </c>
      <c r="E91" s="160"/>
      <c r="F91" s="22">
        <v>0</v>
      </c>
      <c r="G91" s="22">
        <v>0</v>
      </c>
      <c r="H91" s="22">
        <v>0</v>
      </c>
      <c r="I91" s="22">
        <v>0</v>
      </c>
      <c r="J91" s="22">
        <v>0</v>
      </c>
      <c r="K91" s="22">
        <v>0</v>
      </c>
      <c r="L91" s="22">
        <v>0</v>
      </c>
      <c r="M91" s="22">
        <v>0</v>
      </c>
      <c r="N91" s="22">
        <v>0</v>
      </c>
      <c r="O91" s="22">
        <v>0</v>
      </c>
      <c r="P91" s="22">
        <v>0</v>
      </c>
      <c r="Q91" s="22">
        <v>0</v>
      </c>
      <c r="R91" s="22">
        <v>147.12582783600001</v>
      </c>
      <c r="S91" s="22">
        <v>134.89602983999998</v>
      </c>
      <c r="T91" s="22">
        <v>188.35858619999999</v>
      </c>
      <c r="U91" s="22">
        <v>149.37698678400002</v>
      </c>
      <c r="V91" s="22">
        <v>153.91982419199999</v>
      </c>
      <c r="W91" s="22">
        <v>157.70180570400001</v>
      </c>
      <c r="X91" s="22">
        <f t="shared" si="481"/>
        <v>169.30588496999999</v>
      </c>
      <c r="Y91" s="22">
        <f t="shared" si="481"/>
        <v>165.61440375000001</v>
      </c>
      <c r="Z91" s="22">
        <f t="shared" si="481"/>
        <v>168.09094242</v>
      </c>
      <c r="AA91" s="22">
        <f t="shared" si="481"/>
        <v>158.18428551</v>
      </c>
      <c r="AB91" s="22">
        <f t="shared" si="481"/>
        <v>154.15796130000001</v>
      </c>
      <c r="AC91" s="22">
        <f t="shared" si="481"/>
        <v>180.88673322000002</v>
      </c>
      <c r="AD91" s="22">
        <f t="shared" si="481"/>
        <v>114.53108100000001</v>
      </c>
      <c r="AE91" s="22">
        <f t="shared" si="481"/>
        <v>121.06307099999999</v>
      </c>
      <c r="AF91" s="22">
        <f t="shared" si="481"/>
        <v>151.30889399999998</v>
      </c>
      <c r="AG91" s="22">
        <f t="shared" si="481"/>
        <v>150.30000000000001</v>
      </c>
      <c r="AH91" s="22">
        <f t="shared" si="481"/>
        <v>156.30000000000001</v>
      </c>
      <c r="AI91" s="22">
        <f t="shared" si="481"/>
        <v>159.6</v>
      </c>
      <c r="AJ91" s="22">
        <f t="shared" si="481"/>
        <v>169.5</v>
      </c>
      <c r="AK91" s="22">
        <f t="shared" si="481"/>
        <v>228</v>
      </c>
      <c r="AL91" s="22">
        <f t="shared" si="481"/>
        <v>255</v>
      </c>
      <c r="AM91" s="22">
        <f t="shared" si="481"/>
        <v>255.72</v>
      </c>
      <c r="AN91" s="22">
        <f t="shared" si="481"/>
        <v>270.95999999999998</v>
      </c>
      <c r="AO91" s="22">
        <f t="shared" si="481"/>
        <v>323.625</v>
      </c>
      <c r="AP91" s="22">
        <f t="shared" si="481"/>
        <v>278.77875</v>
      </c>
      <c r="AQ91" s="22">
        <f t="shared" si="481"/>
        <v>325.05859375000006</v>
      </c>
      <c r="AR91" s="22">
        <f t="shared" si="481"/>
        <v>393.2725694444444</v>
      </c>
      <c r="AS91" s="22">
        <f t="shared" si="481"/>
        <v>423.81843022145864</v>
      </c>
      <c r="AT91" s="22">
        <f t="shared" si="481"/>
        <v>441.47753148068608</v>
      </c>
      <c r="AU91" s="22">
        <f t="shared" si="481"/>
        <v>450.48727702110818</v>
      </c>
      <c r="AV91" s="22">
        <f t="shared" si="481"/>
        <v>459.6808949194982</v>
      </c>
      <c r="AW91" s="22">
        <f t="shared" si="481"/>
        <v>436.68087334370682</v>
      </c>
      <c r="AX91" s="22">
        <f t="shared" si="481"/>
        <v>423.58044714339565</v>
      </c>
      <c r="AY91" s="22">
        <f t="shared" si="481"/>
        <v>410.87303372909378</v>
      </c>
      <c r="AZ91" s="22">
        <f t="shared" si="481"/>
        <v>390.329382042639</v>
      </c>
      <c r="BA91" s="22">
        <f t="shared" si="481"/>
        <v>520.43917605685215</v>
      </c>
      <c r="BB91" s="22">
        <f t="shared" si="481"/>
        <v>323.06184491469844</v>
      </c>
      <c r="BC91" s="22">
        <f t="shared" si="481"/>
        <v>378.20329980468756</v>
      </c>
      <c r="BD91" s="22">
        <f t="shared" si="481"/>
        <v>457.31643554687503</v>
      </c>
      <c r="BE91" s="22">
        <f t="shared" si="481"/>
        <v>492.70339682667532</v>
      </c>
      <c r="BF91" s="22">
        <f t="shared" si="481"/>
        <v>513.23270502778678</v>
      </c>
      <c r="BG91" s="22">
        <f t="shared" si="481"/>
        <v>523.70684186508856</v>
      </c>
      <c r="BH91" s="22">
        <f t="shared" si="481"/>
        <v>534.39473659702924</v>
      </c>
      <c r="BI91" s="22">
        <f t="shared" si="481"/>
        <v>507.72028683120305</v>
      </c>
      <c r="BJ91" s="22">
        <f t="shared" si="481"/>
        <v>492.48867822626681</v>
      </c>
      <c r="BK91" s="22">
        <f t="shared" si="481"/>
        <v>477.71401787947889</v>
      </c>
      <c r="BL91" s="22">
        <f t="shared" si="481"/>
        <v>460.13559838017414</v>
      </c>
      <c r="BM91" s="22">
        <f t="shared" si="481"/>
        <v>605.10442264733979</v>
      </c>
      <c r="BN91" s="22">
        <f t="shared" si="481"/>
        <v>376.18655129976236</v>
      </c>
      <c r="BO91" s="22">
        <f t="shared" si="481"/>
        <v>440.04820531596687</v>
      </c>
      <c r="BP91" s="22">
        <f t="shared" si="481"/>
        <v>531.80428631982431</v>
      </c>
      <c r="BQ91" s="22">
        <f t="shared" si="481"/>
        <v>572.80043032327239</v>
      </c>
      <c r="BR91" s="22">
        <f t="shared" si="481"/>
        <v>596.66711492007551</v>
      </c>
      <c r="BS91" s="22">
        <f t="shared" si="481"/>
        <v>608.84399481640355</v>
      </c>
      <c r="BT91" s="22">
        <f t="shared" si="481"/>
        <v>621.26938246571797</v>
      </c>
      <c r="BU91" s="22">
        <f t="shared" si="481"/>
        <v>590.33270357070342</v>
      </c>
      <c r="BV91" s="22">
        <f t="shared" si="481"/>
        <v>572.62272246358236</v>
      </c>
      <c r="BW91" s="22">
        <f t="shared" si="481"/>
        <v>563.18739056925676</v>
      </c>
      <c r="BX91" s="22">
        <f t="shared" si="481"/>
        <v>535.02802104079387</v>
      </c>
      <c r="BY91" s="22">
        <f t="shared" si="481"/>
        <v>703.66483103248243</v>
      </c>
      <c r="BZ91" s="22">
        <f t="shared" si="481"/>
        <v>428.2554095613425</v>
      </c>
      <c r="CA91" s="22">
        <f t="shared" si="481"/>
        <v>501.7846763987904</v>
      </c>
      <c r="CB91" s="22">
        <f t="shared" si="481"/>
        <v>607.15781755709179</v>
      </c>
      <c r="CC91" s="22">
        <f t="shared" si="481"/>
        <v>654.39512044190144</v>
      </c>
      <c r="CD91" s="22">
        <f t="shared" si="481"/>
        <v>681.75624721677366</v>
      </c>
      <c r="CE91" s="22">
        <f t="shared" si="481"/>
        <v>695.76623534683642</v>
      </c>
      <c r="CF91" s="22">
        <f t="shared" si="481"/>
        <v>710.06411293526219</v>
      </c>
      <c r="CG91" s="22">
        <f t="shared" si="481"/>
        <v>674.64554003053786</v>
      </c>
      <c r="CH91" s="22">
        <f t="shared" si="481"/>
        <v>663.80929545841389</v>
      </c>
      <c r="CI91" s="22">
        <f t="shared" si="481"/>
        <v>643.98497572666361</v>
      </c>
      <c r="CJ91" s="22">
        <f t="shared" si="481"/>
        <v>611.87118811573225</v>
      </c>
      <c r="CK91" s="22">
        <f t="shared" si="481"/>
        <v>804.50284518080571</v>
      </c>
      <c r="CO91" s="10">
        <f t="shared" si="474"/>
        <v>0</v>
      </c>
      <c r="CP91" s="10">
        <f t="shared" si="457"/>
        <v>1927.6192717259999</v>
      </c>
      <c r="CQ91" s="10">
        <f t="shared" si="457"/>
        <v>2355.9080460000005</v>
      </c>
      <c r="CR91" s="10">
        <f t="shared" si="457"/>
        <v>4954.4769591528839</v>
      </c>
      <c r="CS91" s="10">
        <f t="shared" si="457"/>
        <v>5765.7822645473034</v>
      </c>
      <c r="CT91" s="10">
        <f t="shared" si="458"/>
        <v>6712.455634137842</v>
      </c>
      <c r="CU91" s="10">
        <f t="shared" si="458"/>
        <v>7677.9934639701514</v>
      </c>
    </row>
    <row r="92" spans="2:99" outlineLevel="1" x14ac:dyDescent="0.2">
      <c r="B92" s="88" t="s">
        <v>292</v>
      </c>
      <c r="C92" s="91"/>
      <c r="D92" s="106">
        <f>SUM(F92:I92)/SUM(F47:I47)</f>
        <v>3.6105574957016981E-2</v>
      </c>
      <c r="F92" s="94">
        <v>1474.5997919999998</v>
      </c>
      <c r="G92" s="94">
        <v>1297.9744320000002</v>
      </c>
      <c r="H92" s="94">
        <v>1541.7786959999999</v>
      </c>
      <c r="I92" s="94">
        <v>1483.0088399999997</v>
      </c>
      <c r="J92" s="94">
        <v>1648.4696759999999</v>
      </c>
      <c r="K92" s="94">
        <v>1530.702168</v>
      </c>
      <c r="L92" s="94">
        <v>1443.7818</v>
      </c>
      <c r="M92" s="94">
        <v>1400.6080680000002</v>
      </c>
      <c r="N92" s="94">
        <v>1388.1957959999997</v>
      </c>
      <c r="O92" s="94">
        <v>1874.4930239999997</v>
      </c>
      <c r="P92" s="94">
        <v>1484.8544279999999</v>
      </c>
      <c r="Q92" s="94">
        <v>1250.7139920000002</v>
      </c>
      <c r="R92" s="94">
        <v>2959.7815000000001</v>
      </c>
      <c r="S92" s="94">
        <v>1079.3815</v>
      </c>
      <c r="T92" s="94">
        <v>241.78150000000005</v>
      </c>
      <c r="U92" s="94">
        <v>2164.1815000000001</v>
      </c>
      <c r="V92" s="94">
        <v>656.4</v>
      </c>
      <c r="W92" s="94">
        <v>1280.3999999999999</v>
      </c>
      <c r="X92" s="94"/>
      <c r="Y92" s="94"/>
      <c r="Z92" s="94"/>
      <c r="AA92" s="94"/>
      <c r="AB92" s="94"/>
      <c r="AC92" s="94"/>
      <c r="AD92" s="94"/>
      <c r="AE92" s="94"/>
      <c r="AF92" s="94"/>
      <c r="AG92" s="94"/>
      <c r="AH92" s="94"/>
      <c r="AI92" s="94"/>
      <c r="AJ92" s="94"/>
      <c r="AK92" s="94"/>
      <c r="AL92" s="94"/>
      <c r="AM92" s="94"/>
      <c r="AN92" s="94"/>
      <c r="AO92" s="94"/>
      <c r="AP92" s="94"/>
      <c r="AQ92" s="94"/>
      <c r="AR92" s="94"/>
      <c r="AS92" s="94"/>
      <c r="AT92" s="94"/>
      <c r="AU92" s="94"/>
      <c r="AV92" s="94"/>
      <c r="AW92" s="94"/>
      <c r="AX92" s="94"/>
      <c r="AY92" s="94"/>
      <c r="AZ92" s="94"/>
      <c r="BA92" s="94"/>
      <c r="BB92" s="94"/>
      <c r="BC92" s="94"/>
      <c r="BD92" s="94"/>
      <c r="BE92" s="94"/>
      <c r="BF92" s="94"/>
      <c r="BG92" s="94"/>
      <c r="BH92" s="94"/>
      <c r="BI92" s="94"/>
      <c r="BJ92" s="94"/>
      <c r="BK92" s="94"/>
      <c r="BL92" s="94"/>
      <c r="BM92" s="94"/>
      <c r="BN92" s="94"/>
      <c r="BO92" s="94"/>
      <c r="BP92" s="94"/>
      <c r="BQ92" s="94"/>
      <c r="BR92" s="94"/>
      <c r="BS92" s="94"/>
      <c r="BT92" s="94"/>
      <c r="BU92" s="94"/>
      <c r="BV92" s="94"/>
      <c r="BW92" s="94"/>
      <c r="BX92" s="94"/>
      <c r="BY92" s="94"/>
      <c r="BZ92" s="94"/>
      <c r="CA92" s="94"/>
      <c r="CB92" s="94"/>
      <c r="CC92" s="94"/>
      <c r="CD92" s="94"/>
      <c r="CE92" s="94"/>
      <c r="CF92" s="94"/>
      <c r="CG92" s="94"/>
      <c r="CH92" s="94"/>
      <c r="CI92" s="94"/>
      <c r="CJ92" s="94"/>
      <c r="CK92" s="94"/>
      <c r="CO92" s="94">
        <f t="shared" si="474"/>
        <v>17819.180711999998</v>
      </c>
      <c r="CP92" s="94">
        <f t="shared" si="457"/>
        <v>8381.9259999999995</v>
      </c>
      <c r="CQ92" s="94">
        <f t="shared" si="457"/>
        <v>0</v>
      </c>
      <c r="CR92" s="94">
        <f t="shared" si="457"/>
        <v>0</v>
      </c>
      <c r="CS92" s="94">
        <f t="shared" si="457"/>
        <v>0</v>
      </c>
      <c r="CT92" s="94">
        <f t="shared" si="458"/>
        <v>0</v>
      </c>
      <c r="CU92" s="94">
        <f t="shared" si="458"/>
        <v>0</v>
      </c>
    </row>
    <row r="93" spans="2:99" outlineLevel="1" x14ac:dyDescent="0.2">
      <c r="B93" s="251" t="s">
        <v>288</v>
      </c>
      <c r="C93" s="377"/>
      <c r="D93" s="252">
        <f>SUM(F93:I93)/SUM(F47:I47)</f>
        <v>0</v>
      </c>
      <c r="E93" s="253"/>
      <c r="F93" s="254"/>
      <c r="G93" s="254"/>
      <c r="H93" s="254"/>
      <c r="I93" s="254"/>
      <c r="J93" s="254"/>
      <c r="K93" s="254"/>
      <c r="L93" s="254"/>
      <c r="M93" s="254"/>
      <c r="N93" s="254"/>
      <c r="O93" s="254"/>
      <c r="P93" s="254"/>
      <c r="Q93" s="254"/>
      <c r="R93" s="94"/>
      <c r="S93" s="94"/>
      <c r="T93" s="94"/>
      <c r="U93" s="94"/>
      <c r="V93" s="94"/>
      <c r="W93" s="94"/>
      <c r="X93" s="94"/>
      <c r="Y93" s="94"/>
      <c r="Z93" s="94"/>
      <c r="AA93" s="94"/>
      <c r="AB93" s="94"/>
      <c r="AC93" s="94"/>
      <c r="AD93" s="94"/>
      <c r="AE93" s="94"/>
      <c r="AF93" s="94"/>
      <c r="AG93" s="94"/>
      <c r="AH93" s="94"/>
      <c r="AI93" s="94"/>
      <c r="AJ93" s="94"/>
      <c r="AK93" s="94"/>
      <c r="AL93" s="94"/>
      <c r="AM93" s="94"/>
      <c r="AN93" s="94"/>
      <c r="AO93" s="94"/>
      <c r="AP93" s="94"/>
      <c r="AQ93" s="94"/>
      <c r="AR93" s="94"/>
      <c r="AS93" s="94"/>
      <c r="AT93" s="94"/>
      <c r="AU93" s="94"/>
      <c r="AV93" s="94"/>
      <c r="AW93" s="94"/>
      <c r="AX93" s="94"/>
      <c r="AY93" s="94"/>
      <c r="AZ93" s="94"/>
      <c r="BA93" s="94"/>
      <c r="BB93" s="94"/>
      <c r="BC93" s="94"/>
      <c r="BD93" s="94"/>
      <c r="BE93" s="94"/>
      <c r="BF93" s="94"/>
      <c r="BG93" s="94"/>
      <c r="BH93" s="94"/>
      <c r="BI93" s="94"/>
      <c r="BJ93" s="94"/>
      <c r="BK93" s="94"/>
      <c r="BL93" s="94"/>
      <c r="BM93" s="94"/>
      <c r="BN93" s="94"/>
      <c r="BO93" s="94"/>
      <c r="BP93" s="94"/>
      <c r="BQ93" s="94"/>
      <c r="BR93" s="94"/>
      <c r="BS93" s="94"/>
      <c r="BT93" s="94"/>
      <c r="BU93" s="94"/>
      <c r="BV93" s="94"/>
      <c r="BW93" s="94"/>
      <c r="BX93" s="94"/>
      <c r="BY93" s="94"/>
      <c r="BZ93" s="94"/>
      <c r="CA93" s="94"/>
      <c r="CB93" s="94"/>
      <c r="CC93" s="94"/>
      <c r="CD93" s="94"/>
      <c r="CE93" s="94"/>
      <c r="CF93" s="94"/>
      <c r="CG93" s="94"/>
      <c r="CH93" s="94"/>
      <c r="CI93" s="94"/>
      <c r="CJ93" s="94"/>
      <c r="CK93" s="94"/>
      <c r="CO93" s="94">
        <f t="shared" si="474"/>
        <v>0</v>
      </c>
      <c r="CP93" s="94">
        <f t="shared" si="457"/>
        <v>0</v>
      </c>
      <c r="CQ93" s="94">
        <f t="shared" si="457"/>
        <v>0</v>
      </c>
      <c r="CR93" s="94">
        <f t="shared" si="457"/>
        <v>0</v>
      </c>
      <c r="CS93" s="94">
        <f t="shared" si="457"/>
        <v>0</v>
      </c>
      <c r="CT93" s="94">
        <f t="shared" si="458"/>
        <v>0</v>
      </c>
      <c r="CU93" s="94">
        <f t="shared" si="458"/>
        <v>0</v>
      </c>
    </row>
    <row r="94" spans="2:99" x14ac:dyDescent="0.2">
      <c r="B94" s="96" t="s">
        <v>302</v>
      </c>
      <c r="C94" s="101"/>
      <c r="D94" s="96"/>
      <c r="F94" s="21">
        <f t="shared" ref="F94:AK94" si="482">SUM(F95:F95)</f>
        <v>0</v>
      </c>
      <c r="G94" s="21">
        <f t="shared" si="482"/>
        <v>0</v>
      </c>
      <c r="H94" s="21">
        <f t="shared" si="482"/>
        <v>0</v>
      </c>
      <c r="I94" s="21">
        <f t="shared" si="482"/>
        <v>0</v>
      </c>
      <c r="J94" s="21">
        <f t="shared" si="482"/>
        <v>0</v>
      </c>
      <c r="K94" s="21">
        <f t="shared" si="482"/>
        <v>0</v>
      </c>
      <c r="L94" s="21">
        <f t="shared" si="482"/>
        <v>0</v>
      </c>
      <c r="M94" s="21">
        <f t="shared" si="482"/>
        <v>0</v>
      </c>
      <c r="N94" s="21">
        <f t="shared" si="482"/>
        <v>0</v>
      </c>
      <c r="O94" s="21">
        <f t="shared" si="482"/>
        <v>0</v>
      </c>
      <c r="P94" s="21">
        <f t="shared" si="482"/>
        <v>0</v>
      </c>
      <c r="Q94" s="21">
        <f t="shared" si="482"/>
        <v>0</v>
      </c>
      <c r="R94" s="21">
        <f t="shared" si="482"/>
        <v>0</v>
      </c>
      <c r="S94" s="21">
        <f t="shared" si="482"/>
        <v>0</v>
      </c>
      <c r="T94" s="21">
        <f t="shared" si="482"/>
        <v>0</v>
      </c>
      <c r="U94" s="21">
        <f t="shared" si="482"/>
        <v>0</v>
      </c>
      <c r="V94" s="21">
        <f>SUM(V95:V95)</f>
        <v>0</v>
      </c>
      <c r="W94" s="21">
        <f t="shared" si="482"/>
        <v>0</v>
      </c>
      <c r="X94" s="21">
        <f t="shared" si="482"/>
        <v>0</v>
      </c>
      <c r="Y94" s="21">
        <f t="shared" si="482"/>
        <v>0</v>
      </c>
      <c r="Z94" s="21">
        <f t="shared" si="482"/>
        <v>0</v>
      </c>
      <c r="AA94" s="21">
        <f t="shared" si="482"/>
        <v>0</v>
      </c>
      <c r="AB94" s="21">
        <f t="shared" si="482"/>
        <v>0</v>
      </c>
      <c r="AC94" s="21">
        <f t="shared" si="482"/>
        <v>0</v>
      </c>
      <c r="AD94" s="21">
        <f t="shared" si="482"/>
        <v>0</v>
      </c>
      <c r="AE94" s="21">
        <f t="shared" si="482"/>
        <v>0</v>
      </c>
      <c r="AF94" s="21">
        <f t="shared" si="482"/>
        <v>0</v>
      </c>
      <c r="AG94" s="21">
        <f t="shared" si="482"/>
        <v>0</v>
      </c>
      <c r="AH94" s="21">
        <f t="shared" si="482"/>
        <v>0</v>
      </c>
      <c r="AI94" s="21">
        <f t="shared" si="482"/>
        <v>0</v>
      </c>
      <c r="AJ94" s="21">
        <f t="shared" si="482"/>
        <v>0</v>
      </c>
      <c r="AK94" s="21">
        <f t="shared" si="482"/>
        <v>12600</v>
      </c>
      <c r="AL94" s="21">
        <f t="shared" ref="AL94:BQ94" si="483">SUM(AL95:AL95)</f>
        <v>15960</v>
      </c>
      <c r="AM94" s="21">
        <f t="shared" si="483"/>
        <v>17640</v>
      </c>
      <c r="AN94" s="21">
        <f t="shared" si="483"/>
        <v>21000</v>
      </c>
      <c r="AO94" s="21">
        <f t="shared" si="483"/>
        <v>24360</v>
      </c>
      <c r="AP94" s="21">
        <f t="shared" si="483"/>
        <v>21741.3</v>
      </c>
      <c r="AQ94" s="21">
        <f t="shared" si="483"/>
        <v>32353.125000000004</v>
      </c>
      <c r="AR94" s="21">
        <f t="shared" si="483"/>
        <v>44934.895833333328</v>
      </c>
      <c r="AS94" s="21">
        <f t="shared" si="483"/>
        <v>51471.816533027872</v>
      </c>
      <c r="AT94" s="21">
        <f t="shared" si="483"/>
        <v>53616.475555237368</v>
      </c>
      <c r="AU94" s="21">
        <f t="shared" si="483"/>
        <v>54710.689342078957</v>
      </c>
      <c r="AV94" s="21">
        <f t="shared" si="483"/>
        <v>55827.234022529541</v>
      </c>
      <c r="AW94" s="21">
        <f t="shared" si="483"/>
        <v>51573.730477955862</v>
      </c>
      <c r="AX94" s="21">
        <f t="shared" si="483"/>
        <v>50026.518563617188</v>
      </c>
      <c r="AY94" s="21">
        <f t="shared" si="483"/>
        <v>48525.723006708664</v>
      </c>
      <c r="AZ94" s="21">
        <f t="shared" si="483"/>
        <v>46099.436856373228</v>
      </c>
      <c r="BA94" s="21">
        <f t="shared" si="483"/>
        <v>61465.915808497644</v>
      </c>
      <c r="BB94" s="21">
        <f t="shared" si="483"/>
        <v>25124.246280000003</v>
      </c>
      <c r="BC94" s="21">
        <f t="shared" si="483"/>
        <v>37387.271250000013</v>
      </c>
      <c r="BD94" s="21">
        <f t="shared" si="483"/>
        <v>51926.765625000007</v>
      </c>
      <c r="BE94" s="21">
        <f t="shared" si="483"/>
        <v>59480.831185567025</v>
      </c>
      <c r="BF94" s="21">
        <f t="shared" si="483"/>
        <v>61959.199151632325</v>
      </c>
      <c r="BG94" s="21">
        <f t="shared" si="483"/>
        <v>63223.672603706444</v>
      </c>
      <c r="BH94" s="21">
        <f t="shared" si="483"/>
        <v>64513.951636435151</v>
      </c>
      <c r="BI94" s="21">
        <f t="shared" si="483"/>
        <v>59598.602940325814</v>
      </c>
      <c r="BJ94" s="21">
        <f t="shared" si="483"/>
        <v>57810.64485211602</v>
      </c>
      <c r="BK94" s="21">
        <f t="shared" si="483"/>
        <v>56076.325506552545</v>
      </c>
      <c r="BL94" s="21">
        <f t="shared" si="483"/>
        <v>53272.509231224911</v>
      </c>
      <c r="BM94" s="21">
        <f t="shared" si="483"/>
        <v>71030.012308299891</v>
      </c>
      <c r="BN94" s="21">
        <f t="shared" si="483"/>
        <v>29033.579001168004</v>
      </c>
      <c r="BO94" s="21">
        <f t="shared" si="483"/>
        <v>43204.730656500018</v>
      </c>
      <c r="BP94" s="21">
        <f t="shared" si="483"/>
        <v>60006.570356250006</v>
      </c>
      <c r="BQ94" s="21">
        <f t="shared" si="483"/>
        <v>68736.048518041251</v>
      </c>
      <c r="BR94" s="21">
        <f t="shared" ref="BR94:CK94" si="484">SUM(BR95:BR95)</f>
        <v>71600.050539626318</v>
      </c>
      <c r="BS94" s="21">
        <f t="shared" si="484"/>
        <v>73061.276060843185</v>
      </c>
      <c r="BT94" s="21">
        <f t="shared" si="484"/>
        <v>74552.322511064471</v>
      </c>
      <c r="BU94" s="21">
        <f t="shared" si="484"/>
        <v>68872.1455578405</v>
      </c>
      <c r="BV94" s="21">
        <f t="shared" si="484"/>
        <v>66805.981191105282</v>
      </c>
      <c r="BW94" s="21">
        <f t="shared" si="484"/>
        <v>64801.801755372129</v>
      </c>
      <c r="BX94" s="21">
        <f t="shared" si="484"/>
        <v>61561.711667603508</v>
      </c>
      <c r="BY94" s="21">
        <f t="shared" si="484"/>
        <v>82082.282223471339</v>
      </c>
      <c r="BZ94" s="21">
        <f t="shared" si="484"/>
        <v>33551.203893749749</v>
      </c>
      <c r="CA94" s="21">
        <f t="shared" si="484"/>
        <v>49927.38674665142</v>
      </c>
      <c r="CB94" s="21">
        <f t="shared" si="484"/>
        <v>69343.592703682516</v>
      </c>
      <c r="CC94" s="21">
        <f t="shared" si="484"/>
        <v>79431.377667448483</v>
      </c>
      <c r="CD94" s="21">
        <f t="shared" si="484"/>
        <v>82741.018403592185</v>
      </c>
      <c r="CE94" s="21">
        <f t="shared" si="484"/>
        <v>84429.610615910366</v>
      </c>
      <c r="CF94" s="21">
        <f t="shared" si="484"/>
        <v>86152.663893786099</v>
      </c>
      <c r="CG94" s="21">
        <f t="shared" si="484"/>
        <v>79588.651406640492</v>
      </c>
      <c r="CH94" s="21">
        <f t="shared" si="484"/>
        <v>77200.991864441283</v>
      </c>
      <c r="CI94" s="21">
        <f t="shared" si="484"/>
        <v>74884.962108508043</v>
      </c>
      <c r="CJ94" s="21">
        <f t="shared" si="484"/>
        <v>71140.714003082612</v>
      </c>
      <c r="CK94" s="21">
        <f t="shared" si="484"/>
        <v>94854.285337443493</v>
      </c>
      <c r="CO94" s="21">
        <f t="shared" si="474"/>
        <v>0</v>
      </c>
      <c r="CP94" s="21">
        <f t="shared" si="457"/>
        <v>0</v>
      </c>
      <c r="CQ94" s="21">
        <f t="shared" si="457"/>
        <v>91560</v>
      </c>
      <c r="CR94" s="21">
        <f t="shared" si="457"/>
        <v>572346.86099935963</v>
      </c>
      <c r="CS94" s="21">
        <f t="shared" si="457"/>
        <v>661404.03257086012</v>
      </c>
      <c r="CT94" s="21">
        <f t="shared" si="458"/>
        <v>764318.50003888598</v>
      </c>
      <c r="CU94" s="21">
        <f t="shared" si="458"/>
        <v>883246.45864493679</v>
      </c>
    </row>
    <row r="95" spans="2:99" outlineLevel="1" x14ac:dyDescent="0.2">
      <c r="B95" s="95" t="s">
        <v>298</v>
      </c>
      <c r="C95" s="91" t="s">
        <v>286</v>
      </c>
      <c r="D95" s="103">
        <v>0.84</v>
      </c>
      <c r="E95" s="159"/>
      <c r="Q95" s="22"/>
      <c r="R95" s="22"/>
      <c r="S95" s="22"/>
      <c r="T95" s="22"/>
      <c r="U95" s="22"/>
      <c r="V95" s="22"/>
      <c r="W95" s="22">
        <f t="shared" ref="W95:BB95" si="485">W45*$D95</f>
        <v>0</v>
      </c>
      <c r="X95" s="22">
        <f t="shared" si="485"/>
        <v>0</v>
      </c>
      <c r="Y95" s="22">
        <f t="shared" si="485"/>
        <v>0</v>
      </c>
      <c r="Z95" s="22">
        <f t="shared" si="485"/>
        <v>0</v>
      </c>
      <c r="AA95" s="22">
        <f>AA45*$D95</f>
        <v>0</v>
      </c>
      <c r="AB95" s="22">
        <f t="shared" si="485"/>
        <v>0</v>
      </c>
      <c r="AC95" s="22">
        <f t="shared" si="485"/>
        <v>0</v>
      </c>
      <c r="AD95" s="22">
        <f t="shared" si="485"/>
        <v>0</v>
      </c>
      <c r="AE95" s="22">
        <f t="shared" si="485"/>
        <v>0</v>
      </c>
      <c r="AF95" s="22">
        <f t="shared" si="485"/>
        <v>0</v>
      </c>
      <c r="AG95" s="22">
        <f t="shared" si="485"/>
        <v>0</v>
      </c>
      <c r="AH95" s="22">
        <f t="shared" si="485"/>
        <v>0</v>
      </c>
      <c r="AI95" s="22">
        <f t="shared" si="485"/>
        <v>0</v>
      </c>
      <c r="AJ95" s="22">
        <f t="shared" si="485"/>
        <v>0</v>
      </c>
      <c r="AK95" s="22">
        <f t="shared" si="485"/>
        <v>12600</v>
      </c>
      <c r="AL95" s="22">
        <f t="shared" si="485"/>
        <v>15960</v>
      </c>
      <c r="AM95" s="22">
        <f t="shared" si="485"/>
        <v>17640</v>
      </c>
      <c r="AN95" s="22">
        <f t="shared" si="485"/>
        <v>21000</v>
      </c>
      <c r="AO95" s="22">
        <f t="shared" si="485"/>
        <v>24360</v>
      </c>
      <c r="AP95" s="22">
        <f t="shared" si="485"/>
        <v>21741.3</v>
      </c>
      <c r="AQ95" s="22">
        <f t="shared" si="485"/>
        <v>32353.125000000004</v>
      </c>
      <c r="AR95" s="22">
        <f t="shared" si="485"/>
        <v>44934.895833333328</v>
      </c>
      <c r="AS95" s="22">
        <f t="shared" si="485"/>
        <v>51471.816533027872</v>
      </c>
      <c r="AT95" s="22">
        <f t="shared" si="485"/>
        <v>53616.475555237368</v>
      </c>
      <c r="AU95" s="22">
        <f t="shared" si="485"/>
        <v>54710.689342078957</v>
      </c>
      <c r="AV95" s="22">
        <f t="shared" si="485"/>
        <v>55827.234022529541</v>
      </c>
      <c r="AW95" s="22">
        <f t="shared" si="485"/>
        <v>51573.730477955862</v>
      </c>
      <c r="AX95" s="22">
        <f t="shared" si="485"/>
        <v>50026.518563617188</v>
      </c>
      <c r="AY95" s="22">
        <f t="shared" si="485"/>
        <v>48525.723006708664</v>
      </c>
      <c r="AZ95" s="22">
        <f t="shared" si="485"/>
        <v>46099.436856373228</v>
      </c>
      <c r="BA95" s="22">
        <f t="shared" si="485"/>
        <v>61465.915808497644</v>
      </c>
      <c r="BB95" s="22">
        <f t="shared" si="485"/>
        <v>25124.246280000003</v>
      </c>
      <c r="BC95" s="22">
        <f t="shared" ref="BC95:BX95" si="486">BC45*$D95</f>
        <v>37387.271250000013</v>
      </c>
      <c r="BD95" s="22">
        <f t="shared" si="486"/>
        <v>51926.765625000007</v>
      </c>
      <c r="BE95" s="22">
        <f t="shared" si="486"/>
        <v>59480.831185567025</v>
      </c>
      <c r="BF95" s="22">
        <f t="shared" si="486"/>
        <v>61959.199151632325</v>
      </c>
      <c r="BG95" s="22">
        <f t="shared" si="486"/>
        <v>63223.672603706444</v>
      </c>
      <c r="BH95" s="22">
        <f t="shared" si="486"/>
        <v>64513.951636435151</v>
      </c>
      <c r="BI95" s="22">
        <f t="shared" si="486"/>
        <v>59598.602940325814</v>
      </c>
      <c r="BJ95" s="22">
        <f t="shared" si="486"/>
        <v>57810.64485211602</v>
      </c>
      <c r="BK95" s="22">
        <f t="shared" si="486"/>
        <v>56076.325506552545</v>
      </c>
      <c r="BL95" s="22">
        <f t="shared" si="486"/>
        <v>53272.509231224911</v>
      </c>
      <c r="BM95" s="22">
        <f t="shared" si="486"/>
        <v>71030.012308299891</v>
      </c>
      <c r="BN95" s="22">
        <f t="shared" si="486"/>
        <v>29033.579001168004</v>
      </c>
      <c r="BO95" s="22">
        <f t="shared" si="486"/>
        <v>43204.730656500018</v>
      </c>
      <c r="BP95" s="22">
        <f t="shared" si="486"/>
        <v>60006.570356250006</v>
      </c>
      <c r="BQ95" s="22">
        <f t="shared" si="486"/>
        <v>68736.048518041251</v>
      </c>
      <c r="BR95" s="22">
        <f t="shared" si="486"/>
        <v>71600.050539626318</v>
      </c>
      <c r="BS95" s="22">
        <f t="shared" si="486"/>
        <v>73061.276060843185</v>
      </c>
      <c r="BT95" s="22">
        <f t="shared" si="486"/>
        <v>74552.322511064471</v>
      </c>
      <c r="BU95" s="22">
        <f t="shared" si="486"/>
        <v>68872.1455578405</v>
      </c>
      <c r="BV95" s="22">
        <f t="shared" si="486"/>
        <v>66805.981191105282</v>
      </c>
      <c r="BW95" s="22">
        <f t="shared" si="486"/>
        <v>64801.801755372129</v>
      </c>
      <c r="BX95" s="22">
        <f t="shared" si="486"/>
        <v>61561.711667603508</v>
      </c>
      <c r="BY95" s="22">
        <f t="shared" ref="BY95:CK95" si="487">BY45*$D95</f>
        <v>82082.282223471339</v>
      </c>
      <c r="BZ95" s="22">
        <f t="shared" si="487"/>
        <v>33551.203893749749</v>
      </c>
      <c r="CA95" s="22">
        <f t="shared" si="487"/>
        <v>49927.38674665142</v>
      </c>
      <c r="CB95" s="22">
        <f t="shared" si="487"/>
        <v>69343.592703682516</v>
      </c>
      <c r="CC95" s="22">
        <f t="shared" si="487"/>
        <v>79431.377667448483</v>
      </c>
      <c r="CD95" s="22">
        <f t="shared" si="487"/>
        <v>82741.018403592185</v>
      </c>
      <c r="CE95" s="22">
        <f t="shared" si="487"/>
        <v>84429.610615910366</v>
      </c>
      <c r="CF95" s="22">
        <f t="shared" si="487"/>
        <v>86152.663893786099</v>
      </c>
      <c r="CG95" s="22">
        <f t="shared" si="487"/>
        <v>79588.651406640492</v>
      </c>
      <c r="CH95" s="22">
        <f t="shared" si="487"/>
        <v>77200.991864441283</v>
      </c>
      <c r="CI95" s="22">
        <f t="shared" si="487"/>
        <v>74884.962108508043</v>
      </c>
      <c r="CJ95" s="22">
        <f t="shared" si="487"/>
        <v>71140.714003082612</v>
      </c>
      <c r="CK95" s="22">
        <f t="shared" si="487"/>
        <v>94854.285337443493</v>
      </c>
      <c r="CO95" s="10">
        <f t="shared" si="474"/>
        <v>0</v>
      </c>
      <c r="CP95" s="10">
        <f t="shared" si="457"/>
        <v>0</v>
      </c>
      <c r="CQ95" s="10">
        <f t="shared" si="457"/>
        <v>91560</v>
      </c>
      <c r="CR95" s="10">
        <f t="shared" si="457"/>
        <v>572346.86099935963</v>
      </c>
      <c r="CS95" s="10">
        <f t="shared" si="457"/>
        <v>661404.03257086012</v>
      </c>
      <c r="CT95" s="10">
        <f t="shared" ref="CT95:CU95" si="488">SUMIF($L$2:$CK$2,CT$3,$L95:$CK95)</f>
        <v>764318.50003888598</v>
      </c>
      <c r="CU95" s="10">
        <f t="shared" si="488"/>
        <v>883246.45864493679</v>
      </c>
    </row>
    <row r="96" spans="2:99" hidden="1" x14ac:dyDescent="0.2">
      <c r="B96" s="214"/>
      <c r="E96" s="159"/>
    </row>
    <row r="97" spans="2:99" hidden="1" x14ac:dyDescent="0.2">
      <c r="B97" s="214"/>
      <c r="E97" s="159"/>
    </row>
    <row r="98" spans="2:99" x14ac:dyDescent="0.2">
      <c r="B98" s="20" t="s">
        <v>6</v>
      </c>
      <c r="C98" s="23" t="s">
        <v>4</v>
      </c>
      <c r="D98" s="23"/>
      <c r="E98" s="159"/>
      <c r="F98" s="24">
        <f t="shared" ref="F98:AK98" si="489">F69+F73</f>
        <v>32451.584473349423</v>
      </c>
      <c r="G98" s="24">
        <f t="shared" si="489"/>
        <v>31971.490280398662</v>
      </c>
      <c r="H98" s="24">
        <f t="shared" si="489"/>
        <v>30315.846233262135</v>
      </c>
      <c r="I98" s="24">
        <f t="shared" si="489"/>
        <v>34943.450139546992</v>
      </c>
      <c r="J98" s="24">
        <f t="shared" si="489"/>
        <v>34614.606398119344</v>
      </c>
      <c r="K98" s="24">
        <f t="shared" si="489"/>
        <v>35577.429476341989</v>
      </c>
      <c r="L98" s="24">
        <f t="shared" si="489"/>
        <v>38848.367137970796</v>
      </c>
      <c r="M98" s="24">
        <f t="shared" si="489"/>
        <v>36353.115529295406</v>
      </c>
      <c r="N98" s="24">
        <f t="shared" si="489"/>
        <v>34135.923534677204</v>
      </c>
      <c r="O98" s="24">
        <f t="shared" si="489"/>
        <v>41689.791992637518</v>
      </c>
      <c r="P98" s="24">
        <f t="shared" si="489"/>
        <v>36803.182784250981</v>
      </c>
      <c r="Q98" s="24">
        <f t="shared" si="489"/>
        <v>43844.492683994649</v>
      </c>
      <c r="R98" s="24">
        <f t="shared" si="489"/>
        <v>33455.739819168004</v>
      </c>
      <c r="S98" s="24">
        <f t="shared" si="489"/>
        <v>32464.963469920003</v>
      </c>
      <c r="T98" s="24">
        <f t="shared" si="489"/>
        <v>33718.298005600001</v>
      </c>
      <c r="U98" s="24">
        <f t="shared" si="489"/>
        <v>33918.435299312005</v>
      </c>
      <c r="V98" s="24">
        <f t="shared" si="489"/>
        <v>33240.722916095998</v>
      </c>
      <c r="W98" s="24">
        <f t="shared" si="489"/>
        <v>33669.862788372004</v>
      </c>
      <c r="X98" s="24">
        <f t="shared" si="489"/>
        <v>44022.666678679707</v>
      </c>
      <c r="Y98" s="24">
        <f t="shared" si="489"/>
        <v>43115.141861111253</v>
      </c>
      <c r="Z98" s="24">
        <f t="shared" si="489"/>
        <v>43723.981557360064</v>
      </c>
      <c r="AA98" s="24">
        <f t="shared" si="489"/>
        <v>35583.057671876006</v>
      </c>
      <c r="AB98" s="24">
        <f t="shared" si="489"/>
        <v>34704.736714280007</v>
      </c>
      <c r="AC98" s="24">
        <f t="shared" si="489"/>
        <v>40289.268127432013</v>
      </c>
      <c r="AD98" s="24">
        <f t="shared" si="489"/>
        <v>28459.565927600001</v>
      </c>
      <c r="AE98" s="24">
        <f t="shared" si="489"/>
        <v>29937.537531599995</v>
      </c>
      <c r="AF98" s="24">
        <f t="shared" si="489"/>
        <v>36782.904274399996</v>
      </c>
      <c r="AG98" s="24">
        <f t="shared" si="489"/>
        <v>36553.279999999999</v>
      </c>
      <c r="AH98" s="24">
        <f t="shared" si="489"/>
        <v>37918.880000000005</v>
      </c>
      <c r="AI98" s="24">
        <f t="shared" si="489"/>
        <v>38669.96</v>
      </c>
      <c r="AJ98" s="24">
        <f t="shared" si="489"/>
        <v>40923.199999999997</v>
      </c>
      <c r="AK98" s="24">
        <f t="shared" si="489"/>
        <v>52347.799999999996</v>
      </c>
      <c r="AL98" s="24">
        <f t="shared" ref="AL98:BU98" si="490">AL69+AL73</f>
        <v>59003</v>
      </c>
      <c r="AM98" s="24">
        <f t="shared" si="490"/>
        <v>59805.271999999997</v>
      </c>
      <c r="AN98" s="24">
        <f t="shared" si="490"/>
        <v>64023.895999999993</v>
      </c>
      <c r="AO98" s="24">
        <f t="shared" si="490"/>
        <v>75048.3</v>
      </c>
      <c r="AP98" s="24">
        <f t="shared" si="490"/>
        <v>63926.618500000004</v>
      </c>
      <c r="AQ98" s="24">
        <f t="shared" si="490"/>
        <v>75239.059895833343</v>
      </c>
      <c r="AR98" s="24">
        <f t="shared" si="490"/>
        <v>92973.429398148146</v>
      </c>
      <c r="AS98" s="24">
        <f t="shared" si="490"/>
        <v>101301.73125079548</v>
      </c>
      <c r="AT98" s="24">
        <f t="shared" si="490"/>
        <v>105415.99088624529</v>
      </c>
      <c r="AU98" s="24">
        <f t="shared" si="490"/>
        <v>107515.10294514826</v>
      </c>
      <c r="AV98" s="24">
        <f t="shared" si="490"/>
        <v>109657.05402566148</v>
      </c>
      <c r="AW98" s="24">
        <f t="shared" si="490"/>
        <v>103672.6533646834</v>
      </c>
      <c r="AX98" s="24">
        <f t="shared" si="490"/>
        <v>100639.2587637429</v>
      </c>
      <c r="AY98" s="24">
        <f t="shared" si="490"/>
        <v>97696.866000830603</v>
      </c>
      <c r="AZ98" s="24">
        <f t="shared" si="490"/>
        <v>92939.997700789056</v>
      </c>
      <c r="BA98" s="24">
        <f t="shared" si="490"/>
        <v>123066.83026771876</v>
      </c>
      <c r="BB98" s="24">
        <f t="shared" si="490"/>
        <v>72015.640593232762</v>
      </c>
      <c r="BC98" s="24">
        <f t="shared" si="490"/>
        <v>87248.149961328134</v>
      </c>
      <c r="BD98" s="24">
        <f t="shared" si="490"/>
        <v>107793.5651966146</v>
      </c>
      <c r="BE98" s="24">
        <f t="shared" si="490"/>
        <v>117433.70272632089</v>
      </c>
      <c r="BF98" s="24">
        <f t="shared" si="490"/>
        <v>122210.29658991759</v>
      </c>
      <c r="BG98" s="24">
        <f t="shared" si="490"/>
        <v>124647.33427542612</v>
      </c>
      <c r="BH98" s="24">
        <f t="shared" si="490"/>
        <v>127134.10742390421</v>
      </c>
      <c r="BI98" s="24">
        <f t="shared" si="490"/>
        <v>120201.23230032244</v>
      </c>
      <c r="BJ98" s="24">
        <f t="shared" si="490"/>
        <v>116679.05883131275</v>
      </c>
      <c r="BK98" s="24">
        <f t="shared" si="490"/>
        <v>113262.55056637336</v>
      </c>
      <c r="BL98" s="24">
        <f t="shared" si="490"/>
        <v>108880.39298506352</v>
      </c>
      <c r="BM98" s="24">
        <f t="shared" si="490"/>
        <v>142720.44405073958</v>
      </c>
      <c r="BN98" s="24">
        <f t="shared" si="490"/>
        <v>83562.644110908994</v>
      </c>
      <c r="BO98" s="24">
        <f t="shared" si="490"/>
        <v>101190.69675366895</v>
      </c>
      <c r="BP98" s="24">
        <f t="shared" si="490"/>
        <v>124993.21878605022</v>
      </c>
      <c r="BQ98" s="24">
        <f t="shared" si="490"/>
        <v>136151.99270088939</v>
      </c>
      <c r="BR98" s="24">
        <f t="shared" si="490"/>
        <v>141697.70093842645</v>
      </c>
      <c r="BS98" s="24">
        <f t="shared" si="490"/>
        <v>144527.14391676171</v>
      </c>
      <c r="BT98" s="24">
        <f t="shared" si="490"/>
        <v>147414.33062934867</v>
      </c>
      <c r="BU98" s="24">
        <f t="shared" si="490"/>
        <v>139382.49264322902</v>
      </c>
      <c r="BV98" s="24">
        <f t="shared" ref="BV98:BX98" si="491">BV69+BV73</f>
        <v>135292.66771393214</v>
      </c>
      <c r="BW98" s="24">
        <f t="shared" si="491"/>
        <v>132726.56761929987</v>
      </c>
      <c r="BX98" s="24">
        <f t="shared" si="491"/>
        <v>126242.98898833485</v>
      </c>
      <c r="BY98" s="24">
        <f t="shared" ref="BY98:CK98" si="492">BY69+BY73</f>
        <v>165549.53938106008</v>
      </c>
      <c r="BZ98" s="24">
        <f t="shared" si="492"/>
        <v>95014.92765300117</v>
      </c>
      <c r="CA98" s="24">
        <f t="shared" si="492"/>
        <v>115337.18707927174</v>
      </c>
      <c r="CB98" s="24">
        <f t="shared" si="492"/>
        <v>142723.93187728897</v>
      </c>
      <c r="CC98" s="24">
        <f t="shared" si="492"/>
        <v>155594.07095895644</v>
      </c>
      <c r="CD98" s="24">
        <f t="shared" si="492"/>
        <v>161963.02828843726</v>
      </c>
      <c r="CE98" s="24">
        <f t="shared" si="492"/>
        <v>165221.58451747775</v>
      </c>
      <c r="CF98" s="24">
        <f t="shared" si="492"/>
        <v>168546.99857394747</v>
      </c>
      <c r="CG98" s="24">
        <f t="shared" si="492"/>
        <v>159325.44990760932</v>
      </c>
      <c r="CH98" s="24">
        <f t="shared" si="492"/>
        <v>156341.52939541719</v>
      </c>
      <c r="CI98" s="24">
        <f t="shared" si="492"/>
        <v>151762.06496417159</v>
      </c>
      <c r="CJ98" s="24">
        <f t="shared" si="492"/>
        <v>144346.93256629904</v>
      </c>
      <c r="CK98" s="24">
        <f t="shared" si="492"/>
        <v>189363.3795279038</v>
      </c>
      <c r="CO98" s="24">
        <f>SUMIF($L$2:$CK$2,CO$3,$L98:$CK98)</f>
        <v>231674.87366282655</v>
      </c>
      <c r="CP98" s="24">
        <f>SUMIF($L$2:$CK$2,CP$3,$L98:$CK98)</f>
        <v>441906.87490920705</v>
      </c>
      <c r="CQ98" s="24">
        <f>SUMIF($L$2:$CK$2,CQ$3,$L98:$CK98)</f>
        <v>559473.59573359997</v>
      </c>
      <c r="CR98" s="24">
        <f>SUMIF($L$2:$CK$2,CR$3,$L98:$CK98)</f>
        <v>1174044.5929995966</v>
      </c>
      <c r="CS98" s="24">
        <f>SUMIF($L$2:$CK$2,CS$3,$L98:$CK98)</f>
        <v>1360226.4755005559</v>
      </c>
      <c r="CT98" s="24">
        <f t="shared" ref="CT98:CU98" si="493">SUMIF($L$2:$CK$2,CT$3,$L98:$CK98)</f>
        <v>1578731.9841819101</v>
      </c>
      <c r="CU98" s="24">
        <f t="shared" si="493"/>
        <v>1805541.0853097818</v>
      </c>
    </row>
    <row r="99" spans="2:99" x14ac:dyDescent="0.2">
      <c r="E99" s="159"/>
      <c r="F99" s="250">
        <v>0.10731262520066021</v>
      </c>
      <c r="G99" s="250">
        <v>0.10530446322319942</v>
      </c>
      <c r="H99" s="250">
        <v>0.10568170684183187</v>
      </c>
      <c r="I99" s="250">
        <v>0.10541931749547007</v>
      </c>
      <c r="J99" s="250">
        <v>0.10413066934777282</v>
      </c>
      <c r="K99" s="250">
        <v>0.10474144950553033</v>
      </c>
      <c r="L99" s="250">
        <v>0.10420758068622882</v>
      </c>
      <c r="M99" s="250">
        <v>0.10439786009725038</v>
      </c>
      <c r="N99" s="250">
        <v>0.10573821564776464</v>
      </c>
      <c r="O99" s="250">
        <v>0.10423740941675441</v>
      </c>
      <c r="P99" s="250">
        <v>0.10517672651913168</v>
      </c>
      <c r="Q99" s="247">
        <v>0.10204282833964418</v>
      </c>
    </row>
    <row r="100" spans="2:99" x14ac:dyDescent="0.2">
      <c r="B100" s="207" t="s">
        <v>303</v>
      </c>
      <c r="E100" s="159"/>
      <c r="F100" s="208">
        <f t="shared" ref="F100:AK100" si="494">IFERROR((F45/1.2-F78/1.2-F95/1.2-(F45/1.2-F78/1.2-F95/1.2)*0.2)/(F45/1.2),0)</f>
        <v>0</v>
      </c>
      <c r="G100" s="208">
        <f t="shared" si="494"/>
        <v>0</v>
      </c>
      <c r="H100" s="208">
        <f t="shared" si="494"/>
        <v>0</v>
      </c>
      <c r="I100" s="208">
        <f t="shared" si="494"/>
        <v>0</v>
      </c>
      <c r="J100" s="208">
        <f t="shared" si="494"/>
        <v>0</v>
      </c>
      <c r="K100" s="208">
        <f t="shared" si="494"/>
        <v>0</v>
      </c>
      <c r="L100" s="208">
        <f t="shared" si="494"/>
        <v>0</v>
      </c>
      <c r="M100" s="208">
        <f t="shared" si="494"/>
        <v>0</v>
      </c>
      <c r="N100" s="208">
        <f t="shared" si="494"/>
        <v>0</v>
      </c>
      <c r="O100" s="208">
        <f t="shared" si="494"/>
        <v>0</v>
      </c>
      <c r="P100" s="208">
        <f t="shared" si="494"/>
        <v>0</v>
      </c>
      <c r="Q100" s="208">
        <f t="shared" si="494"/>
        <v>0</v>
      </c>
      <c r="R100" s="208">
        <f t="shared" si="494"/>
        <v>0</v>
      </c>
      <c r="S100" s="208">
        <f t="shared" si="494"/>
        <v>0</v>
      </c>
      <c r="T100" s="208">
        <f t="shared" si="494"/>
        <v>0</v>
      </c>
      <c r="U100" s="208">
        <f t="shared" si="494"/>
        <v>0</v>
      </c>
      <c r="V100" s="208">
        <f t="shared" si="494"/>
        <v>0</v>
      </c>
      <c r="W100" s="208">
        <f t="shared" si="494"/>
        <v>0</v>
      </c>
      <c r="X100" s="208">
        <f t="shared" si="494"/>
        <v>0</v>
      </c>
      <c r="Y100" s="208">
        <f t="shared" si="494"/>
        <v>0</v>
      </c>
      <c r="Z100" s="208">
        <f t="shared" si="494"/>
        <v>0</v>
      </c>
      <c r="AA100" s="208">
        <f t="shared" si="494"/>
        <v>0</v>
      </c>
      <c r="AB100" s="208">
        <f t="shared" si="494"/>
        <v>0</v>
      </c>
      <c r="AC100" s="208">
        <f t="shared" si="494"/>
        <v>0</v>
      </c>
      <c r="AD100" s="208">
        <f t="shared" si="494"/>
        <v>0</v>
      </c>
      <c r="AE100" s="208">
        <f t="shared" si="494"/>
        <v>0</v>
      </c>
      <c r="AF100" s="208">
        <f t="shared" si="494"/>
        <v>0</v>
      </c>
      <c r="AG100" s="208">
        <f t="shared" si="494"/>
        <v>0</v>
      </c>
      <c r="AH100" s="208">
        <f t="shared" si="494"/>
        <v>0</v>
      </c>
      <c r="AI100" s="208">
        <f t="shared" si="494"/>
        <v>0</v>
      </c>
      <c r="AJ100" s="208">
        <f t="shared" si="494"/>
        <v>0</v>
      </c>
      <c r="AK100" s="208">
        <f t="shared" si="494"/>
        <v>9.8666666666666625E-2</v>
      </c>
      <c r="AL100" s="208">
        <f t="shared" ref="AL100:BQ100" si="495">IFERROR((AL45/1.2-AL78/1.2-AL95/1.2-(AL45/1.2-AL78/1.2-AL95/1.2)*0.2)/(AL45/1.2),0)</f>
        <v>0.10484210526315789</v>
      </c>
      <c r="AM100" s="208">
        <f t="shared" si="495"/>
        <v>0.10704761904761911</v>
      </c>
      <c r="AN100" s="208">
        <f t="shared" si="495"/>
        <v>0.11040000000000012</v>
      </c>
      <c r="AO100" s="208">
        <f t="shared" si="495"/>
        <v>0.11282758620689663</v>
      </c>
      <c r="AP100" s="208">
        <f t="shared" si="495"/>
        <v>0.10930010624939628</v>
      </c>
      <c r="AQ100" s="208">
        <f t="shared" si="495"/>
        <v>0.11543367139959437</v>
      </c>
      <c r="AR100" s="208">
        <f t="shared" si="495"/>
        <v>0.11895224340770805</v>
      </c>
      <c r="AS100" s="208">
        <f t="shared" si="495"/>
        <v>0.12010130849492909</v>
      </c>
      <c r="AT100" s="208">
        <f t="shared" si="495"/>
        <v>0.12041725615513195</v>
      </c>
      <c r="AU100" s="208">
        <f t="shared" si="495"/>
        <v>0.12056891103202916</v>
      </c>
      <c r="AV100" s="208">
        <f t="shared" si="495"/>
        <v>0.12071753281138871</v>
      </c>
      <c r="AW100" s="208">
        <f t="shared" si="495"/>
        <v>0.12011691696078157</v>
      </c>
      <c r="AX100" s="208">
        <f t="shared" si="495"/>
        <v>0.11987311026884695</v>
      </c>
      <c r="AY100" s="208">
        <f t="shared" si="495"/>
        <v>0.11962176316375973</v>
      </c>
      <c r="AZ100" s="208">
        <f t="shared" si="495"/>
        <v>0.11918080333027346</v>
      </c>
      <c r="BA100" s="208">
        <f t="shared" si="495"/>
        <v>0.12138560249770514</v>
      </c>
      <c r="BB100" s="208">
        <f t="shared" si="495"/>
        <v>0.11019982422493609</v>
      </c>
      <c r="BC100" s="208">
        <f t="shared" si="495"/>
        <v>0.11603828187915691</v>
      </c>
      <c r="BD100" s="208">
        <f t="shared" si="495"/>
        <v>0.11938756295299294</v>
      </c>
      <c r="BE100" s="208">
        <f t="shared" si="495"/>
        <v>0.12048134245796288</v>
      </c>
      <c r="BF100" s="208">
        <f t="shared" si="495"/>
        <v>0.12078208875964433</v>
      </c>
      <c r="BG100" s="208">
        <f t="shared" si="495"/>
        <v>0.12092644698445149</v>
      </c>
      <c r="BH100" s="208">
        <f t="shared" si="495"/>
        <v>0.12106791804476248</v>
      </c>
      <c r="BI100" s="208">
        <f t="shared" si="495"/>
        <v>0.12049619994536136</v>
      </c>
      <c r="BJ100" s="208">
        <f t="shared" si="495"/>
        <v>0.12026412365501177</v>
      </c>
      <c r="BK100" s="208">
        <f t="shared" si="495"/>
        <v>0.12002486974743475</v>
      </c>
      <c r="BL100" s="208">
        <f t="shared" si="495"/>
        <v>0.11960512604993145</v>
      </c>
      <c r="BM100" s="208">
        <f t="shared" si="495"/>
        <v>0.12170384453744858</v>
      </c>
      <c r="BN100" s="208">
        <f t="shared" si="495"/>
        <v>0.11105625358898362</v>
      </c>
      <c r="BO100" s="208">
        <f t="shared" si="495"/>
        <v>0.1166138024117971</v>
      </c>
      <c r="BP100" s="208">
        <f t="shared" si="495"/>
        <v>0.11980193773649402</v>
      </c>
      <c r="BQ100" s="208">
        <f t="shared" si="495"/>
        <v>0.12084309164395911</v>
      </c>
      <c r="BR100" s="208">
        <f t="shared" ref="BR100:BX100" si="496">IFERROR((BR45/1.2-BR78/1.2-BR95/1.2-(BR45/1.2-BR78/1.2-BR95/1.2)*0.2)/(BR45/1.2),0)</f>
        <v>0.12112936797820074</v>
      </c>
      <c r="BS100" s="208">
        <f t="shared" si="496"/>
        <v>0.12126678061863673</v>
      </c>
      <c r="BT100" s="208">
        <f t="shared" si="496"/>
        <v>0.12140144500626397</v>
      </c>
      <c r="BU100" s="208">
        <f t="shared" si="496"/>
        <v>0.12085723428513113</v>
      </c>
      <c r="BV100" s="208">
        <f t="shared" si="496"/>
        <v>0.12063632400528985</v>
      </c>
      <c r="BW100" s="208">
        <f t="shared" si="496"/>
        <v>0.12040858144875245</v>
      </c>
      <c r="BX100" s="208">
        <f t="shared" si="496"/>
        <v>0.12000903310394996</v>
      </c>
      <c r="BY100" s="208">
        <f t="shared" ref="BY100:CK100" si="497">IFERROR((BY45/1.2-BY78/1.2-BY95/1.2-(BY45/1.2-BY78/1.2-BY95/1.2)*0.2)/(BY45/1.2),0)</f>
        <v>0.12200677482796246</v>
      </c>
      <c r="BZ100" s="208">
        <f t="shared" si="497"/>
        <v>0.11333770646329501</v>
      </c>
      <c r="CA100" s="208">
        <f t="shared" si="497"/>
        <v>0.11814693874333436</v>
      </c>
      <c r="CB100" s="208">
        <f t="shared" si="497"/>
        <v>0.12090579589520056</v>
      </c>
      <c r="CC100" s="208">
        <f t="shared" si="497"/>
        <v>0.1218067598165101</v>
      </c>
      <c r="CD100" s="208">
        <f t="shared" si="497"/>
        <v>0.12205448942384969</v>
      </c>
      <c r="CE100" s="208">
        <f t="shared" si="497"/>
        <v>0.12217339963537281</v>
      </c>
      <c r="CF100" s="208">
        <f t="shared" si="497"/>
        <v>0.12228993164266534</v>
      </c>
      <c r="CG100" s="208">
        <f t="shared" si="497"/>
        <v>0.12181899816989537</v>
      </c>
      <c r="CH100" s="208">
        <f t="shared" si="497"/>
        <v>0.12162783316484059</v>
      </c>
      <c r="CI100" s="208">
        <f t="shared" si="497"/>
        <v>0.12143075584004183</v>
      </c>
      <c r="CJ100" s="208">
        <f t="shared" si="497"/>
        <v>0.12108500614741258</v>
      </c>
      <c r="CK100" s="208">
        <f t="shared" si="497"/>
        <v>0.12281375461055938</v>
      </c>
    </row>
    <row r="101" spans="2:99" x14ac:dyDescent="0.2">
      <c r="E101" s="159"/>
      <c r="F101" s="10"/>
      <c r="G101" s="10"/>
      <c r="H101" s="10"/>
      <c r="I101" s="10"/>
      <c r="J101" s="10"/>
      <c r="K101" s="10"/>
      <c r="L101" s="10"/>
      <c r="M101" s="10"/>
      <c r="N101" s="10"/>
      <c r="O101" s="10"/>
      <c r="P101" s="10"/>
      <c r="R101" s="10"/>
    </row>
    <row r="102" spans="2:99" x14ac:dyDescent="0.2">
      <c r="B102" s="12" t="s">
        <v>42</v>
      </c>
      <c r="F102" s="188" t="s">
        <v>284</v>
      </c>
      <c r="G102" s="188" t="s">
        <v>284</v>
      </c>
      <c r="H102" s="188" t="s">
        <v>284</v>
      </c>
      <c r="I102" s="188" t="s">
        <v>284</v>
      </c>
      <c r="J102" s="188" t="s">
        <v>284</v>
      </c>
      <c r="K102" s="188" t="s">
        <v>284</v>
      </c>
      <c r="L102" s="188" t="s">
        <v>284</v>
      </c>
      <c r="M102" s="188" t="s">
        <v>284</v>
      </c>
      <c r="N102" s="188" t="s">
        <v>284</v>
      </c>
      <c r="O102" s="188" t="s">
        <v>284</v>
      </c>
      <c r="P102" s="188" t="s">
        <v>284</v>
      </c>
      <c r="Q102" s="188" t="s">
        <v>284</v>
      </c>
      <c r="R102" s="188" t="s">
        <v>284</v>
      </c>
      <c r="S102" s="188" t="s">
        <v>284</v>
      </c>
      <c r="T102" s="188" t="s">
        <v>284</v>
      </c>
      <c r="U102" s="188" t="s">
        <v>284</v>
      </c>
      <c r="V102" s="188" t="s">
        <v>284</v>
      </c>
      <c r="W102" s="188" t="s">
        <v>284</v>
      </c>
    </row>
    <row r="103" spans="2:99" x14ac:dyDescent="0.2">
      <c r="B103" s="200" t="s">
        <v>1</v>
      </c>
      <c r="C103" s="200" t="s">
        <v>2</v>
      </c>
      <c r="D103" s="200" t="s">
        <v>38</v>
      </c>
      <c r="E103" s="235" t="s">
        <v>321</v>
      </c>
      <c r="F103" s="201">
        <f t="shared" ref="F103:AK103" si="498">F68</f>
        <v>45292</v>
      </c>
      <c r="G103" s="201">
        <f t="shared" si="498"/>
        <v>45323</v>
      </c>
      <c r="H103" s="201">
        <f t="shared" si="498"/>
        <v>45352</v>
      </c>
      <c r="I103" s="201">
        <f t="shared" si="498"/>
        <v>45383</v>
      </c>
      <c r="J103" s="201">
        <f t="shared" si="498"/>
        <v>45413</v>
      </c>
      <c r="K103" s="201">
        <f t="shared" si="498"/>
        <v>45444</v>
      </c>
      <c r="L103" s="201">
        <f t="shared" si="498"/>
        <v>45474</v>
      </c>
      <c r="M103" s="201">
        <f t="shared" si="498"/>
        <v>45505</v>
      </c>
      <c r="N103" s="201">
        <f t="shared" si="498"/>
        <v>45536</v>
      </c>
      <c r="O103" s="201">
        <f t="shared" si="498"/>
        <v>45566</v>
      </c>
      <c r="P103" s="201">
        <f t="shared" si="498"/>
        <v>45597</v>
      </c>
      <c r="Q103" s="201">
        <f t="shared" si="498"/>
        <v>45627</v>
      </c>
      <c r="R103" s="201">
        <f t="shared" si="498"/>
        <v>45658</v>
      </c>
      <c r="S103" s="201">
        <f t="shared" si="498"/>
        <v>45689</v>
      </c>
      <c r="T103" s="201">
        <f t="shared" si="498"/>
        <v>45717</v>
      </c>
      <c r="U103" s="201">
        <f t="shared" si="498"/>
        <v>45748</v>
      </c>
      <c r="V103" s="201">
        <f t="shared" si="498"/>
        <v>45778</v>
      </c>
      <c r="W103" s="201">
        <f t="shared" si="498"/>
        <v>45809</v>
      </c>
      <c r="X103" s="201">
        <f t="shared" si="498"/>
        <v>45839</v>
      </c>
      <c r="Y103" s="201">
        <f t="shared" si="498"/>
        <v>45870</v>
      </c>
      <c r="Z103" s="201">
        <f t="shared" si="498"/>
        <v>45901</v>
      </c>
      <c r="AA103" s="201">
        <f t="shared" si="498"/>
        <v>45931</v>
      </c>
      <c r="AB103" s="201">
        <f t="shared" si="498"/>
        <v>45962</v>
      </c>
      <c r="AC103" s="201">
        <f t="shared" si="498"/>
        <v>45992</v>
      </c>
      <c r="AD103" s="201">
        <f t="shared" si="498"/>
        <v>46023</v>
      </c>
      <c r="AE103" s="201">
        <f t="shared" si="498"/>
        <v>46054</v>
      </c>
      <c r="AF103" s="201">
        <f t="shared" si="498"/>
        <v>46082</v>
      </c>
      <c r="AG103" s="201">
        <f t="shared" si="498"/>
        <v>46113</v>
      </c>
      <c r="AH103" s="201">
        <f t="shared" si="498"/>
        <v>46143</v>
      </c>
      <c r="AI103" s="201">
        <f t="shared" si="498"/>
        <v>46174</v>
      </c>
      <c r="AJ103" s="201">
        <f t="shared" si="498"/>
        <v>46204</v>
      </c>
      <c r="AK103" s="201">
        <f t="shared" si="498"/>
        <v>46235</v>
      </c>
      <c r="AL103" s="201">
        <f t="shared" ref="AL103:BU103" si="499">AL68</f>
        <v>46266</v>
      </c>
      <c r="AM103" s="201">
        <f t="shared" si="499"/>
        <v>46296</v>
      </c>
      <c r="AN103" s="201">
        <f t="shared" si="499"/>
        <v>46327</v>
      </c>
      <c r="AO103" s="201">
        <f t="shared" si="499"/>
        <v>46357</v>
      </c>
      <c r="AP103" s="201">
        <f t="shared" si="499"/>
        <v>46388</v>
      </c>
      <c r="AQ103" s="201">
        <f t="shared" si="499"/>
        <v>46419</v>
      </c>
      <c r="AR103" s="201">
        <f t="shared" si="499"/>
        <v>46447</v>
      </c>
      <c r="AS103" s="201">
        <f t="shared" si="499"/>
        <v>46478</v>
      </c>
      <c r="AT103" s="201">
        <f t="shared" si="499"/>
        <v>46508</v>
      </c>
      <c r="AU103" s="201">
        <f t="shared" si="499"/>
        <v>46539</v>
      </c>
      <c r="AV103" s="201">
        <f t="shared" si="499"/>
        <v>46569</v>
      </c>
      <c r="AW103" s="201">
        <f t="shared" si="499"/>
        <v>46600</v>
      </c>
      <c r="AX103" s="201">
        <f t="shared" si="499"/>
        <v>46631</v>
      </c>
      <c r="AY103" s="201">
        <f t="shared" si="499"/>
        <v>46661</v>
      </c>
      <c r="AZ103" s="201">
        <f t="shared" si="499"/>
        <v>46692</v>
      </c>
      <c r="BA103" s="201">
        <f t="shared" si="499"/>
        <v>46722</v>
      </c>
      <c r="BB103" s="201">
        <f t="shared" si="499"/>
        <v>46753</v>
      </c>
      <c r="BC103" s="201">
        <f t="shared" si="499"/>
        <v>46784</v>
      </c>
      <c r="BD103" s="201">
        <f t="shared" si="499"/>
        <v>46813</v>
      </c>
      <c r="BE103" s="201">
        <f t="shared" si="499"/>
        <v>46844</v>
      </c>
      <c r="BF103" s="201">
        <f t="shared" si="499"/>
        <v>46874</v>
      </c>
      <c r="BG103" s="201">
        <f t="shared" si="499"/>
        <v>46905</v>
      </c>
      <c r="BH103" s="201">
        <f t="shared" si="499"/>
        <v>46935</v>
      </c>
      <c r="BI103" s="201">
        <f t="shared" si="499"/>
        <v>46966</v>
      </c>
      <c r="BJ103" s="201">
        <f t="shared" si="499"/>
        <v>46997</v>
      </c>
      <c r="BK103" s="201">
        <f t="shared" si="499"/>
        <v>47027</v>
      </c>
      <c r="BL103" s="201">
        <f t="shared" si="499"/>
        <v>47058</v>
      </c>
      <c r="BM103" s="201">
        <f t="shared" si="499"/>
        <v>47088</v>
      </c>
      <c r="BN103" s="201">
        <f t="shared" si="499"/>
        <v>47119</v>
      </c>
      <c r="BO103" s="201">
        <f t="shared" si="499"/>
        <v>47150</v>
      </c>
      <c r="BP103" s="201">
        <f t="shared" si="499"/>
        <v>47178</v>
      </c>
      <c r="BQ103" s="201">
        <f t="shared" si="499"/>
        <v>47209</v>
      </c>
      <c r="BR103" s="201">
        <f t="shared" si="499"/>
        <v>47239</v>
      </c>
      <c r="BS103" s="201">
        <f t="shared" si="499"/>
        <v>47270</v>
      </c>
      <c r="BT103" s="201">
        <f t="shared" si="499"/>
        <v>47300</v>
      </c>
      <c r="BU103" s="201">
        <f t="shared" si="499"/>
        <v>47331</v>
      </c>
      <c r="BV103" s="201">
        <f t="shared" ref="BV103:BX103" si="500">BV68</f>
        <v>47362</v>
      </c>
      <c r="BW103" s="201">
        <f t="shared" si="500"/>
        <v>47392</v>
      </c>
      <c r="BX103" s="201">
        <f t="shared" si="500"/>
        <v>47423</v>
      </c>
      <c r="BY103" s="201">
        <f t="shared" ref="BY103:CK103" si="501">BY68</f>
        <v>47453</v>
      </c>
      <c r="BZ103" s="201">
        <f t="shared" si="501"/>
        <v>47484</v>
      </c>
      <c r="CA103" s="201">
        <f t="shared" si="501"/>
        <v>47515</v>
      </c>
      <c r="CB103" s="201">
        <f t="shared" si="501"/>
        <v>47543</v>
      </c>
      <c r="CC103" s="201">
        <f t="shared" si="501"/>
        <v>47574</v>
      </c>
      <c r="CD103" s="201">
        <f t="shared" si="501"/>
        <v>47604</v>
      </c>
      <c r="CE103" s="201">
        <f t="shared" si="501"/>
        <v>47635</v>
      </c>
      <c r="CF103" s="201">
        <f t="shared" si="501"/>
        <v>47665</v>
      </c>
      <c r="CG103" s="201">
        <f t="shared" si="501"/>
        <v>47696</v>
      </c>
      <c r="CH103" s="201">
        <f t="shared" si="501"/>
        <v>47727</v>
      </c>
      <c r="CI103" s="201">
        <f t="shared" si="501"/>
        <v>47757</v>
      </c>
      <c r="CJ103" s="201">
        <f t="shared" si="501"/>
        <v>47788</v>
      </c>
      <c r="CK103" s="201">
        <f t="shared" si="501"/>
        <v>47818</v>
      </c>
      <c r="CO103" s="202">
        <f>CO68</f>
        <v>2024</v>
      </c>
      <c r="CP103" s="202">
        <f t="shared" ref="CP103" si="502">CO103+1</f>
        <v>2025</v>
      </c>
      <c r="CQ103" s="202">
        <f t="shared" ref="CQ103" si="503">CP103+1</f>
        <v>2026</v>
      </c>
      <c r="CR103" s="202">
        <f>CQ103+1</f>
        <v>2027</v>
      </c>
      <c r="CS103" s="202">
        <f>CR103+1</f>
        <v>2028</v>
      </c>
      <c r="CT103" s="202">
        <f t="shared" ref="CT103:CU103" si="504">CS103+1</f>
        <v>2029</v>
      </c>
      <c r="CU103" s="202">
        <f t="shared" si="504"/>
        <v>2030</v>
      </c>
    </row>
    <row r="104" spans="2:99" outlineLevel="1" x14ac:dyDescent="0.2">
      <c r="B104" s="92" t="s">
        <v>43</v>
      </c>
      <c r="C104" s="215" t="s">
        <v>39</v>
      </c>
      <c r="D104" s="216">
        <v>0.05</v>
      </c>
      <c r="E104" s="211">
        <v>0.04</v>
      </c>
      <c r="F104" s="22">
        <v>1259.3822399999999</v>
      </c>
      <c r="G104" s="22">
        <v>1313.2336699999998</v>
      </c>
      <c r="H104" s="22">
        <v>1346.1668199999999</v>
      </c>
      <c r="I104" s="22">
        <v>1363.7264399999999</v>
      </c>
      <c r="J104" s="22">
        <v>1063.50569</v>
      </c>
      <c r="K104" s="22">
        <v>1608.5838999999999</v>
      </c>
      <c r="L104" s="22">
        <v>1860.5275300000001</v>
      </c>
      <c r="M104" s="22">
        <v>1828.2829300000001</v>
      </c>
      <c r="N104" s="22">
        <v>1829.5288800000001</v>
      </c>
      <c r="O104" s="22">
        <v>1944.14075</v>
      </c>
      <c r="P104" s="22">
        <v>1537.3496500000001</v>
      </c>
      <c r="Q104" s="22">
        <v>1952.9118000000001</v>
      </c>
      <c r="R104" s="256">
        <v>1186</v>
      </c>
      <c r="S104" s="256">
        <v>1079</v>
      </c>
      <c r="T104" s="256">
        <v>1192</v>
      </c>
      <c r="U104" s="256">
        <v>1352</v>
      </c>
      <c r="V104" s="256">
        <v>1180</v>
      </c>
      <c r="W104" s="256">
        <v>1490</v>
      </c>
      <c r="X104" s="22">
        <f t="shared" ref="X104:Z104" si="505">X$47*$D104</f>
        <v>2821.7647495000001</v>
      </c>
      <c r="Y104" s="22">
        <f t="shared" si="505"/>
        <v>2760.2400625000005</v>
      </c>
      <c r="Z104" s="22">
        <f t="shared" si="505"/>
        <v>2801.5157070000005</v>
      </c>
      <c r="AA104" s="245">
        <f>R104</f>
        <v>1186</v>
      </c>
      <c r="AB104" s="245">
        <f t="shared" ref="AB104:AC104" si="506">S104</f>
        <v>1079</v>
      </c>
      <c r="AC104" s="245">
        <f t="shared" si="506"/>
        <v>1192</v>
      </c>
      <c r="AD104" s="22">
        <f>IF(AD$47*$E104&lt;7500,AD$47*$E104,7500)</f>
        <v>1527.0810800000002</v>
      </c>
      <c r="AE104" s="22">
        <f>IF(AE$47*$E104&lt;6000,AE$47*$E104,6000)</f>
        <v>1614.17428</v>
      </c>
      <c r="AF104" s="22">
        <f t="shared" ref="AF104:AP104" si="507">IF(AF$47*$E104&lt;6000,AF$47*$E104,6000)</f>
        <v>2017.4519199999997</v>
      </c>
      <c r="AG104" s="22">
        <f t="shared" si="507"/>
        <v>2004</v>
      </c>
      <c r="AH104" s="22">
        <f t="shared" si="507"/>
        <v>2084</v>
      </c>
      <c r="AI104" s="22">
        <f t="shared" si="507"/>
        <v>2128</v>
      </c>
      <c r="AJ104" s="22">
        <f t="shared" si="507"/>
        <v>2260</v>
      </c>
      <c r="AK104" s="22">
        <f t="shared" si="507"/>
        <v>3040</v>
      </c>
      <c r="AL104" s="22">
        <f t="shared" si="507"/>
        <v>3400</v>
      </c>
      <c r="AM104" s="22">
        <f t="shared" si="507"/>
        <v>3409.6</v>
      </c>
      <c r="AN104" s="22">
        <f t="shared" si="507"/>
        <v>3612.8</v>
      </c>
      <c r="AO104" s="22">
        <f t="shared" si="507"/>
        <v>4315</v>
      </c>
      <c r="AP104" s="22">
        <f t="shared" si="507"/>
        <v>3717.05</v>
      </c>
      <c r="AQ104" s="22">
        <f>IF(AQ$47*$E104&lt;6000,AQ$47*$E104,7000)</f>
        <v>4334.1145833333339</v>
      </c>
      <c r="AR104" s="22">
        <f t="shared" ref="AR104:CK104" si="508">IF(AR$47*$E104&lt;6000,AR$47*$E104,7000)</f>
        <v>5243.6342592592582</v>
      </c>
      <c r="AS104" s="22">
        <f t="shared" si="508"/>
        <v>5650.9124029527811</v>
      </c>
      <c r="AT104" s="22">
        <f t="shared" si="508"/>
        <v>5886.3670864091473</v>
      </c>
      <c r="AU104" s="22">
        <f t="shared" si="508"/>
        <v>7000</v>
      </c>
      <c r="AV104" s="22">
        <f t="shared" si="508"/>
        <v>7000</v>
      </c>
      <c r="AW104" s="22">
        <f t="shared" si="508"/>
        <v>5822.4116445827576</v>
      </c>
      <c r="AX104" s="22">
        <f t="shared" si="508"/>
        <v>5647.7392952452756</v>
      </c>
      <c r="AY104" s="22">
        <f t="shared" si="508"/>
        <v>5478.3071163879176</v>
      </c>
      <c r="AZ104" s="22">
        <f t="shared" si="508"/>
        <v>5204.3917605685201</v>
      </c>
      <c r="BA104" s="22">
        <f t="shared" si="508"/>
        <v>7000</v>
      </c>
      <c r="BB104" s="22">
        <f t="shared" si="508"/>
        <v>4307.4912655293128</v>
      </c>
      <c r="BC104" s="22">
        <f t="shared" si="508"/>
        <v>5042.7106640625007</v>
      </c>
      <c r="BD104" s="22">
        <f t="shared" si="508"/>
        <v>7000</v>
      </c>
      <c r="BE104" s="22">
        <f t="shared" si="508"/>
        <v>7000</v>
      </c>
      <c r="BF104" s="22">
        <f t="shared" si="508"/>
        <v>7000</v>
      </c>
      <c r="BG104" s="22">
        <f t="shared" si="508"/>
        <v>7000</v>
      </c>
      <c r="BH104" s="22">
        <f t="shared" si="508"/>
        <v>7000</v>
      </c>
      <c r="BI104" s="22">
        <f t="shared" si="508"/>
        <v>7000</v>
      </c>
      <c r="BJ104" s="22">
        <f t="shared" si="508"/>
        <v>7000</v>
      </c>
      <c r="BK104" s="22">
        <f t="shared" si="508"/>
        <v>7000</v>
      </c>
      <c r="BL104" s="22">
        <f t="shared" si="508"/>
        <v>7000</v>
      </c>
      <c r="BM104" s="22">
        <f t="shared" si="508"/>
        <v>7000</v>
      </c>
      <c r="BN104" s="22">
        <f t="shared" si="508"/>
        <v>5015.8206839968316</v>
      </c>
      <c r="BO104" s="22">
        <f t="shared" si="508"/>
        <v>5867.3094042128923</v>
      </c>
      <c r="BP104" s="22">
        <f t="shared" si="508"/>
        <v>7000</v>
      </c>
      <c r="BQ104" s="22">
        <f t="shared" si="508"/>
        <v>7000</v>
      </c>
      <c r="BR104" s="22">
        <f t="shared" si="508"/>
        <v>7000</v>
      </c>
      <c r="BS104" s="22">
        <f t="shared" si="508"/>
        <v>7000</v>
      </c>
      <c r="BT104" s="22">
        <f t="shared" si="508"/>
        <v>7000</v>
      </c>
      <c r="BU104" s="22">
        <f t="shared" si="508"/>
        <v>7000</v>
      </c>
      <c r="BV104" s="22">
        <f t="shared" si="508"/>
        <v>7000</v>
      </c>
      <c r="BW104" s="22">
        <f t="shared" si="508"/>
        <v>7000</v>
      </c>
      <c r="BX104" s="22">
        <f t="shared" si="508"/>
        <v>7000</v>
      </c>
      <c r="BY104" s="22">
        <f t="shared" si="508"/>
        <v>7000</v>
      </c>
      <c r="BZ104" s="22">
        <f t="shared" si="508"/>
        <v>5710.0721274845664</v>
      </c>
      <c r="CA104" s="22">
        <f t="shared" si="508"/>
        <v>7000</v>
      </c>
      <c r="CB104" s="22">
        <f t="shared" si="508"/>
        <v>7000</v>
      </c>
      <c r="CC104" s="22">
        <f t="shared" si="508"/>
        <v>7000</v>
      </c>
      <c r="CD104" s="22">
        <f t="shared" si="508"/>
        <v>7000</v>
      </c>
      <c r="CE104" s="22">
        <f t="shared" si="508"/>
        <v>7000</v>
      </c>
      <c r="CF104" s="22">
        <f t="shared" si="508"/>
        <v>7000</v>
      </c>
      <c r="CG104" s="22">
        <f t="shared" si="508"/>
        <v>7000</v>
      </c>
      <c r="CH104" s="22">
        <f t="shared" si="508"/>
        <v>7000</v>
      </c>
      <c r="CI104" s="22">
        <f t="shared" si="508"/>
        <v>7000</v>
      </c>
      <c r="CJ104" s="22">
        <f t="shared" si="508"/>
        <v>7000</v>
      </c>
      <c r="CK104" s="22">
        <f t="shared" si="508"/>
        <v>7000</v>
      </c>
      <c r="CO104" s="10">
        <f>SUMIF($F$2:$CK$2,CO$3,$F104:$CK104)</f>
        <v>18907.3403</v>
      </c>
      <c r="CP104" s="10">
        <f t="shared" ref="CP104:CS106" si="509">SUMIF($L$2:$CK$2,CP$3,$L104:$CK104)</f>
        <v>19319.520519000002</v>
      </c>
      <c r="CQ104" s="10">
        <f t="shared" si="509"/>
        <v>31412.107279999997</v>
      </c>
      <c r="CR104" s="10">
        <f t="shared" si="509"/>
        <v>67984.928148739011</v>
      </c>
      <c r="CS104" s="10">
        <f t="shared" si="509"/>
        <v>79350.201929591814</v>
      </c>
      <c r="CT104" s="10">
        <f t="shared" ref="CT104:CU106" si="510">SUMIF($L$2:$CK$2,CT$3,$L104:$CK104)</f>
        <v>80883.130088209728</v>
      </c>
      <c r="CU104" s="10">
        <f t="shared" si="510"/>
        <v>82710.072127484571</v>
      </c>
    </row>
    <row r="105" spans="2:99" outlineLevel="1" x14ac:dyDescent="0.2">
      <c r="B105" s="92" t="s">
        <v>44</v>
      </c>
      <c r="C105" s="217" t="s">
        <v>4</v>
      </c>
      <c r="D105" s="218"/>
      <c r="E105" s="9"/>
      <c r="F105" s="22">
        <v>636.09933000000001</v>
      </c>
      <c r="G105" s="22">
        <v>616.75013999999999</v>
      </c>
      <c r="H105" s="22">
        <v>611.61205000000007</v>
      </c>
      <c r="I105" s="22">
        <v>602.47272999999996</v>
      </c>
      <c r="J105" s="22">
        <v>612.51700000000005</v>
      </c>
      <c r="K105" s="22">
        <v>677.48779000000002</v>
      </c>
      <c r="L105" s="22">
        <v>678.43252000000007</v>
      </c>
      <c r="M105" s="22">
        <v>400.51991999999996</v>
      </c>
      <c r="N105" s="22">
        <v>406.91906</v>
      </c>
      <c r="O105" s="22">
        <v>473.40751999999998</v>
      </c>
      <c r="P105" s="22">
        <v>626.34886999999992</v>
      </c>
      <c r="Q105" s="22">
        <v>671.04537999999991</v>
      </c>
      <c r="R105" s="8">
        <v>600</v>
      </c>
      <c r="S105" s="8">
        <v>700</v>
      </c>
      <c r="T105" s="8">
        <f>S105</f>
        <v>700</v>
      </c>
      <c r="U105" s="8">
        <f t="shared" ref="U105:AW105" si="511">T105</f>
        <v>700</v>
      </c>
      <c r="V105" s="8">
        <f t="shared" si="511"/>
        <v>700</v>
      </c>
      <c r="W105" s="8">
        <f>V105</f>
        <v>700</v>
      </c>
      <c r="X105" s="8">
        <f t="shared" si="511"/>
        <v>700</v>
      </c>
      <c r="Y105" s="8">
        <f t="shared" si="511"/>
        <v>700</v>
      </c>
      <c r="Z105" s="8">
        <f t="shared" si="511"/>
        <v>700</v>
      </c>
      <c r="AA105" s="8">
        <f t="shared" si="511"/>
        <v>700</v>
      </c>
      <c r="AB105" s="8">
        <f t="shared" si="511"/>
        <v>700</v>
      </c>
      <c r="AC105" s="8">
        <f t="shared" si="511"/>
        <v>700</v>
      </c>
      <c r="AD105" s="8">
        <f>AC105*1.07</f>
        <v>749</v>
      </c>
      <c r="AE105" s="8">
        <f t="shared" si="511"/>
        <v>749</v>
      </c>
      <c r="AF105" s="8">
        <f t="shared" si="511"/>
        <v>749</v>
      </c>
      <c r="AG105" s="8">
        <f t="shared" si="511"/>
        <v>749</v>
      </c>
      <c r="AH105" s="8">
        <f t="shared" si="511"/>
        <v>749</v>
      </c>
      <c r="AI105" s="8">
        <f t="shared" si="511"/>
        <v>749</v>
      </c>
      <c r="AJ105" s="8">
        <f t="shared" si="511"/>
        <v>749</v>
      </c>
      <c r="AK105" s="8">
        <f t="shared" si="511"/>
        <v>749</v>
      </c>
      <c r="AL105" s="8">
        <f t="shared" si="511"/>
        <v>749</v>
      </c>
      <c r="AM105" s="8">
        <f t="shared" si="511"/>
        <v>749</v>
      </c>
      <c r="AN105" s="8">
        <f t="shared" si="511"/>
        <v>749</v>
      </c>
      <c r="AO105" s="8">
        <f t="shared" si="511"/>
        <v>749</v>
      </c>
      <c r="AP105" s="452">
        <f>AO105*1.07</f>
        <v>801.43000000000006</v>
      </c>
      <c r="AQ105" s="452">
        <f t="shared" si="511"/>
        <v>801.43000000000006</v>
      </c>
      <c r="AR105" s="452">
        <f t="shared" si="511"/>
        <v>801.43000000000006</v>
      </c>
      <c r="AS105" s="452">
        <f t="shared" si="511"/>
        <v>801.43000000000006</v>
      </c>
      <c r="AT105" s="452">
        <f t="shared" si="511"/>
        <v>801.43000000000006</v>
      </c>
      <c r="AU105" s="452">
        <f t="shared" si="511"/>
        <v>801.43000000000006</v>
      </c>
      <c r="AV105" s="452">
        <f t="shared" si="511"/>
        <v>801.43000000000006</v>
      </c>
      <c r="AW105" s="452">
        <f t="shared" si="511"/>
        <v>801.43000000000006</v>
      </c>
      <c r="AX105" s="452">
        <f t="shared" ref="AX105" si="512">AW105</f>
        <v>801.43000000000006</v>
      </c>
      <c r="AY105" s="452">
        <f t="shared" ref="AY105" si="513">AX105</f>
        <v>801.43000000000006</v>
      </c>
      <c r="AZ105" s="452">
        <f t="shared" ref="AZ105" si="514">AY105</f>
        <v>801.43000000000006</v>
      </c>
      <c r="BA105" s="452">
        <f t="shared" ref="BA105" si="515">AZ105</f>
        <v>801.43000000000006</v>
      </c>
      <c r="BB105" s="452">
        <f>BA105*1.07</f>
        <v>857.53010000000006</v>
      </c>
      <c r="BC105" s="452">
        <f t="shared" ref="BC105" si="516">BB105</f>
        <v>857.53010000000006</v>
      </c>
      <c r="BD105" s="452">
        <f t="shared" ref="BD105" si="517">BC105</f>
        <v>857.53010000000006</v>
      </c>
      <c r="BE105" s="452">
        <f t="shared" ref="BE105" si="518">BD105</f>
        <v>857.53010000000006</v>
      </c>
      <c r="BF105" s="452">
        <f t="shared" ref="BF105" si="519">BE105</f>
        <v>857.53010000000006</v>
      </c>
      <c r="BG105" s="452">
        <f t="shared" ref="BG105" si="520">BF105</f>
        <v>857.53010000000006</v>
      </c>
      <c r="BH105" s="452">
        <f t="shared" ref="BH105" si="521">BG105</f>
        <v>857.53010000000006</v>
      </c>
      <c r="BI105" s="452">
        <f t="shared" ref="BI105" si="522">BH105</f>
        <v>857.53010000000006</v>
      </c>
      <c r="BJ105" s="452">
        <f t="shared" ref="BJ105" si="523">BI105</f>
        <v>857.53010000000006</v>
      </c>
      <c r="BK105" s="452">
        <f t="shared" ref="BK105" si="524">BJ105</f>
        <v>857.53010000000006</v>
      </c>
      <c r="BL105" s="452">
        <f t="shared" ref="BL105" si="525">BK105</f>
        <v>857.53010000000006</v>
      </c>
      <c r="BM105" s="452">
        <f t="shared" ref="BM105" si="526">BL105</f>
        <v>857.53010000000006</v>
      </c>
      <c r="BN105" s="452">
        <f>BM105*1.07</f>
        <v>917.55720700000006</v>
      </c>
      <c r="BO105" s="452">
        <f t="shared" ref="BO105" si="527">BN105</f>
        <v>917.55720700000006</v>
      </c>
      <c r="BP105" s="452">
        <f t="shared" ref="BP105" si="528">BO105</f>
        <v>917.55720700000006</v>
      </c>
      <c r="BQ105" s="397">
        <f t="shared" ref="BQ105" si="529">BP105</f>
        <v>917.55720700000006</v>
      </c>
      <c r="BR105" s="397">
        <f t="shared" ref="BR105" si="530">BQ105</f>
        <v>917.55720700000006</v>
      </c>
      <c r="BS105" s="397">
        <f t="shared" ref="BS105" si="531">BR105</f>
        <v>917.55720700000006</v>
      </c>
      <c r="BT105" s="397">
        <f t="shared" ref="BT105" si="532">BS105</f>
        <v>917.55720700000006</v>
      </c>
      <c r="BU105" s="397">
        <f t="shared" ref="BU105" si="533">BT105</f>
        <v>917.55720700000006</v>
      </c>
      <c r="BV105" s="397">
        <f t="shared" ref="BV105" si="534">BU105</f>
        <v>917.55720700000006</v>
      </c>
      <c r="BW105" s="397">
        <f t="shared" ref="BW105" si="535">BV105</f>
        <v>917.55720700000006</v>
      </c>
      <c r="BX105" s="397">
        <f t="shared" ref="BX105" si="536">BW105</f>
        <v>917.55720700000006</v>
      </c>
      <c r="BY105" s="397">
        <f t="shared" ref="BY105" si="537">BX105</f>
        <v>917.55720700000006</v>
      </c>
      <c r="BZ105" s="397">
        <f t="shared" ref="BZ105" si="538">BY105</f>
        <v>917.55720700000006</v>
      </c>
      <c r="CA105" s="397">
        <f t="shared" ref="CA105" si="539">BZ105</f>
        <v>917.55720700000006</v>
      </c>
      <c r="CB105" s="397">
        <f t="shared" ref="CB105" si="540">CA105</f>
        <v>917.55720700000006</v>
      </c>
      <c r="CC105" s="397">
        <f t="shared" ref="CC105" si="541">CB105</f>
        <v>917.55720700000006</v>
      </c>
      <c r="CD105" s="397">
        <f t="shared" ref="CD105" si="542">CC105</f>
        <v>917.55720700000006</v>
      </c>
      <c r="CE105" s="397">
        <f t="shared" ref="CE105" si="543">CD105</f>
        <v>917.55720700000006</v>
      </c>
      <c r="CF105" s="397">
        <f t="shared" ref="CF105" si="544">CE105</f>
        <v>917.55720700000006</v>
      </c>
      <c r="CG105" s="397">
        <f t="shared" ref="CG105" si="545">CF105</f>
        <v>917.55720700000006</v>
      </c>
      <c r="CH105" s="397">
        <f t="shared" ref="CH105" si="546">CG105</f>
        <v>917.55720700000006</v>
      </c>
      <c r="CI105" s="397">
        <f t="shared" ref="CI105" si="547">CH105</f>
        <v>917.55720700000006</v>
      </c>
      <c r="CJ105" s="397">
        <f t="shared" ref="CJ105" si="548">CI105</f>
        <v>917.55720700000006</v>
      </c>
      <c r="CK105" s="397">
        <f t="shared" ref="CK105" si="549">CJ105</f>
        <v>917.55720700000006</v>
      </c>
      <c r="CO105" s="10">
        <f>SUMIF($F$2:$CK$2,CO$3,$F105:$CK105)</f>
        <v>7013.6123099999995</v>
      </c>
      <c r="CP105" s="10">
        <f t="shared" si="509"/>
        <v>8300</v>
      </c>
      <c r="CQ105" s="10">
        <f t="shared" si="509"/>
        <v>8988</v>
      </c>
      <c r="CR105" s="10">
        <f t="shared" si="509"/>
        <v>9617.1600000000017</v>
      </c>
      <c r="CS105" s="10">
        <f t="shared" si="509"/>
        <v>10290.361200000001</v>
      </c>
      <c r="CT105" s="10">
        <f t="shared" si="510"/>
        <v>11010.686484</v>
      </c>
      <c r="CU105" s="10">
        <f t="shared" si="510"/>
        <v>11010.686484</v>
      </c>
    </row>
    <row r="106" spans="2:99" outlineLevel="1" x14ac:dyDescent="0.2">
      <c r="B106" s="92" t="s">
        <v>17</v>
      </c>
      <c r="C106" s="217" t="s">
        <v>4</v>
      </c>
      <c r="D106" s="218"/>
      <c r="E106" s="9"/>
      <c r="F106" s="22">
        <v>137.15692999999999</v>
      </c>
      <c r="G106" s="22">
        <v>203.71554999999998</v>
      </c>
      <c r="H106" s="22">
        <v>194.35084000000001</v>
      </c>
      <c r="I106" s="22">
        <v>236.90863000000002</v>
      </c>
      <c r="J106" s="22">
        <v>265.74756000000002</v>
      </c>
      <c r="K106" s="22">
        <v>231.68624</v>
      </c>
      <c r="L106" s="22">
        <v>287.27243000000004</v>
      </c>
      <c r="M106" s="22">
        <v>228.39128999999997</v>
      </c>
      <c r="N106" s="22">
        <v>238.53177000000002</v>
      </c>
      <c r="O106" s="22">
        <v>251.386</v>
      </c>
      <c r="P106" s="22">
        <v>255.89301</v>
      </c>
      <c r="Q106" s="22">
        <v>212.52423999999999</v>
      </c>
      <c r="R106" s="10">
        <f t="shared" ref="R106:AW106" si="550">R47*R107</f>
        <v>349.37258312091075</v>
      </c>
      <c r="S106" s="10">
        <f t="shared" si="550"/>
        <v>273.51617445596185</v>
      </c>
      <c r="T106" s="10">
        <f t="shared" si="550"/>
        <v>371.07268632997415</v>
      </c>
      <c r="U106" s="10">
        <f t="shared" si="550"/>
        <v>274.58569658169171</v>
      </c>
      <c r="V106" s="10">
        <f t="shared" si="550"/>
        <v>259.54715165611566</v>
      </c>
      <c r="W106" s="10">
        <f t="shared" si="550"/>
        <v>281.75600569040375</v>
      </c>
      <c r="X106" s="10">
        <f t="shared" si="550"/>
        <v>363.18629029537516</v>
      </c>
      <c r="Y106" s="10">
        <f t="shared" si="550"/>
        <v>318.18068927058749</v>
      </c>
      <c r="Z106" s="10">
        <f t="shared" si="550"/>
        <v>307.95760032257897</v>
      </c>
      <c r="AA106" s="10">
        <f t="shared" si="550"/>
        <v>280.27868399039454</v>
      </c>
      <c r="AB106" s="10">
        <f t="shared" si="550"/>
        <v>300.02287419830537</v>
      </c>
      <c r="AC106" s="10">
        <f t="shared" si="550"/>
        <v>294.73023863812239</v>
      </c>
      <c r="AD106" s="10">
        <f t="shared" si="550"/>
        <v>237.57155451495134</v>
      </c>
      <c r="AE106" s="10">
        <f t="shared" si="550"/>
        <v>221.9626069121673</v>
      </c>
      <c r="AF106" s="10">
        <f t="shared" si="550"/>
        <v>267.99995618031278</v>
      </c>
      <c r="AG106" s="10">
        <f t="shared" si="550"/>
        <v>232.65012403813702</v>
      </c>
      <c r="AH106" s="10">
        <f t="shared" si="550"/>
        <v>236.3668359807325</v>
      </c>
      <c r="AI106" s="10">
        <f t="shared" si="550"/>
        <v>252.56692607796103</v>
      </c>
      <c r="AJ106" s="10">
        <f t="shared" si="550"/>
        <v>280.33932080362308</v>
      </c>
      <c r="AK106" s="10">
        <f t="shared" si="550"/>
        <v>341.32114199156842</v>
      </c>
      <c r="AL106" s="10">
        <f t="shared" si="550"/>
        <v>363.91242271601391</v>
      </c>
      <c r="AM106" s="10">
        <f t="shared" si="550"/>
        <v>354.84565323434845</v>
      </c>
      <c r="AN106" s="10">
        <f t="shared" si="550"/>
        <v>408.07705626595555</v>
      </c>
      <c r="AO106" s="10">
        <f t="shared" si="550"/>
        <v>487.39274185883477</v>
      </c>
      <c r="AP106" s="452">
        <f t="shared" si="550"/>
        <v>419.85241972801435</v>
      </c>
      <c r="AQ106" s="452">
        <f t="shared" si="550"/>
        <v>489.55179381255965</v>
      </c>
      <c r="AR106" s="452">
        <f t="shared" si="550"/>
        <v>592.2848850348297</v>
      </c>
      <c r="AS106" s="452">
        <f t="shared" si="550"/>
        <v>638.28822481558575</v>
      </c>
      <c r="AT106" s="452">
        <f t="shared" si="550"/>
        <v>664.88356751623519</v>
      </c>
      <c r="AU106" s="452">
        <f t="shared" si="550"/>
        <v>678.45261991452571</v>
      </c>
      <c r="AV106" s="452">
        <f t="shared" si="550"/>
        <v>692.29859174951605</v>
      </c>
      <c r="AW106" s="452">
        <f t="shared" si="550"/>
        <v>657.65960039026595</v>
      </c>
      <c r="AX106" s="452">
        <f t="shared" ref="AX106:BX106" si="551">AX47*AX107</f>
        <v>637.92981237855804</v>
      </c>
      <c r="AY106" s="452">
        <f t="shared" si="551"/>
        <v>618.79191800720128</v>
      </c>
      <c r="AZ106" s="452">
        <f t="shared" si="551"/>
        <v>587.85232210684103</v>
      </c>
      <c r="BA106" s="452">
        <f t="shared" si="551"/>
        <v>783.80309614245493</v>
      </c>
      <c r="BB106" s="452">
        <f t="shared" si="551"/>
        <v>486.54460682255245</v>
      </c>
      <c r="BC106" s="452">
        <f t="shared" si="551"/>
        <v>569.58993672264376</v>
      </c>
      <c r="BD106" s="452">
        <f t="shared" si="551"/>
        <v>688.73761736052688</v>
      </c>
      <c r="BE106" s="452">
        <f t="shared" si="551"/>
        <v>742.03185632295026</v>
      </c>
      <c r="BF106" s="452">
        <f t="shared" si="551"/>
        <v>772.9498503364066</v>
      </c>
      <c r="BG106" s="452">
        <f t="shared" si="551"/>
        <v>788.72433707796597</v>
      </c>
      <c r="BH106" s="452">
        <f t="shared" si="551"/>
        <v>804.82075212037341</v>
      </c>
      <c r="BI106" s="452">
        <f t="shared" si="551"/>
        <v>764.64791872078513</v>
      </c>
      <c r="BJ106" s="452">
        <f t="shared" si="551"/>
        <v>741.70848115916135</v>
      </c>
      <c r="BK106" s="452">
        <f t="shared" si="551"/>
        <v>719.4572267243866</v>
      </c>
      <c r="BL106" s="452">
        <f t="shared" si="551"/>
        <v>692.98339411778659</v>
      </c>
      <c r="BM106" s="452">
        <f t="shared" si="551"/>
        <v>911.31248718422285</v>
      </c>
      <c r="BN106" s="452">
        <f t="shared" si="551"/>
        <v>566.55262939640124</v>
      </c>
      <c r="BO106" s="452">
        <f t="shared" si="551"/>
        <v>662.73094272385811</v>
      </c>
      <c r="BP106" s="452">
        <f t="shared" si="551"/>
        <v>800.91942600757034</v>
      </c>
      <c r="BQ106" s="10">
        <f t="shared" si="551"/>
        <v>862.66132799746674</v>
      </c>
      <c r="BR106" s="10">
        <f t="shared" si="551"/>
        <v>898.60554999736132</v>
      </c>
      <c r="BS106" s="10">
        <f t="shared" si="551"/>
        <v>916.94443877281765</v>
      </c>
      <c r="BT106" s="10">
        <f t="shared" si="551"/>
        <v>935.65759058450783</v>
      </c>
      <c r="BU106" s="10">
        <f t="shared" si="551"/>
        <v>889.06566242491738</v>
      </c>
      <c r="BV106" s="10">
        <f t="shared" si="551"/>
        <v>862.39369255216991</v>
      </c>
      <c r="BW106" s="10">
        <f t="shared" si="551"/>
        <v>848.18368936229444</v>
      </c>
      <c r="BX106" s="10">
        <f t="shared" si="551"/>
        <v>805.77450489417959</v>
      </c>
      <c r="BY106" s="10">
        <f t="shared" ref="BY106:CK106" si="552">BY47*BY107</f>
        <v>1059.7485711751419</v>
      </c>
      <c r="BZ106" s="10">
        <f t="shared" si="552"/>
        <v>644.97050067819532</v>
      </c>
      <c r="CA106" s="10">
        <f t="shared" si="552"/>
        <v>755.70864195520926</v>
      </c>
      <c r="CB106" s="10">
        <f t="shared" si="552"/>
        <v>914.40498552391546</v>
      </c>
      <c r="CC106" s="10">
        <f t="shared" si="552"/>
        <v>985.54633298175588</v>
      </c>
      <c r="CD106" s="10">
        <f t="shared" si="552"/>
        <v>1026.753330584389</v>
      </c>
      <c r="CE106" s="10">
        <f t="shared" si="552"/>
        <v>1047.8529567817502</v>
      </c>
      <c r="CF106" s="10">
        <f t="shared" si="552"/>
        <v>1069.3861565054578</v>
      </c>
      <c r="CG106" s="10">
        <f t="shared" si="552"/>
        <v>1016.0443091180166</v>
      </c>
      <c r="CH106" s="10">
        <f t="shared" si="552"/>
        <v>999.72447303161903</v>
      </c>
      <c r="CI106" s="10">
        <f t="shared" si="552"/>
        <v>969.86822104384305</v>
      </c>
      <c r="CJ106" s="10">
        <f t="shared" si="552"/>
        <v>921.50351808466473</v>
      </c>
      <c r="CK106" s="10">
        <f t="shared" si="552"/>
        <v>1211.6148243983207</v>
      </c>
      <c r="CO106" s="10">
        <f>SUMIF($F$2:$CK$2,CO$3,$F106:$CK106)</f>
        <v>2743.5644900000002</v>
      </c>
      <c r="CP106" s="10">
        <f t="shared" si="509"/>
        <v>3674.2066745504226</v>
      </c>
      <c r="CQ106" s="10">
        <f t="shared" si="509"/>
        <v>3685.0063405746055</v>
      </c>
      <c r="CR106" s="10">
        <f t="shared" si="509"/>
        <v>7461.6488515965875</v>
      </c>
      <c r="CS106" s="10">
        <f t="shared" si="509"/>
        <v>8683.5084646697615</v>
      </c>
      <c r="CT106" s="10">
        <f t="shared" si="510"/>
        <v>10109.238025888686</v>
      </c>
      <c r="CU106" s="10">
        <f t="shared" si="510"/>
        <v>11563.378250687138</v>
      </c>
    </row>
    <row r="107" spans="2:99" outlineLevel="2" x14ac:dyDescent="0.2">
      <c r="B107" s="99"/>
      <c r="C107" s="219" t="s">
        <v>39</v>
      </c>
      <c r="D107" s="220"/>
      <c r="E107" s="235" t="s">
        <v>321</v>
      </c>
      <c r="F107" s="221"/>
      <c r="G107" s="221"/>
      <c r="H107" s="221"/>
      <c r="I107" s="221"/>
      <c r="J107" s="221">
        <v>9.0394584099688802E-3</v>
      </c>
      <c r="K107" s="221">
        <v>9.0394584099688802E-3</v>
      </c>
      <c r="L107" s="221">
        <v>9.0394584099688802E-3</v>
      </c>
      <c r="M107" s="221">
        <v>7.8840666356135274E-3</v>
      </c>
      <c r="N107" s="221">
        <v>7.3689436255519733E-3</v>
      </c>
      <c r="O107" s="221">
        <v>6.9445275229464412E-3</v>
      </c>
      <c r="P107" s="221">
        <v>7.8531575381736041E-3</v>
      </c>
      <c r="Q107" s="221">
        <v>6.5127905717013365E-3</v>
      </c>
      <c r="R107" s="221">
        <v>8.548745775876096E-3</v>
      </c>
      <c r="S107" s="221">
        <v>7.2993862696282795E-3</v>
      </c>
      <c r="T107" s="221">
        <v>7.0921198642332284E-3</v>
      </c>
      <c r="U107" s="221">
        <v>6.6175421594457462E-3</v>
      </c>
      <c r="V107" s="221">
        <v>6.0704964475302471E-3</v>
      </c>
      <c r="W107" s="221">
        <v>6.4318960455614221E-3</v>
      </c>
      <c r="X107" s="221">
        <v>6.4354459449486295E-3</v>
      </c>
      <c r="Y107" s="221">
        <v>5.7636416048248602E-3</v>
      </c>
      <c r="Z107" s="221">
        <v>5.4962676017325457E-3</v>
      </c>
      <c r="AA107" s="221">
        <v>5.3155473014291814E-3</v>
      </c>
      <c r="AB107" s="221">
        <v>5.8386126477330122E-3</v>
      </c>
      <c r="AC107" s="221">
        <v>4.8880904650922471E-3</v>
      </c>
      <c r="AD107" s="221">
        <v>6.2228930114162986E-3</v>
      </c>
      <c r="AE107" s="221">
        <v>5.5003380901885593E-3</v>
      </c>
      <c r="AF107" s="221">
        <v>5.3136325782735441E-3</v>
      </c>
      <c r="AG107" s="221">
        <v>4.6437150506614174E-3</v>
      </c>
      <c r="AH107" s="221">
        <v>4.5367914775572456E-3</v>
      </c>
      <c r="AI107" s="221">
        <v>4.7474986104879893E-3</v>
      </c>
      <c r="AJ107" s="221">
        <v>4.9617578903296119E-3</v>
      </c>
      <c r="AK107" s="221">
        <v>4.4910676577837949E-3</v>
      </c>
      <c r="AL107" s="221">
        <v>4.2813226201883986E-3</v>
      </c>
      <c r="AM107" s="221">
        <v>4.1629006714494184E-3</v>
      </c>
      <c r="AN107" s="221">
        <v>4.5181250693750617E-3</v>
      </c>
      <c r="AO107" s="221">
        <f>AN107</f>
        <v>4.5181250693750617E-3</v>
      </c>
      <c r="AP107" s="221">
        <f t="shared" ref="AP107" si="553">AO107</f>
        <v>4.5181250693750617E-3</v>
      </c>
      <c r="AQ107" s="221">
        <f t="shared" ref="AQ107" si="554">AP107</f>
        <v>4.5181250693750617E-3</v>
      </c>
      <c r="AR107" s="221">
        <f t="shared" ref="AR107" si="555">AQ107</f>
        <v>4.5181250693750617E-3</v>
      </c>
      <c r="AS107" s="221">
        <f t="shared" ref="AS107" si="556">AR107</f>
        <v>4.5181250693750617E-3</v>
      </c>
      <c r="AT107" s="221">
        <f t="shared" ref="AT107" si="557">AS107</f>
        <v>4.5181250693750617E-3</v>
      </c>
      <c r="AU107" s="221">
        <f t="shared" ref="AU107" si="558">AT107</f>
        <v>4.5181250693750617E-3</v>
      </c>
      <c r="AV107" s="221">
        <f t="shared" ref="AV107" si="559">AU107</f>
        <v>4.5181250693750617E-3</v>
      </c>
      <c r="AW107" s="221">
        <f t="shared" ref="AW107" si="560">AV107</f>
        <v>4.5181250693750617E-3</v>
      </c>
      <c r="AX107" s="221">
        <f t="shared" ref="AX107" si="561">AW107</f>
        <v>4.5181250693750617E-3</v>
      </c>
      <c r="AY107" s="221">
        <f t="shared" ref="AY107" si="562">AX107</f>
        <v>4.5181250693750617E-3</v>
      </c>
      <c r="AZ107" s="221">
        <f t="shared" ref="AZ107" si="563">AY107</f>
        <v>4.5181250693750617E-3</v>
      </c>
      <c r="BA107" s="221">
        <f t="shared" ref="BA107" si="564">AZ107</f>
        <v>4.5181250693750617E-3</v>
      </c>
      <c r="BB107" s="221">
        <f t="shared" ref="BB107" si="565">BA107</f>
        <v>4.5181250693750617E-3</v>
      </c>
      <c r="BC107" s="221">
        <f t="shared" ref="BC107" si="566">BB107</f>
        <v>4.5181250693750617E-3</v>
      </c>
      <c r="BD107" s="221">
        <f t="shared" ref="BD107" si="567">BC107</f>
        <v>4.5181250693750617E-3</v>
      </c>
      <c r="BE107" s="221">
        <f t="shared" ref="BE107" si="568">BD107</f>
        <v>4.5181250693750617E-3</v>
      </c>
      <c r="BF107" s="221">
        <f t="shared" ref="BF107" si="569">BE107</f>
        <v>4.5181250693750617E-3</v>
      </c>
      <c r="BG107" s="221">
        <f t="shared" ref="BG107" si="570">BF107</f>
        <v>4.5181250693750617E-3</v>
      </c>
      <c r="BH107" s="221">
        <f t="shared" ref="BH107" si="571">BG107</f>
        <v>4.5181250693750617E-3</v>
      </c>
      <c r="BI107" s="221">
        <f t="shared" ref="BI107" si="572">BH107</f>
        <v>4.5181250693750617E-3</v>
      </c>
      <c r="BJ107" s="221">
        <f t="shared" ref="BJ107" si="573">BI107</f>
        <v>4.5181250693750617E-3</v>
      </c>
      <c r="BK107" s="221">
        <f t="shared" ref="BK107" si="574">BJ107</f>
        <v>4.5181250693750617E-3</v>
      </c>
      <c r="BL107" s="221">
        <f t="shared" ref="BL107" si="575">BK107</f>
        <v>4.5181250693750617E-3</v>
      </c>
      <c r="BM107" s="221">
        <f t="shared" ref="BM107" si="576">BL107</f>
        <v>4.5181250693750617E-3</v>
      </c>
      <c r="BN107" s="221">
        <f t="shared" ref="BN107:BU107" si="577">BM107</f>
        <v>4.5181250693750617E-3</v>
      </c>
      <c r="BO107" s="221">
        <f t="shared" si="577"/>
        <v>4.5181250693750617E-3</v>
      </c>
      <c r="BP107" s="221">
        <f t="shared" si="577"/>
        <v>4.5181250693750617E-3</v>
      </c>
      <c r="BQ107" s="221">
        <f t="shared" si="577"/>
        <v>4.5181250693750617E-3</v>
      </c>
      <c r="BR107" s="221">
        <f t="shared" si="577"/>
        <v>4.5181250693750617E-3</v>
      </c>
      <c r="BS107" s="221">
        <f t="shared" si="577"/>
        <v>4.5181250693750617E-3</v>
      </c>
      <c r="BT107" s="221">
        <f t="shared" si="577"/>
        <v>4.5181250693750617E-3</v>
      </c>
      <c r="BU107" s="221">
        <f t="shared" si="577"/>
        <v>4.5181250693750617E-3</v>
      </c>
      <c r="BV107" s="221">
        <f t="shared" ref="BV107" si="578">BU107</f>
        <v>4.5181250693750617E-3</v>
      </c>
      <c r="BW107" s="221">
        <f t="shared" ref="BW107" si="579">BV107</f>
        <v>4.5181250693750617E-3</v>
      </c>
      <c r="BX107" s="221">
        <f t="shared" ref="BX107" si="580">BW107</f>
        <v>4.5181250693750617E-3</v>
      </c>
      <c r="BY107" s="221">
        <f t="shared" ref="BY107" si="581">BX107</f>
        <v>4.5181250693750617E-3</v>
      </c>
      <c r="BZ107" s="221">
        <f t="shared" ref="BZ107" si="582">BY107</f>
        <v>4.5181250693750617E-3</v>
      </c>
      <c r="CA107" s="221">
        <f t="shared" ref="CA107" si="583">BZ107</f>
        <v>4.5181250693750617E-3</v>
      </c>
      <c r="CB107" s="221">
        <f t="shared" ref="CB107" si="584">CA107</f>
        <v>4.5181250693750617E-3</v>
      </c>
      <c r="CC107" s="221">
        <f t="shared" ref="CC107" si="585">CB107</f>
        <v>4.5181250693750617E-3</v>
      </c>
      <c r="CD107" s="221">
        <f t="shared" ref="CD107" si="586">CC107</f>
        <v>4.5181250693750617E-3</v>
      </c>
      <c r="CE107" s="221">
        <f t="shared" ref="CE107" si="587">CD107</f>
        <v>4.5181250693750617E-3</v>
      </c>
      <c r="CF107" s="221">
        <f t="shared" ref="CF107" si="588">CE107</f>
        <v>4.5181250693750617E-3</v>
      </c>
      <c r="CG107" s="221">
        <f t="shared" ref="CG107" si="589">CF107</f>
        <v>4.5181250693750617E-3</v>
      </c>
      <c r="CH107" s="221">
        <f t="shared" ref="CH107" si="590">CG107</f>
        <v>4.5181250693750617E-3</v>
      </c>
      <c r="CI107" s="221">
        <f t="shared" ref="CI107" si="591">CH107</f>
        <v>4.5181250693750617E-3</v>
      </c>
      <c r="CJ107" s="221">
        <f t="shared" ref="CJ107" si="592">CI107</f>
        <v>4.5181250693750617E-3</v>
      </c>
      <c r="CK107" s="221">
        <f t="shared" ref="CK107" si="593">CJ107</f>
        <v>4.5181250693750617E-3</v>
      </c>
      <c r="CO107" s="10"/>
      <c r="CP107" s="10"/>
      <c r="CQ107" s="10"/>
      <c r="CR107" s="10"/>
      <c r="CS107" s="10"/>
      <c r="CT107" s="10"/>
      <c r="CU107" s="10"/>
    </row>
    <row r="108" spans="2:99" outlineLevel="1" x14ac:dyDescent="0.2">
      <c r="B108" s="92" t="s">
        <v>45</v>
      </c>
      <c r="C108" s="215" t="s">
        <v>39</v>
      </c>
      <c r="D108" s="216">
        <v>1.2E-2</v>
      </c>
      <c r="E108" s="211">
        <v>0.01</v>
      </c>
      <c r="F108" s="22">
        <v>240.65625</v>
      </c>
      <c r="G108" s="22">
        <v>241.30502999999999</v>
      </c>
      <c r="H108" s="22">
        <v>242.529</v>
      </c>
      <c r="I108" s="22">
        <v>235.82321999999999</v>
      </c>
      <c r="J108" s="22">
        <v>242.529</v>
      </c>
      <c r="K108" s="22">
        <v>352.87400000000002</v>
      </c>
      <c r="L108" s="22">
        <v>427.12463000000002</v>
      </c>
      <c r="M108" s="22">
        <v>278.68382000000003</v>
      </c>
      <c r="N108" s="22">
        <v>357.76661999999999</v>
      </c>
      <c r="O108" s="22">
        <v>404.59800000000001</v>
      </c>
      <c r="P108" s="22">
        <v>404.58854000000002</v>
      </c>
      <c r="Q108" s="22">
        <v>404.59800000000001</v>
      </c>
      <c r="R108" s="22">
        <f>1602-R105-R106</f>
        <v>652.6274168790892</v>
      </c>
      <c r="S108" s="22">
        <f>1680-S105-S106</f>
        <v>706.48382554403815</v>
      </c>
      <c r="T108" s="22">
        <f>1555-T105-T106</f>
        <v>483.92731367002585</v>
      </c>
      <c r="U108" s="22">
        <f>2048-U105-U106</f>
        <v>1073.4143034183082</v>
      </c>
      <c r="V108" s="22">
        <f>1939-V105-V106</f>
        <v>979.4528483438844</v>
      </c>
      <c r="W108" s="22">
        <f>2171-W105-W106</f>
        <v>1189.2439943095962</v>
      </c>
      <c r="X108" s="22">
        <f t="shared" ref="X108:AC108" si="594">X$47*$D108</f>
        <v>677.22353987999998</v>
      </c>
      <c r="Y108" s="22">
        <f t="shared" si="594"/>
        <v>662.45761500000003</v>
      </c>
      <c r="Z108" s="22">
        <f>Z$47*$D108</f>
        <v>672.36376968000002</v>
      </c>
      <c r="AA108" s="22">
        <f t="shared" si="594"/>
        <v>632.73714203999998</v>
      </c>
      <c r="AB108" s="22">
        <f t="shared" si="594"/>
        <v>616.63184520000004</v>
      </c>
      <c r="AC108" s="22">
        <f t="shared" si="594"/>
        <v>723.5469328800001</v>
      </c>
      <c r="AD108" s="22">
        <f>AD$47*$E108</f>
        <v>381.77027000000004</v>
      </c>
      <c r="AE108" s="22">
        <f t="shared" ref="AE108:CK108" si="595">AE$47*$E108</f>
        <v>403.54356999999999</v>
      </c>
      <c r="AF108" s="22">
        <f t="shared" si="595"/>
        <v>504.36297999999994</v>
      </c>
      <c r="AG108" s="22">
        <f t="shared" si="595"/>
        <v>501</v>
      </c>
      <c r="AH108" s="22">
        <f t="shared" si="595"/>
        <v>521</v>
      </c>
      <c r="AI108" s="22">
        <f t="shared" si="595"/>
        <v>532</v>
      </c>
      <c r="AJ108" s="22">
        <f t="shared" si="595"/>
        <v>565</v>
      </c>
      <c r="AK108" s="22">
        <f t="shared" si="595"/>
        <v>760</v>
      </c>
      <c r="AL108" s="22">
        <f t="shared" si="595"/>
        <v>850</v>
      </c>
      <c r="AM108" s="22">
        <f t="shared" si="595"/>
        <v>852.4</v>
      </c>
      <c r="AN108" s="22">
        <f t="shared" si="595"/>
        <v>903.2</v>
      </c>
      <c r="AO108" s="22">
        <f t="shared" si="595"/>
        <v>1078.75</v>
      </c>
      <c r="AP108" s="22">
        <f t="shared" si="595"/>
        <v>929.26250000000005</v>
      </c>
      <c r="AQ108" s="22">
        <f t="shared" si="595"/>
        <v>1083.5286458333335</v>
      </c>
      <c r="AR108" s="22">
        <f t="shared" si="595"/>
        <v>1310.9085648148146</v>
      </c>
      <c r="AS108" s="22">
        <f t="shared" si="595"/>
        <v>1412.7281007381953</v>
      </c>
      <c r="AT108" s="22">
        <f t="shared" si="595"/>
        <v>1471.5917716022868</v>
      </c>
      <c r="AU108" s="22">
        <f t="shared" si="595"/>
        <v>1501.6242567370273</v>
      </c>
      <c r="AV108" s="22">
        <f t="shared" si="595"/>
        <v>1532.2696497316606</v>
      </c>
      <c r="AW108" s="22">
        <f t="shared" si="595"/>
        <v>1455.6029111456894</v>
      </c>
      <c r="AX108" s="22">
        <f t="shared" si="595"/>
        <v>1411.9348238113189</v>
      </c>
      <c r="AY108" s="22">
        <f t="shared" si="595"/>
        <v>1369.5767790969794</v>
      </c>
      <c r="AZ108" s="22">
        <f t="shared" si="595"/>
        <v>1301.09794014213</v>
      </c>
      <c r="BA108" s="22">
        <f t="shared" si="595"/>
        <v>1734.7972535228403</v>
      </c>
      <c r="BB108" s="22">
        <f t="shared" si="595"/>
        <v>1076.8728163823282</v>
      </c>
      <c r="BC108" s="22">
        <f t="shared" si="595"/>
        <v>1260.6776660156252</v>
      </c>
      <c r="BD108" s="22">
        <f t="shared" si="595"/>
        <v>1524.3881184895833</v>
      </c>
      <c r="BE108" s="22">
        <f t="shared" si="595"/>
        <v>1642.3446560889176</v>
      </c>
      <c r="BF108" s="22">
        <f t="shared" si="595"/>
        <v>1710.775683425956</v>
      </c>
      <c r="BG108" s="22">
        <f t="shared" si="595"/>
        <v>1745.6894728836287</v>
      </c>
      <c r="BH108" s="22">
        <f t="shared" si="595"/>
        <v>1781.315788656764</v>
      </c>
      <c r="BI108" s="22">
        <f t="shared" si="595"/>
        <v>1692.4009561040102</v>
      </c>
      <c r="BJ108" s="22">
        <f t="shared" si="595"/>
        <v>1641.6289274208893</v>
      </c>
      <c r="BK108" s="22">
        <f t="shared" si="595"/>
        <v>1592.380059598263</v>
      </c>
      <c r="BL108" s="22">
        <f t="shared" si="595"/>
        <v>1533.7853279339138</v>
      </c>
      <c r="BM108" s="22">
        <f t="shared" si="595"/>
        <v>2017.0147421577992</v>
      </c>
      <c r="BN108" s="22">
        <f t="shared" si="595"/>
        <v>1253.9551709992079</v>
      </c>
      <c r="BO108" s="22">
        <f t="shared" si="595"/>
        <v>1466.8273510532231</v>
      </c>
      <c r="BP108" s="22">
        <f t="shared" si="595"/>
        <v>1772.6809543994143</v>
      </c>
      <c r="BQ108" s="22">
        <f t="shared" si="595"/>
        <v>1909.3347677442414</v>
      </c>
      <c r="BR108" s="22">
        <f t="shared" si="595"/>
        <v>1988.8903830669183</v>
      </c>
      <c r="BS108" s="22">
        <f t="shared" si="595"/>
        <v>2029.4799827213451</v>
      </c>
      <c r="BT108" s="22">
        <f t="shared" si="595"/>
        <v>2070.8979415523931</v>
      </c>
      <c r="BU108" s="22">
        <f t="shared" si="595"/>
        <v>1967.7756785690115</v>
      </c>
      <c r="BV108" s="22">
        <f t="shared" si="595"/>
        <v>1908.7424082119412</v>
      </c>
      <c r="BW108" s="22">
        <f t="shared" si="595"/>
        <v>1877.2913018975228</v>
      </c>
      <c r="BX108" s="22">
        <f t="shared" si="595"/>
        <v>1783.4267368026462</v>
      </c>
      <c r="BY108" s="22">
        <f t="shared" si="595"/>
        <v>2345.5494367749411</v>
      </c>
      <c r="BZ108" s="22">
        <f t="shared" si="595"/>
        <v>1427.5180318711416</v>
      </c>
      <c r="CA108" s="22">
        <f t="shared" si="595"/>
        <v>1672.6155879959679</v>
      </c>
      <c r="CB108" s="22">
        <f t="shared" si="595"/>
        <v>2023.8593918569727</v>
      </c>
      <c r="CC108" s="22">
        <f t="shared" si="595"/>
        <v>2181.3170681396714</v>
      </c>
      <c r="CD108" s="22">
        <f t="shared" si="595"/>
        <v>2272.5208240559123</v>
      </c>
      <c r="CE108" s="22">
        <f t="shared" si="595"/>
        <v>2319.2207844894547</v>
      </c>
      <c r="CF108" s="22">
        <f t="shared" si="595"/>
        <v>2366.8803764508739</v>
      </c>
      <c r="CG108" s="22">
        <f t="shared" si="595"/>
        <v>2248.8184667684595</v>
      </c>
      <c r="CH108" s="22">
        <f t="shared" si="595"/>
        <v>2212.6976515280467</v>
      </c>
      <c r="CI108" s="22">
        <f t="shared" si="595"/>
        <v>2146.6165857555452</v>
      </c>
      <c r="CJ108" s="22">
        <f t="shared" si="595"/>
        <v>2039.5706270524408</v>
      </c>
      <c r="CK108" s="22">
        <f t="shared" si="595"/>
        <v>2681.6761506026855</v>
      </c>
      <c r="CO108" s="10">
        <f>SUMIF($F$2:$CK$2,CO$3,$F108:$CK108)</f>
        <v>3833.07611</v>
      </c>
      <c r="CP108" s="10">
        <f t="shared" ref="CP108:CS109" si="596">SUMIF($L$2:$CK$2,CP$3,$L108:$CK108)</f>
        <v>9070.1105468449423</v>
      </c>
      <c r="CQ108" s="10">
        <f t="shared" si="596"/>
        <v>7853.0268199999991</v>
      </c>
      <c r="CR108" s="10">
        <f t="shared" si="596"/>
        <v>16514.923197176278</v>
      </c>
      <c r="CS108" s="10">
        <f t="shared" si="596"/>
        <v>19219.274215157682</v>
      </c>
      <c r="CT108" s="10">
        <f t="shared" ref="CT108:CU109" si="597">SUMIF($L$2:$CK$2,CT$3,$L108:$CK108)</f>
        <v>22374.852113792804</v>
      </c>
      <c r="CU108" s="10">
        <f t="shared" si="597"/>
        <v>25593.311546567173</v>
      </c>
    </row>
    <row r="109" spans="2:99" x14ac:dyDescent="0.2">
      <c r="B109" s="20" t="s">
        <v>6</v>
      </c>
      <c r="C109" s="23" t="s">
        <v>4</v>
      </c>
      <c r="D109" s="23"/>
      <c r="E109" s="102"/>
      <c r="F109" s="24">
        <f t="shared" ref="F109:AK109" si="598">SUM(F104:F106,F108:F108)</f>
        <v>2273.29475</v>
      </c>
      <c r="G109" s="24">
        <f t="shared" si="598"/>
        <v>2375.0043899999996</v>
      </c>
      <c r="H109" s="24">
        <f t="shared" si="598"/>
        <v>2394.6587100000002</v>
      </c>
      <c r="I109" s="24">
        <f t="shared" si="598"/>
        <v>2438.93102</v>
      </c>
      <c r="J109" s="24">
        <f t="shared" si="598"/>
        <v>2184.29925</v>
      </c>
      <c r="K109" s="24">
        <f t="shared" si="598"/>
        <v>2870.6319299999996</v>
      </c>
      <c r="L109" s="24">
        <f>SUM(L104:L106,L108:L108)</f>
        <v>3253.3571099999999</v>
      </c>
      <c r="M109" s="24">
        <f t="shared" si="598"/>
        <v>2735.8779600000003</v>
      </c>
      <c r="N109" s="24">
        <f t="shared" si="598"/>
        <v>2832.7463299999999</v>
      </c>
      <c r="O109" s="24">
        <f t="shared" si="598"/>
        <v>3073.5322700000002</v>
      </c>
      <c r="P109" s="24">
        <f t="shared" si="598"/>
        <v>2824.1800699999999</v>
      </c>
      <c r="Q109" s="24">
        <f t="shared" si="598"/>
        <v>3241.07942</v>
      </c>
      <c r="R109" s="24">
        <f t="shared" si="598"/>
        <v>2788</v>
      </c>
      <c r="S109" s="24">
        <f t="shared" si="598"/>
        <v>2759</v>
      </c>
      <c r="T109" s="24">
        <f t="shared" si="598"/>
        <v>2747</v>
      </c>
      <c r="U109" s="24">
        <f t="shared" si="598"/>
        <v>3400</v>
      </c>
      <c r="V109" s="24">
        <f t="shared" si="598"/>
        <v>3119</v>
      </c>
      <c r="W109" s="24">
        <f t="shared" si="598"/>
        <v>3661</v>
      </c>
      <c r="X109" s="24">
        <f t="shared" si="598"/>
        <v>4562.1745796753758</v>
      </c>
      <c r="Y109" s="24">
        <f t="shared" si="598"/>
        <v>4440.8783667705884</v>
      </c>
      <c r="Z109" s="24">
        <f t="shared" si="598"/>
        <v>4481.8370770025795</v>
      </c>
      <c r="AA109" s="24">
        <f t="shared" si="598"/>
        <v>2799.0158260303947</v>
      </c>
      <c r="AB109" s="24">
        <f t="shared" si="598"/>
        <v>2695.6547193983056</v>
      </c>
      <c r="AC109" s="24">
        <f t="shared" si="598"/>
        <v>2910.2771715181225</v>
      </c>
      <c r="AD109" s="24">
        <f t="shared" si="598"/>
        <v>2895.4229045149514</v>
      </c>
      <c r="AE109" s="24">
        <f t="shared" si="598"/>
        <v>2988.6804569121673</v>
      </c>
      <c r="AF109" s="24">
        <f t="shared" si="598"/>
        <v>3538.8148561803123</v>
      </c>
      <c r="AG109" s="24">
        <f t="shared" si="598"/>
        <v>3486.6501240381372</v>
      </c>
      <c r="AH109" s="24">
        <f t="shared" si="598"/>
        <v>3590.3668359807325</v>
      </c>
      <c r="AI109" s="24">
        <f t="shared" si="598"/>
        <v>3661.5669260779609</v>
      </c>
      <c r="AJ109" s="24">
        <f t="shared" si="598"/>
        <v>3854.3393208036232</v>
      </c>
      <c r="AK109" s="24">
        <f t="shared" si="598"/>
        <v>4890.3211419915688</v>
      </c>
      <c r="AL109" s="24">
        <f t="shared" ref="AL109:BQ109" si="599">SUM(AL104:AL106,AL108:AL108)</f>
        <v>5362.9124227160137</v>
      </c>
      <c r="AM109" s="24">
        <f t="shared" si="599"/>
        <v>5365.845653234348</v>
      </c>
      <c r="AN109" s="24">
        <f t="shared" si="599"/>
        <v>5673.0770562659554</v>
      </c>
      <c r="AO109" s="24">
        <f t="shared" si="599"/>
        <v>6630.1427418588346</v>
      </c>
      <c r="AP109" s="24">
        <f t="shared" si="599"/>
        <v>5867.5949197280142</v>
      </c>
      <c r="AQ109" s="24">
        <f t="shared" si="599"/>
        <v>6708.6250229792277</v>
      </c>
      <c r="AR109" s="24">
        <f t="shared" si="599"/>
        <v>7948.2577091089033</v>
      </c>
      <c r="AS109" s="24">
        <f t="shared" si="599"/>
        <v>8503.3587285065623</v>
      </c>
      <c r="AT109" s="24">
        <f t="shared" si="599"/>
        <v>8824.2724255276698</v>
      </c>
      <c r="AU109" s="24">
        <f t="shared" si="599"/>
        <v>9981.5068766515542</v>
      </c>
      <c r="AV109" s="24">
        <f t="shared" si="599"/>
        <v>10025.998241481177</v>
      </c>
      <c r="AW109" s="24">
        <f t="shared" si="599"/>
        <v>8737.1041561187139</v>
      </c>
      <c r="AX109" s="24">
        <f t="shared" si="599"/>
        <v>8499.0339314351531</v>
      </c>
      <c r="AY109" s="24">
        <f t="shared" si="599"/>
        <v>8268.1058134920986</v>
      </c>
      <c r="AZ109" s="24">
        <f t="shared" si="599"/>
        <v>7894.7720228174912</v>
      </c>
      <c r="BA109" s="24">
        <f t="shared" si="599"/>
        <v>10320.030349665296</v>
      </c>
      <c r="BB109" s="24">
        <f t="shared" si="599"/>
        <v>6728.4387887341936</v>
      </c>
      <c r="BC109" s="24">
        <f t="shared" si="599"/>
        <v>7730.5083668007701</v>
      </c>
      <c r="BD109" s="24">
        <f t="shared" si="599"/>
        <v>10070.65583585011</v>
      </c>
      <c r="BE109" s="24">
        <f t="shared" si="599"/>
        <v>10241.906612411867</v>
      </c>
      <c r="BF109" s="24">
        <f t="shared" si="599"/>
        <v>10341.255633762363</v>
      </c>
      <c r="BG109" s="24">
        <f t="shared" si="599"/>
        <v>10391.943909961594</v>
      </c>
      <c r="BH109" s="24">
        <f t="shared" si="599"/>
        <v>10443.666640777137</v>
      </c>
      <c r="BI109" s="24">
        <f t="shared" si="599"/>
        <v>10314.578974824795</v>
      </c>
      <c r="BJ109" s="24">
        <f t="shared" si="599"/>
        <v>10240.86750858005</v>
      </c>
      <c r="BK109" s="24">
        <f t="shared" si="599"/>
        <v>10169.367386322649</v>
      </c>
      <c r="BL109" s="24">
        <f t="shared" si="599"/>
        <v>10084.2988220517</v>
      </c>
      <c r="BM109" s="24">
        <f t="shared" si="599"/>
        <v>10785.857329342021</v>
      </c>
      <c r="BN109" s="24">
        <f t="shared" si="599"/>
        <v>7753.885691392441</v>
      </c>
      <c r="BO109" s="24">
        <f t="shared" si="599"/>
        <v>8914.4249049899736</v>
      </c>
      <c r="BP109" s="24">
        <f t="shared" si="599"/>
        <v>10491.157587406986</v>
      </c>
      <c r="BQ109" s="24">
        <f t="shared" si="599"/>
        <v>10689.553302741708</v>
      </c>
      <c r="BR109" s="24">
        <f t="shared" ref="BR109:BU109" si="600">SUM(BR104:BR106,BR108:BR108)</f>
        <v>10805.053140064279</v>
      </c>
      <c r="BS109" s="24">
        <f t="shared" si="600"/>
        <v>10863.981628494163</v>
      </c>
      <c r="BT109" s="24">
        <f t="shared" si="600"/>
        <v>10924.112739136901</v>
      </c>
      <c r="BU109" s="24">
        <f t="shared" si="600"/>
        <v>10774.398547993927</v>
      </c>
      <c r="BV109" s="24">
        <f t="shared" ref="BV109:BX109" si="601">SUM(BV104:BV106,BV108:BV108)</f>
        <v>10688.693307764112</v>
      </c>
      <c r="BW109" s="24">
        <f t="shared" si="601"/>
        <v>10643.032198259818</v>
      </c>
      <c r="BX109" s="24">
        <f t="shared" si="601"/>
        <v>10506.758448696826</v>
      </c>
      <c r="BY109" s="24">
        <f t="shared" ref="BY109:CK109" si="602">SUM(BY104:BY106,BY108:BY108)</f>
        <v>11322.855214950083</v>
      </c>
      <c r="BZ109" s="24">
        <f t="shared" si="602"/>
        <v>8700.1178670339032</v>
      </c>
      <c r="CA109" s="24">
        <f t="shared" si="602"/>
        <v>10345.881436951177</v>
      </c>
      <c r="CB109" s="24">
        <f t="shared" si="602"/>
        <v>10855.821584380888</v>
      </c>
      <c r="CC109" s="24">
        <f t="shared" si="602"/>
        <v>11084.420608121427</v>
      </c>
      <c r="CD109" s="24">
        <f t="shared" si="602"/>
        <v>11216.831361640299</v>
      </c>
      <c r="CE109" s="24">
        <f t="shared" si="602"/>
        <v>11284.630948271204</v>
      </c>
      <c r="CF109" s="24">
        <f t="shared" si="602"/>
        <v>11353.823739956331</v>
      </c>
      <c r="CG109" s="24">
        <f t="shared" si="602"/>
        <v>11182.419982886477</v>
      </c>
      <c r="CH109" s="24">
        <f t="shared" si="602"/>
        <v>11129.979331559665</v>
      </c>
      <c r="CI109" s="24">
        <f t="shared" si="602"/>
        <v>11034.04201379939</v>
      </c>
      <c r="CJ109" s="24">
        <f t="shared" si="602"/>
        <v>10878.631352137105</v>
      </c>
      <c r="CK109" s="24">
        <f t="shared" si="602"/>
        <v>11810.848182001006</v>
      </c>
      <c r="CO109" s="24">
        <f>SUMIF($L$2:$CK$2,CO$3,$L109:$CK109)</f>
        <v>17960.773160000001</v>
      </c>
      <c r="CP109" s="24">
        <f t="shared" si="596"/>
        <v>40363.837740395364</v>
      </c>
      <c r="CQ109" s="24">
        <f t="shared" si="596"/>
        <v>51938.1404405746</v>
      </c>
      <c r="CR109" s="24">
        <f t="shared" si="596"/>
        <v>101578.66019751187</v>
      </c>
      <c r="CS109" s="24">
        <f t="shared" si="596"/>
        <v>117543.34580941923</v>
      </c>
      <c r="CT109" s="24">
        <f t="shared" si="597"/>
        <v>124377.90671189124</v>
      </c>
      <c r="CU109" s="24">
        <f t="shared" si="597"/>
        <v>130877.44840873887</v>
      </c>
    </row>
    <row r="110" spans="2:99" x14ac:dyDescent="0.2">
      <c r="F110" s="10"/>
      <c r="G110" s="10"/>
      <c r="H110" s="10"/>
      <c r="I110" s="10"/>
      <c r="J110" s="10"/>
      <c r="K110" s="10"/>
      <c r="L110" s="10"/>
      <c r="M110" s="10"/>
      <c r="N110" s="10"/>
      <c r="O110" s="10"/>
      <c r="P110" s="10"/>
      <c r="Q110" s="10"/>
    </row>
    <row r="112" spans="2:99" x14ac:dyDescent="0.2">
      <c r="B112" s="12" t="s">
        <v>67</v>
      </c>
      <c r="F112" s="188" t="s">
        <v>284</v>
      </c>
      <c r="G112" s="188" t="s">
        <v>284</v>
      </c>
      <c r="H112" s="188" t="s">
        <v>284</v>
      </c>
      <c r="I112" s="188" t="s">
        <v>284</v>
      </c>
      <c r="J112" s="188" t="s">
        <v>284</v>
      </c>
      <c r="K112" s="188" t="s">
        <v>284</v>
      </c>
      <c r="L112" s="188" t="s">
        <v>284</v>
      </c>
      <c r="M112" s="188" t="s">
        <v>284</v>
      </c>
      <c r="N112" s="188" t="s">
        <v>284</v>
      </c>
      <c r="O112" s="188" t="s">
        <v>284</v>
      </c>
      <c r="P112" s="188" t="s">
        <v>284</v>
      </c>
      <c r="Q112" s="188" t="s">
        <v>284</v>
      </c>
    </row>
    <row r="113" spans="2:99" x14ac:dyDescent="0.2">
      <c r="B113" s="200" t="s">
        <v>1</v>
      </c>
      <c r="C113" s="200" t="s">
        <v>2</v>
      </c>
      <c r="D113" s="102" t="s">
        <v>38</v>
      </c>
      <c r="F113" s="201">
        <f t="shared" ref="F113" si="603">F103</f>
        <v>45292</v>
      </c>
      <c r="G113" s="201">
        <f>G103</f>
        <v>45323</v>
      </c>
      <c r="H113" s="201">
        <f t="shared" ref="H113:K113" si="604">H103</f>
        <v>45352</v>
      </c>
      <c r="I113" s="201">
        <f t="shared" si="604"/>
        <v>45383</v>
      </c>
      <c r="J113" s="201">
        <f t="shared" si="604"/>
        <v>45413</v>
      </c>
      <c r="K113" s="201">
        <f t="shared" si="604"/>
        <v>45444</v>
      </c>
      <c r="L113" s="201">
        <f t="shared" ref="L113:AQ113" si="605">L103</f>
        <v>45474</v>
      </c>
      <c r="M113" s="201">
        <f t="shared" si="605"/>
        <v>45505</v>
      </c>
      <c r="N113" s="201">
        <f t="shared" si="605"/>
        <v>45536</v>
      </c>
      <c r="O113" s="201">
        <f t="shared" si="605"/>
        <v>45566</v>
      </c>
      <c r="P113" s="201">
        <f t="shared" si="605"/>
        <v>45597</v>
      </c>
      <c r="Q113" s="201">
        <f t="shared" si="605"/>
        <v>45627</v>
      </c>
      <c r="R113" s="201">
        <f t="shared" si="605"/>
        <v>45658</v>
      </c>
      <c r="S113" s="201">
        <f t="shared" si="605"/>
        <v>45689</v>
      </c>
      <c r="T113" s="201">
        <f t="shared" si="605"/>
        <v>45717</v>
      </c>
      <c r="U113" s="201">
        <f t="shared" si="605"/>
        <v>45748</v>
      </c>
      <c r="V113" s="201">
        <f t="shared" si="605"/>
        <v>45778</v>
      </c>
      <c r="W113" s="201">
        <f t="shared" si="605"/>
        <v>45809</v>
      </c>
      <c r="X113" s="201">
        <f t="shared" si="605"/>
        <v>45839</v>
      </c>
      <c r="Y113" s="201">
        <f t="shared" si="605"/>
        <v>45870</v>
      </c>
      <c r="Z113" s="201">
        <f t="shared" si="605"/>
        <v>45901</v>
      </c>
      <c r="AA113" s="201">
        <f t="shared" si="605"/>
        <v>45931</v>
      </c>
      <c r="AB113" s="201">
        <f t="shared" si="605"/>
        <v>45962</v>
      </c>
      <c r="AC113" s="201">
        <f t="shared" si="605"/>
        <v>45992</v>
      </c>
      <c r="AD113" s="201">
        <f t="shared" si="605"/>
        <v>46023</v>
      </c>
      <c r="AE113" s="201">
        <f t="shared" si="605"/>
        <v>46054</v>
      </c>
      <c r="AF113" s="201">
        <f t="shared" si="605"/>
        <v>46082</v>
      </c>
      <c r="AG113" s="201">
        <f t="shared" si="605"/>
        <v>46113</v>
      </c>
      <c r="AH113" s="201">
        <f t="shared" si="605"/>
        <v>46143</v>
      </c>
      <c r="AI113" s="201">
        <f t="shared" si="605"/>
        <v>46174</v>
      </c>
      <c r="AJ113" s="201">
        <f t="shared" si="605"/>
        <v>46204</v>
      </c>
      <c r="AK113" s="201">
        <f t="shared" si="605"/>
        <v>46235</v>
      </c>
      <c r="AL113" s="201">
        <f t="shared" si="605"/>
        <v>46266</v>
      </c>
      <c r="AM113" s="201">
        <f t="shared" si="605"/>
        <v>46296</v>
      </c>
      <c r="AN113" s="201">
        <f t="shared" si="605"/>
        <v>46327</v>
      </c>
      <c r="AO113" s="201">
        <f t="shared" si="605"/>
        <v>46357</v>
      </c>
      <c r="AP113" s="201">
        <f t="shared" si="605"/>
        <v>46388</v>
      </c>
      <c r="AQ113" s="201">
        <f t="shared" si="605"/>
        <v>46419</v>
      </c>
      <c r="AR113" s="201">
        <f t="shared" ref="AR113:BU113" si="606">AR103</f>
        <v>46447</v>
      </c>
      <c r="AS113" s="201">
        <f t="shared" si="606"/>
        <v>46478</v>
      </c>
      <c r="AT113" s="201">
        <f t="shared" si="606"/>
        <v>46508</v>
      </c>
      <c r="AU113" s="201">
        <f t="shared" si="606"/>
        <v>46539</v>
      </c>
      <c r="AV113" s="201">
        <f t="shared" si="606"/>
        <v>46569</v>
      </c>
      <c r="AW113" s="201">
        <f t="shared" si="606"/>
        <v>46600</v>
      </c>
      <c r="AX113" s="201">
        <f t="shared" si="606"/>
        <v>46631</v>
      </c>
      <c r="AY113" s="201">
        <f t="shared" si="606"/>
        <v>46661</v>
      </c>
      <c r="AZ113" s="201">
        <f t="shared" si="606"/>
        <v>46692</v>
      </c>
      <c r="BA113" s="201">
        <f t="shared" si="606"/>
        <v>46722</v>
      </c>
      <c r="BB113" s="201">
        <f t="shared" si="606"/>
        <v>46753</v>
      </c>
      <c r="BC113" s="201">
        <f t="shared" si="606"/>
        <v>46784</v>
      </c>
      <c r="BD113" s="201">
        <f t="shared" si="606"/>
        <v>46813</v>
      </c>
      <c r="BE113" s="201">
        <f t="shared" si="606"/>
        <v>46844</v>
      </c>
      <c r="BF113" s="201">
        <f t="shared" si="606"/>
        <v>46874</v>
      </c>
      <c r="BG113" s="201">
        <f t="shared" si="606"/>
        <v>46905</v>
      </c>
      <c r="BH113" s="201">
        <f t="shared" si="606"/>
        <v>46935</v>
      </c>
      <c r="BI113" s="201">
        <f t="shared" si="606"/>
        <v>46966</v>
      </c>
      <c r="BJ113" s="201">
        <f t="shared" si="606"/>
        <v>46997</v>
      </c>
      <c r="BK113" s="201">
        <f t="shared" si="606"/>
        <v>47027</v>
      </c>
      <c r="BL113" s="201">
        <f t="shared" si="606"/>
        <v>47058</v>
      </c>
      <c r="BM113" s="201">
        <f t="shared" si="606"/>
        <v>47088</v>
      </c>
      <c r="BN113" s="201">
        <f t="shared" si="606"/>
        <v>47119</v>
      </c>
      <c r="BO113" s="201">
        <f t="shared" si="606"/>
        <v>47150</v>
      </c>
      <c r="BP113" s="201">
        <f t="shared" si="606"/>
        <v>47178</v>
      </c>
      <c r="BQ113" s="201">
        <f t="shared" si="606"/>
        <v>47209</v>
      </c>
      <c r="BR113" s="201">
        <f t="shared" si="606"/>
        <v>47239</v>
      </c>
      <c r="BS113" s="201">
        <f t="shared" si="606"/>
        <v>47270</v>
      </c>
      <c r="BT113" s="201">
        <f t="shared" si="606"/>
        <v>47300</v>
      </c>
      <c r="BU113" s="201">
        <f t="shared" si="606"/>
        <v>47331</v>
      </c>
      <c r="BV113" s="201">
        <f t="shared" ref="BV113:BX113" si="607">BV103</f>
        <v>47362</v>
      </c>
      <c r="BW113" s="201">
        <f t="shared" si="607"/>
        <v>47392</v>
      </c>
      <c r="BX113" s="201">
        <f t="shared" si="607"/>
        <v>47423</v>
      </c>
      <c r="BY113" s="201">
        <f t="shared" ref="BY113:CK113" si="608">BY103</f>
        <v>47453</v>
      </c>
      <c r="BZ113" s="201">
        <f t="shared" si="608"/>
        <v>47484</v>
      </c>
      <c r="CA113" s="201">
        <f t="shared" si="608"/>
        <v>47515</v>
      </c>
      <c r="CB113" s="201">
        <f t="shared" si="608"/>
        <v>47543</v>
      </c>
      <c r="CC113" s="201">
        <f t="shared" si="608"/>
        <v>47574</v>
      </c>
      <c r="CD113" s="201">
        <f t="shared" si="608"/>
        <v>47604</v>
      </c>
      <c r="CE113" s="201">
        <f t="shared" si="608"/>
        <v>47635</v>
      </c>
      <c r="CF113" s="201">
        <f t="shared" si="608"/>
        <v>47665</v>
      </c>
      <c r="CG113" s="201">
        <f t="shared" si="608"/>
        <v>47696</v>
      </c>
      <c r="CH113" s="201">
        <f t="shared" si="608"/>
        <v>47727</v>
      </c>
      <c r="CI113" s="201">
        <f t="shared" si="608"/>
        <v>47757</v>
      </c>
      <c r="CJ113" s="201">
        <f t="shared" si="608"/>
        <v>47788</v>
      </c>
      <c r="CK113" s="201">
        <f t="shared" si="608"/>
        <v>47818</v>
      </c>
      <c r="CO113" s="202">
        <f>CO103</f>
        <v>2024</v>
      </c>
      <c r="CP113" s="202">
        <f t="shared" ref="CP113" si="609">CO113+1</f>
        <v>2025</v>
      </c>
      <c r="CQ113" s="202">
        <f t="shared" ref="CQ113" si="610">CP113+1</f>
        <v>2026</v>
      </c>
      <c r="CR113" s="202">
        <f>CQ113+1</f>
        <v>2027</v>
      </c>
      <c r="CS113" s="202">
        <f>CR113+1</f>
        <v>2028</v>
      </c>
      <c r="CT113" s="202">
        <f t="shared" ref="CT113:CU113" si="611">CS113+1</f>
        <v>2029</v>
      </c>
      <c r="CU113" s="202">
        <f t="shared" si="611"/>
        <v>2030</v>
      </c>
    </row>
    <row r="114" spans="2:99" outlineLevel="1" x14ac:dyDescent="0.2">
      <c r="B114" s="92" t="s">
        <v>337</v>
      </c>
      <c r="C114" s="97" t="s">
        <v>4</v>
      </c>
      <c r="D114" s="9"/>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f>54</f>
        <v>54</v>
      </c>
      <c r="AF114" s="10">
        <f>1371+2985+29</f>
        <v>4385</v>
      </c>
      <c r="AG114" s="10">
        <v>5688</v>
      </c>
      <c r="AH114" s="10">
        <v>6000</v>
      </c>
      <c r="AI114" s="10">
        <v>6000</v>
      </c>
      <c r="AJ114" s="10">
        <v>5000</v>
      </c>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O114" s="10"/>
      <c r="CP114" s="10">
        <f t="shared" ref="CO114:CS117" si="612">SUMIF($L$2:$CK$2,CP$3,$L114:$CK114)</f>
        <v>0</v>
      </c>
      <c r="CQ114" s="10">
        <f t="shared" si="612"/>
        <v>27127</v>
      </c>
      <c r="CR114" s="10">
        <f t="shared" si="612"/>
        <v>0</v>
      </c>
      <c r="CS114" s="10">
        <f t="shared" si="612"/>
        <v>0</v>
      </c>
      <c r="CT114" s="10">
        <f t="shared" ref="CT114:CU117" si="613">SUMIF($L$2:$CK$2,CT$3,$L114:$CK114)</f>
        <v>0</v>
      </c>
      <c r="CU114" s="10">
        <f t="shared" si="613"/>
        <v>0</v>
      </c>
    </row>
    <row r="115" spans="2:99" outlineLevel="1" x14ac:dyDescent="0.2">
      <c r="B115" s="92" t="s">
        <v>48</v>
      </c>
      <c r="C115" s="97" t="s">
        <v>4</v>
      </c>
      <c r="D115" s="9"/>
      <c r="E115" s="9"/>
      <c r="L115" s="10"/>
      <c r="Q115" s="10"/>
      <c r="R115" s="10"/>
      <c r="S115" s="10"/>
      <c r="T115" s="10"/>
      <c r="U115" s="10"/>
      <c r="V115" s="10"/>
      <c r="W115" s="10"/>
      <c r="X115" s="10"/>
      <c r="Y115" s="10"/>
      <c r="Z115" s="10"/>
      <c r="AA115" s="10"/>
      <c r="AB115" s="10"/>
      <c r="AC115" s="10"/>
      <c r="AD115" s="10"/>
      <c r="AE115" s="10">
        <v>0</v>
      </c>
      <c r="AF115" s="10">
        <v>0</v>
      </c>
      <c r="AG115" s="10">
        <v>750</v>
      </c>
      <c r="AH115" s="10">
        <v>750</v>
      </c>
      <c r="AI115" s="10">
        <v>750</v>
      </c>
      <c r="AJ115" s="10">
        <v>750</v>
      </c>
      <c r="AK115" s="10">
        <v>750</v>
      </c>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O115" s="10">
        <f t="shared" si="612"/>
        <v>0</v>
      </c>
      <c r="CP115" s="10">
        <f t="shared" si="612"/>
        <v>0</v>
      </c>
      <c r="CQ115" s="10">
        <f t="shared" si="612"/>
        <v>3750</v>
      </c>
      <c r="CR115" s="10">
        <f t="shared" si="612"/>
        <v>0</v>
      </c>
      <c r="CS115" s="10">
        <f t="shared" si="612"/>
        <v>0</v>
      </c>
      <c r="CT115" s="10">
        <f t="shared" si="613"/>
        <v>0</v>
      </c>
      <c r="CU115" s="10">
        <f t="shared" si="613"/>
        <v>0</v>
      </c>
    </row>
    <row r="116" spans="2:99" outlineLevel="1" x14ac:dyDescent="0.2">
      <c r="B116" s="92" t="s">
        <v>296</v>
      </c>
      <c r="C116" s="97" t="s">
        <v>4</v>
      </c>
      <c r="D116" s="9"/>
      <c r="E116" s="9"/>
      <c r="F116" s="10"/>
      <c r="G116" s="10"/>
      <c r="H116" s="10"/>
      <c r="I116" s="10"/>
      <c r="J116" s="10"/>
      <c r="K116" s="10"/>
      <c r="O116" s="10"/>
      <c r="R116" s="10"/>
      <c r="U116" s="10"/>
      <c r="Y116" s="10"/>
      <c r="Z116" s="10"/>
      <c r="AA116" s="10"/>
      <c r="AB116" s="10"/>
      <c r="AC116" s="10">
        <v>10000</v>
      </c>
      <c r="AD116" s="10"/>
      <c r="AE116" s="10">
        <v>838</v>
      </c>
      <c r="AF116" s="10">
        <v>327</v>
      </c>
      <c r="AG116" s="10">
        <v>176</v>
      </c>
      <c r="AH116" s="10">
        <v>0</v>
      </c>
      <c r="AI116" s="10">
        <v>320000</v>
      </c>
      <c r="AJ116" s="10">
        <v>0</v>
      </c>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O116" s="10">
        <f t="shared" si="612"/>
        <v>0</v>
      </c>
      <c r="CP116" s="10">
        <f t="shared" si="612"/>
        <v>10000</v>
      </c>
      <c r="CQ116" s="10">
        <f t="shared" si="612"/>
        <v>321341</v>
      </c>
      <c r="CR116" s="10">
        <f t="shared" si="612"/>
        <v>0</v>
      </c>
      <c r="CS116" s="10">
        <f t="shared" si="612"/>
        <v>0</v>
      </c>
      <c r="CT116" s="10">
        <f t="shared" si="613"/>
        <v>0</v>
      </c>
      <c r="CU116" s="10">
        <f t="shared" si="613"/>
        <v>0</v>
      </c>
    </row>
    <row r="117" spans="2:99" outlineLevel="1" x14ac:dyDescent="0.2">
      <c r="B117" s="92" t="s">
        <v>339</v>
      </c>
      <c r="C117" s="97" t="s">
        <v>4</v>
      </c>
      <c r="D117" s="9"/>
      <c r="E117" s="9"/>
      <c r="F117" s="10"/>
      <c r="G117" s="10"/>
      <c r="H117" s="10"/>
      <c r="I117" s="10"/>
      <c r="J117" s="10"/>
      <c r="K117" s="10"/>
      <c r="O117" s="10"/>
      <c r="R117" s="10"/>
      <c r="U117" s="10"/>
      <c r="X117" s="10"/>
      <c r="Y117" s="10"/>
      <c r="Z117" s="10"/>
      <c r="AA117" s="10"/>
      <c r="AB117" s="10"/>
      <c r="AC117" s="10"/>
      <c r="AD117" s="10"/>
      <c r="AE117" s="10">
        <v>496</v>
      </c>
      <c r="AF117" s="10">
        <v>1436.6</v>
      </c>
      <c r="AG117" s="10">
        <f>10958</f>
        <v>10958</v>
      </c>
      <c r="AH117" s="10">
        <f>6564+1500</f>
        <v>8064</v>
      </c>
      <c r="AI117" s="10">
        <f>4564+1500</f>
        <v>6064</v>
      </c>
      <c r="AJ117" s="10">
        <f>4564</f>
        <v>4564</v>
      </c>
      <c r="AK117" s="10">
        <f>564+2000</f>
        <v>2564</v>
      </c>
      <c r="AL117" s="10">
        <v>564</v>
      </c>
      <c r="AM117" s="10">
        <v>564</v>
      </c>
      <c r="AN117" s="10">
        <v>564</v>
      </c>
      <c r="AO117" s="10">
        <v>564</v>
      </c>
      <c r="AP117" s="10">
        <v>564</v>
      </c>
      <c r="AQ117" s="10">
        <f t="shared" ref="AQ117:BX117" si="614">AP117</f>
        <v>564</v>
      </c>
      <c r="AR117" s="10">
        <f t="shared" si="614"/>
        <v>564</v>
      </c>
      <c r="AS117" s="10">
        <f t="shared" si="614"/>
        <v>564</v>
      </c>
      <c r="AT117" s="10">
        <f t="shared" si="614"/>
        <v>564</v>
      </c>
      <c r="AU117" s="10">
        <f t="shared" si="614"/>
        <v>564</v>
      </c>
      <c r="AV117" s="10">
        <f t="shared" si="614"/>
        <v>564</v>
      </c>
      <c r="AW117" s="10">
        <f t="shared" si="614"/>
        <v>564</v>
      </c>
      <c r="AX117" s="10">
        <f t="shared" si="614"/>
        <v>564</v>
      </c>
      <c r="AY117" s="10">
        <f t="shared" si="614"/>
        <v>564</v>
      </c>
      <c r="AZ117" s="10">
        <f t="shared" si="614"/>
        <v>564</v>
      </c>
      <c r="BA117" s="10">
        <f t="shared" si="614"/>
        <v>564</v>
      </c>
      <c r="BB117" s="10">
        <f t="shared" si="614"/>
        <v>564</v>
      </c>
      <c r="BC117" s="10">
        <f t="shared" si="614"/>
        <v>564</v>
      </c>
      <c r="BD117" s="10">
        <f t="shared" si="614"/>
        <v>564</v>
      </c>
      <c r="BE117" s="10">
        <f t="shared" si="614"/>
        <v>564</v>
      </c>
      <c r="BF117" s="10">
        <f t="shared" si="614"/>
        <v>564</v>
      </c>
      <c r="BG117" s="10">
        <f t="shared" si="614"/>
        <v>564</v>
      </c>
      <c r="BH117" s="10">
        <f t="shared" si="614"/>
        <v>564</v>
      </c>
      <c r="BI117" s="10">
        <f t="shared" si="614"/>
        <v>564</v>
      </c>
      <c r="BJ117" s="10">
        <f t="shared" si="614"/>
        <v>564</v>
      </c>
      <c r="BK117" s="10">
        <f t="shared" si="614"/>
        <v>564</v>
      </c>
      <c r="BL117" s="10">
        <f t="shared" si="614"/>
        <v>564</v>
      </c>
      <c r="BM117" s="10">
        <f t="shared" si="614"/>
        <v>564</v>
      </c>
      <c r="BN117" s="10">
        <f t="shared" si="614"/>
        <v>564</v>
      </c>
      <c r="BO117" s="10">
        <f t="shared" si="614"/>
        <v>564</v>
      </c>
      <c r="BP117" s="10">
        <f t="shared" si="614"/>
        <v>564</v>
      </c>
      <c r="BQ117" s="10">
        <f t="shared" si="614"/>
        <v>564</v>
      </c>
      <c r="BR117" s="10">
        <f t="shared" si="614"/>
        <v>564</v>
      </c>
      <c r="BS117" s="10">
        <f t="shared" si="614"/>
        <v>564</v>
      </c>
      <c r="BT117" s="10">
        <f t="shared" si="614"/>
        <v>564</v>
      </c>
      <c r="BU117" s="10">
        <f t="shared" si="614"/>
        <v>564</v>
      </c>
      <c r="BV117" s="10">
        <f t="shared" si="614"/>
        <v>564</v>
      </c>
      <c r="BW117" s="10">
        <f t="shared" si="614"/>
        <v>564</v>
      </c>
      <c r="BX117" s="10">
        <f t="shared" si="614"/>
        <v>564</v>
      </c>
      <c r="BY117" s="10">
        <f t="shared" ref="BY117" si="615">BX117</f>
        <v>564</v>
      </c>
      <c r="BZ117" s="10">
        <f t="shared" ref="BZ117" si="616">BY117</f>
        <v>564</v>
      </c>
      <c r="CA117" s="10">
        <f t="shared" ref="CA117" si="617">BZ117</f>
        <v>564</v>
      </c>
      <c r="CB117" s="10">
        <f t="shared" ref="CB117" si="618">CA117</f>
        <v>564</v>
      </c>
      <c r="CC117" s="10">
        <f t="shared" ref="CC117" si="619">CB117</f>
        <v>564</v>
      </c>
      <c r="CD117" s="10">
        <f t="shared" ref="CD117" si="620">CC117</f>
        <v>564</v>
      </c>
      <c r="CE117" s="10">
        <f t="shared" ref="CE117" si="621">CD117</f>
        <v>564</v>
      </c>
      <c r="CF117" s="10">
        <f t="shared" ref="CF117" si="622">CE117</f>
        <v>564</v>
      </c>
      <c r="CG117" s="10">
        <f t="shared" ref="CG117" si="623">CF117</f>
        <v>564</v>
      </c>
      <c r="CH117" s="10">
        <f t="shared" ref="CH117" si="624">CG117</f>
        <v>564</v>
      </c>
      <c r="CI117" s="10">
        <f t="shared" ref="CI117" si="625">CH117</f>
        <v>564</v>
      </c>
      <c r="CJ117" s="10">
        <f t="shared" ref="CJ117" si="626">CI117</f>
        <v>564</v>
      </c>
      <c r="CK117" s="10">
        <f t="shared" ref="CK117" si="627">CJ117</f>
        <v>564</v>
      </c>
      <c r="CL117" s="10"/>
      <c r="CM117" s="10"/>
      <c r="CO117" s="10"/>
      <c r="CP117" s="10">
        <f t="shared" si="612"/>
        <v>0</v>
      </c>
      <c r="CQ117" s="10">
        <f t="shared" si="612"/>
        <v>36402.6</v>
      </c>
      <c r="CR117" s="10">
        <f t="shared" si="612"/>
        <v>6768</v>
      </c>
      <c r="CS117" s="10">
        <f t="shared" si="612"/>
        <v>6768</v>
      </c>
      <c r="CT117" s="10">
        <f t="shared" si="613"/>
        <v>6768</v>
      </c>
      <c r="CU117" s="10">
        <f t="shared" si="613"/>
        <v>6768</v>
      </c>
    </row>
    <row r="118" spans="2:99" x14ac:dyDescent="0.2">
      <c r="B118" s="20" t="s">
        <v>6</v>
      </c>
      <c r="C118" s="23" t="s">
        <v>4</v>
      </c>
      <c r="D118" s="102"/>
      <c r="E118" s="102"/>
      <c r="F118" s="24">
        <f t="shared" ref="F118:K118" si="628">SUM(F114:F116)</f>
        <v>0</v>
      </c>
      <c r="G118" s="24">
        <f t="shared" si="628"/>
        <v>0</v>
      </c>
      <c r="H118" s="24">
        <f t="shared" si="628"/>
        <v>0</v>
      </c>
      <c r="I118" s="24">
        <f t="shared" si="628"/>
        <v>0</v>
      </c>
      <c r="J118" s="24">
        <f t="shared" si="628"/>
        <v>0</v>
      </c>
      <c r="K118" s="24">
        <f t="shared" si="628"/>
        <v>0</v>
      </c>
      <c r="L118" s="24">
        <f>SUM(L114:L115)</f>
        <v>0</v>
      </c>
      <c r="M118" s="24">
        <f t="shared" ref="M118:T118" si="629">SUM(M114:M116)</f>
        <v>0</v>
      </c>
      <c r="N118" s="24">
        <f t="shared" si="629"/>
        <v>0</v>
      </c>
      <c r="O118" s="24">
        <f t="shared" si="629"/>
        <v>0</v>
      </c>
      <c r="P118" s="24">
        <f t="shared" si="629"/>
        <v>0</v>
      </c>
      <c r="Q118" s="24">
        <f t="shared" si="629"/>
        <v>0</v>
      </c>
      <c r="R118" s="24">
        <f t="shared" si="629"/>
        <v>0</v>
      </c>
      <c r="S118" s="24">
        <f t="shared" si="629"/>
        <v>0</v>
      </c>
      <c r="T118" s="24">
        <f t="shared" si="629"/>
        <v>0</v>
      </c>
      <c r="U118" s="24">
        <f t="shared" ref="U118:AZ118" si="630">SUM(U114:U117)</f>
        <v>0</v>
      </c>
      <c r="V118" s="24">
        <f t="shared" si="630"/>
        <v>0</v>
      </c>
      <c r="W118" s="24">
        <f t="shared" si="630"/>
        <v>0</v>
      </c>
      <c r="X118" s="24">
        <f t="shared" si="630"/>
        <v>0</v>
      </c>
      <c r="Y118" s="24">
        <f t="shared" si="630"/>
        <v>0</v>
      </c>
      <c r="Z118" s="24">
        <f t="shared" si="630"/>
        <v>0</v>
      </c>
      <c r="AA118" s="24">
        <f t="shared" si="630"/>
        <v>0</v>
      </c>
      <c r="AB118" s="24">
        <f t="shared" si="630"/>
        <v>0</v>
      </c>
      <c r="AC118" s="24">
        <f t="shared" si="630"/>
        <v>10000</v>
      </c>
      <c r="AD118" s="24">
        <f t="shared" si="630"/>
        <v>0</v>
      </c>
      <c r="AE118" s="24">
        <f t="shared" si="630"/>
        <v>1388</v>
      </c>
      <c r="AF118" s="24">
        <f t="shared" si="630"/>
        <v>6148.6</v>
      </c>
      <c r="AG118" s="24">
        <f t="shared" si="630"/>
        <v>17572</v>
      </c>
      <c r="AH118" s="24">
        <f t="shared" si="630"/>
        <v>14814</v>
      </c>
      <c r="AI118" s="24">
        <f t="shared" si="630"/>
        <v>332814</v>
      </c>
      <c r="AJ118" s="24">
        <f t="shared" si="630"/>
        <v>10314</v>
      </c>
      <c r="AK118" s="24">
        <f t="shared" si="630"/>
        <v>3314</v>
      </c>
      <c r="AL118" s="24">
        <f t="shared" si="630"/>
        <v>564</v>
      </c>
      <c r="AM118" s="24">
        <f t="shared" si="630"/>
        <v>564</v>
      </c>
      <c r="AN118" s="24">
        <f t="shared" si="630"/>
        <v>564</v>
      </c>
      <c r="AO118" s="24">
        <f t="shared" si="630"/>
        <v>564</v>
      </c>
      <c r="AP118" s="24">
        <f t="shared" si="630"/>
        <v>564</v>
      </c>
      <c r="AQ118" s="24">
        <f t="shared" si="630"/>
        <v>564</v>
      </c>
      <c r="AR118" s="24">
        <f t="shared" si="630"/>
        <v>564</v>
      </c>
      <c r="AS118" s="24">
        <f t="shared" si="630"/>
        <v>564</v>
      </c>
      <c r="AT118" s="24">
        <f t="shared" si="630"/>
        <v>564</v>
      </c>
      <c r="AU118" s="24">
        <f t="shared" si="630"/>
        <v>564</v>
      </c>
      <c r="AV118" s="24">
        <f t="shared" si="630"/>
        <v>564</v>
      </c>
      <c r="AW118" s="24">
        <f t="shared" si="630"/>
        <v>564</v>
      </c>
      <c r="AX118" s="24">
        <f t="shared" si="630"/>
        <v>564</v>
      </c>
      <c r="AY118" s="24">
        <f t="shared" si="630"/>
        <v>564</v>
      </c>
      <c r="AZ118" s="24">
        <f t="shared" si="630"/>
        <v>564</v>
      </c>
      <c r="BA118" s="24">
        <f t="shared" ref="BA118:BX118" si="631">SUM(BA114:BA117)</f>
        <v>564</v>
      </c>
      <c r="BB118" s="24">
        <f t="shared" si="631"/>
        <v>564</v>
      </c>
      <c r="BC118" s="24">
        <f t="shared" si="631"/>
        <v>564</v>
      </c>
      <c r="BD118" s="24">
        <f t="shared" si="631"/>
        <v>564</v>
      </c>
      <c r="BE118" s="24">
        <f t="shared" si="631"/>
        <v>564</v>
      </c>
      <c r="BF118" s="24">
        <f t="shared" si="631"/>
        <v>564</v>
      </c>
      <c r="BG118" s="24">
        <f t="shared" si="631"/>
        <v>564</v>
      </c>
      <c r="BH118" s="24">
        <f t="shared" si="631"/>
        <v>564</v>
      </c>
      <c r="BI118" s="24">
        <f t="shared" si="631"/>
        <v>564</v>
      </c>
      <c r="BJ118" s="24">
        <f t="shared" si="631"/>
        <v>564</v>
      </c>
      <c r="BK118" s="24">
        <f t="shared" si="631"/>
        <v>564</v>
      </c>
      <c r="BL118" s="24">
        <f t="shared" si="631"/>
        <v>564</v>
      </c>
      <c r="BM118" s="24">
        <f t="shared" si="631"/>
        <v>564</v>
      </c>
      <c r="BN118" s="24">
        <f t="shared" si="631"/>
        <v>564</v>
      </c>
      <c r="BO118" s="24">
        <f t="shared" si="631"/>
        <v>564</v>
      </c>
      <c r="BP118" s="24">
        <f t="shared" si="631"/>
        <v>564</v>
      </c>
      <c r="BQ118" s="24">
        <f t="shared" si="631"/>
        <v>564</v>
      </c>
      <c r="BR118" s="24">
        <f t="shared" si="631"/>
        <v>564</v>
      </c>
      <c r="BS118" s="24">
        <f t="shared" si="631"/>
        <v>564</v>
      </c>
      <c r="BT118" s="24">
        <f t="shared" si="631"/>
        <v>564</v>
      </c>
      <c r="BU118" s="24">
        <f t="shared" si="631"/>
        <v>564</v>
      </c>
      <c r="BV118" s="24">
        <f t="shared" si="631"/>
        <v>564</v>
      </c>
      <c r="BW118" s="24">
        <f t="shared" si="631"/>
        <v>564</v>
      </c>
      <c r="BX118" s="24">
        <f t="shared" si="631"/>
        <v>564</v>
      </c>
      <c r="BY118" s="24">
        <f t="shared" ref="BY118:CK118" si="632">SUM(BY114:BY117)</f>
        <v>564</v>
      </c>
      <c r="BZ118" s="24">
        <f t="shared" si="632"/>
        <v>564</v>
      </c>
      <c r="CA118" s="24">
        <f t="shared" si="632"/>
        <v>564</v>
      </c>
      <c r="CB118" s="24">
        <f t="shared" si="632"/>
        <v>564</v>
      </c>
      <c r="CC118" s="24">
        <f t="shared" si="632"/>
        <v>564</v>
      </c>
      <c r="CD118" s="24">
        <f t="shared" si="632"/>
        <v>564</v>
      </c>
      <c r="CE118" s="24">
        <f t="shared" si="632"/>
        <v>564</v>
      </c>
      <c r="CF118" s="24">
        <f t="shared" si="632"/>
        <v>564</v>
      </c>
      <c r="CG118" s="24">
        <f t="shared" si="632"/>
        <v>564</v>
      </c>
      <c r="CH118" s="24">
        <f t="shared" si="632"/>
        <v>564</v>
      </c>
      <c r="CI118" s="24">
        <f t="shared" si="632"/>
        <v>564</v>
      </c>
      <c r="CJ118" s="24">
        <f t="shared" si="632"/>
        <v>564</v>
      </c>
      <c r="CK118" s="24">
        <f t="shared" si="632"/>
        <v>564</v>
      </c>
      <c r="CO118" s="24">
        <f>SUMIF($L$2:$CK$2,CO$3,$L118:$CK118)</f>
        <v>0</v>
      </c>
      <c r="CP118" s="24">
        <f>SUMIF($L$2:$CK$2,CP$3,$L118:$CK118)</f>
        <v>10000</v>
      </c>
      <c r="CQ118" s="24">
        <f>SUMIF($L$2:$CK$2,CQ$3,$L118:$CK118)</f>
        <v>388620.6</v>
      </c>
      <c r="CR118" s="24">
        <f>SUMIF($L$2:$CK$2,CR$3,$L118:$CK118)</f>
        <v>6768</v>
      </c>
      <c r="CS118" s="24">
        <f>SUMIF($L$2:$CK$2,CS$3,$L118:$CK118)</f>
        <v>6768</v>
      </c>
      <c r="CT118" s="24">
        <f t="shared" ref="CT118:CU118" si="633">SUMIF($L$2:$CK$2,CT$3,$L118:$CK118)</f>
        <v>6768</v>
      </c>
      <c r="CU118" s="24">
        <f t="shared" si="633"/>
        <v>6768</v>
      </c>
    </row>
    <row r="120" spans="2:99" s="27" customFormat="1" x14ac:dyDescent="0.2">
      <c r="B120" s="27" t="s">
        <v>88</v>
      </c>
      <c r="F120" s="28">
        <f t="shared" ref="F120:AK120" si="634">F47/1.2*0.2-F98/1.2*0.2-F118/1.2*0.2</f>
        <v>891.40258777509553</v>
      </c>
      <c r="G120" s="28">
        <f t="shared" si="634"/>
        <v>1499.7516199335578</v>
      </c>
      <c r="H120" s="28">
        <f t="shared" si="634"/>
        <v>1259.3589611229763</v>
      </c>
      <c r="I120" s="28">
        <f t="shared" si="634"/>
        <v>1496.915310075502</v>
      </c>
      <c r="J120" s="28">
        <f t="shared" si="634"/>
        <v>1458.2322669801097</v>
      </c>
      <c r="K120" s="28">
        <f t="shared" si="634"/>
        <v>1413.7617539430021</v>
      </c>
      <c r="L120" s="28">
        <f t="shared" si="634"/>
        <v>1923.1199770048661</v>
      </c>
      <c r="M120" s="28">
        <f t="shared" si="634"/>
        <v>1658.351245117432</v>
      </c>
      <c r="N120" s="28">
        <f t="shared" si="634"/>
        <v>1620.6675775537997</v>
      </c>
      <c r="O120" s="28">
        <f t="shared" si="634"/>
        <v>1528.7821678937471</v>
      </c>
      <c r="P120" s="28">
        <f t="shared" si="634"/>
        <v>1849.7050359581699</v>
      </c>
      <c r="Q120" s="28">
        <f t="shared" si="634"/>
        <v>2165.4033860008922</v>
      </c>
      <c r="R120" s="28">
        <f t="shared" si="634"/>
        <v>1235.4242818053344</v>
      </c>
      <c r="S120" s="28">
        <f t="shared" si="634"/>
        <v>834.35932167999999</v>
      </c>
      <c r="T120" s="28">
        <f t="shared" si="634"/>
        <v>3100.5885823999979</v>
      </c>
      <c r="U120" s="28">
        <f t="shared" si="634"/>
        <v>1262.5286901146656</v>
      </c>
      <c r="V120" s="28">
        <f t="shared" si="634"/>
        <v>1585.7973006506691</v>
      </c>
      <c r="W120" s="28">
        <f t="shared" si="634"/>
        <v>1689.3657252713328</v>
      </c>
      <c r="X120" s="28">
        <f t="shared" si="634"/>
        <v>2068.7713852200477</v>
      </c>
      <c r="Y120" s="28">
        <f t="shared" si="634"/>
        <v>2014.9432314814576</v>
      </c>
      <c r="Z120" s="28">
        <f t="shared" si="634"/>
        <v>2051.0554304399902</v>
      </c>
      <c r="AA120" s="28">
        <f t="shared" si="634"/>
        <v>2857.5062496873325</v>
      </c>
      <c r="AB120" s="28">
        <f t="shared" si="634"/>
        <v>2780.2083976199992</v>
      </c>
      <c r="AC120" s="28">
        <f t="shared" si="634"/>
        <v>1667.7182687613331</v>
      </c>
      <c r="AD120" s="28">
        <f t="shared" si="634"/>
        <v>1619.5768454000008</v>
      </c>
      <c r="AE120" s="28">
        <f t="shared" si="634"/>
        <v>1504.803244733333</v>
      </c>
      <c r="AF120" s="28">
        <f t="shared" si="634"/>
        <v>1250.7989542666651</v>
      </c>
      <c r="AG120" s="28">
        <f t="shared" si="634"/>
        <v>-670.88000000000011</v>
      </c>
      <c r="AH120" s="28">
        <f t="shared" si="634"/>
        <v>-105.48000000000138</v>
      </c>
      <c r="AI120" s="28">
        <f t="shared" si="634"/>
        <v>-53047.326666666668</v>
      </c>
      <c r="AJ120" s="28">
        <f t="shared" si="634"/>
        <v>877.13333333333503</v>
      </c>
      <c r="AK120" s="28">
        <f t="shared" si="634"/>
        <v>3389.7000000000012</v>
      </c>
      <c r="AL120" s="28">
        <f t="shared" ref="AL120:BQ120" si="635">AL47/1.2*0.2-AL98/1.2*0.2-AL118/1.2*0.2</f>
        <v>4238.8333333333339</v>
      </c>
      <c r="AM120" s="28">
        <f t="shared" si="635"/>
        <v>4145.1213333333344</v>
      </c>
      <c r="AN120" s="28">
        <f t="shared" si="635"/>
        <v>4288.6840000000011</v>
      </c>
      <c r="AO120" s="28">
        <f t="shared" si="635"/>
        <v>5377.116666666665</v>
      </c>
      <c r="AP120" s="28">
        <f t="shared" si="635"/>
        <v>4739.2719166666666</v>
      </c>
      <c r="AQ120" s="28">
        <f t="shared" si="635"/>
        <v>5424.9674479166642</v>
      </c>
      <c r="AR120" s="28">
        <f t="shared" si="635"/>
        <v>6258.9045138888832</v>
      </c>
      <c r="AS120" s="28">
        <f t="shared" si="635"/>
        <v>6567.8464705040096</v>
      </c>
      <c r="AT120" s="28">
        <f t="shared" si="635"/>
        <v>6863.197712330566</v>
      </c>
      <c r="AU120" s="28">
        <f t="shared" si="635"/>
        <v>7013.8871214257488</v>
      </c>
      <c r="AV120" s="28">
        <f t="shared" si="635"/>
        <v>7167.6518245840962</v>
      </c>
      <c r="AW120" s="28">
        <f t="shared" si="635"/>
        <v>6887.2729583142536</v>
      </c>
      <c r="AX120" s="28">
        <f t="shared" si="635"/>
        <v>6665.0372695648293</v>
      </c>
      <c r="AY120" s="28">
        <f t="shared" si="635"/>
        <v>6449.4686514778878</v>
      </c>
      <c r="AZ120" s="28">
        <f t="shared" si="635"/>
        <v>6100.9660522373269</v>
      </c>
      <c r="BA120" s="28">
        <f t="shared" si="635"/>
        <v>8308.14918076088</v>
      </c>
      <c r="BB120" s="28">
        <f t="shared" si="635"/>
        <v>5851.2735075000091</v>
      </c>
      <c r="BC120" s="28">
        <f t="shared" si="635"/>
        <v>6375.9361067057289</v>
      </c>
      <c r="BD120" s="28">
        <f t="shared" si="635"/>
        <v>7346.8744420572948</v>
      </c>
      <c r="BE120" s="28">
        <f t="shared" si="635"/>
        <v>7706.1271470951469</v>
      </c>
      <c r="BF120" s="28">
        <f t="shared" si="635"/>
        <v>8050.5452921130054</v>
      </c>
      <c r="BG120" s="28">
        <f t="shared" si="635"/>
        <v>8226.2688354894563</v>
      </c>
      <c r="BH120" s="28">
        <f t="shared" si="635"/>
        <v>8405.5785736286962</v>
      </c>
      <c r="BI120" s="28">
        <f t="shared" si="635"/>
        <v>8079.143885013098</v>
      </c>
      <c r="BJ120" s="28">
        <f t="shared" si="635"/>
        <v>7819.9723184626964</v>
      </c>
      <c r="BK120" s="28">
        <f t="shared" si="635"/>
        <v>7568.5758989088208</v>
      </c>
      <c r="BL120" s="28">
        <f t="shared" si="635"/>
        <v>7322.3566347213091</v>
      </c>
      <c r="BM120" s="28">
        <f t="shared" si="635"/>
        <v>9736.1716941733903</v>
      </c>
      <c r="BN120" s="28">
        <f t="shared" si="635"/>
        <v>6878.1454981686329</v>
      </c>
      <c r="BO120" s="28">
        <f t="shared" si="635"/>
        <v>7488.0063919422246</v>
      </c>
      <c r="BP120" s="28">
        <f t="shared" si="635"/>
        <v>8618.4794423152016</v>
      </c>
      <c r="BQ120" s="28">
        <f t="shared" si="635"/>
        <v>9036.2473455891268</v>
      </c>
      <c r="BR120" s="28">
        <f t="shared" ref="BR120:BX120" si="636">BR47/1.2*0.2-BR98/1.2*0.2-BR118/1.2*0.2</f>
        <v>9437.8895613775603</v>
      </c>
      <c r="BS120" s="28">
        <f t="shared" si="636"/>
        <v>9642.809059228799</v>
      </c>
      <c r="BT120" s="28">
        <f t="shared" si="636"/>
        <v>9851.9105876484391</v>
      </c>
      <c r="BU120" s="28">
        <f t="shared" si="636"/>
        <v>9471.8458689453546</v>
      </c>
      <c r="BV120" s="28">
        <f t="shared" si="636"/>
        <v>9169.5955178769982</v>
      </c>
      <c r="BW120" s="28">
        <f t="shared" si="636"/>
        <v>9073.0937617420641</v>
      </c>
      <c r="BX120" s="28">
        <f t="shared" si="636"/>
        <v>8589.2807819882983</v>
      </c>
      <c r="BY120" s="28">
        <f t="shared" ref="BY120:CK120" si="637">BY47/1.2*0.2-BY98/1.2*0.2-BY118/1.2*0.2</f>
        <v>11406.900716072338</v>
      </c>
      <c r="BZ120" s="28">
        <f t="shared" si="637"/>
        <v>7862.1459223521651</v>
      </c>
      <c r="CA120" s="28">
        <f t="shared" si="637"/>
        <v>8560.0619533875142</v>
      </c>
      <c r="CB120" s="28">
        <f t="shared" si="637"/>
        <v>9849.6678847347212</v>
      </c>
      <c r="CC120" s="28">
        <f t="shared" si="637"/>
        <v>10328.939309168454</v>
      </c>
      <c r="CD120" s="28">
        <f t="shared" si="637"/>
        <v>10787.50901952566</v>
      </c>
      <c r="CE120" s="28">
        <f t="shared" si="637"/>
        <v>11022.748988577954</v>
      </c>
      <c r="CF120" s="28">
        <f t="shared" si="637"/>
        <v>11262.839845189999</v>
      </c>
      <c r="CG120" s="28">
        <f t="shared" si="637"/>
        <v>10832.066128206097</v>
      </c>
      <c r="CH120" s="28">
        <f t="shared" si="637"/>
        <v>10727.372626231234</v>
      </c>
      <c r="CI120" s="28">
        <f t="shared" si="637"/>
        <v>10389.265601897154</v>
      </c>
      <c r="CJ120" s="28">
        <f t="shared" si="637"/>
        <v>9841.0216898241779</v>
      </c>
      <c r="CK120" s="28">
        <f t="shared" si="637"/>
        <v>13040.03925539412</v>
      </c>
      <c r="CN120" s="8"/>
    </row>
    <row r="123" spans="2:99" x14ac:dyDescent="0.2">
      <c r="B123" s="12"/>
    </row>
    <row r="124" spans="2:99" ht="15" x14ac:dyDescent="0.25">
      <c r="B124" s="319" t="s">
        <v>55</v>
      </c>
      <c r="C124" s="195"/>
      <c r="D124" s="195"/>
      <c r="E124" s="195"/>
      <c r="L124" s="222"/>
      <c r="M124" s="222"/>
      <c r="N124" s="222"/>
      <c r="O124" s="222"/>
      <c r="P124" s="222"/>
      <c r="Q124" s="222"/>
      <c r="R124" s="222"/>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2"/>
      <c r="AO124" s="222"/>
      <c r="AP124" s="222"/>
      <c r="AQ124" s="222"/>
      <c r="AR124" s="222"/>
      <c r="AS124" s="222"/>
      <c r="AT124" s="222"/>
      <c r="AU124" s="222"/>
      <c r="AV124" s="222"/>
      <c r="AW124" s="222"/>
      <c r="AX124" s="222"/>
      <c r="AY124" s="222"/>
      <c r="AZ124" s="222"/>
      <c r="BA124" s="222"/>
      <c r="BB124" s="222"/>
      <c r="BC124" s="222"/>
      <c r="BD124" s="222"/>
      <c r="BE124" s="222"/>
      <c r="BF124" s="222"/>
      <c r="BG124" s="222"/>
      <c r="BH124" s="222"/>
      <c r="BI124" s="222"/>
      <c r="BJ124" s="222"/>
      <c r="BK124" s="222"/>
      <c r="BL124" s="222"/>
      <c r="BM124" s="222"/>
      <c r="BN124" s="222"/>
      <c r="BO124" s="222"/>
      <c r="BP124" s="222"/>
      <c r="BQ124" s="222"/>
      <c r="BR124" s="222"/>
      <c r="BS124" s="222"/>
      <c r="BT124" s="222"/>
      <c r="BU124" s="222"/>
      <c r="BV124" s="222"/>
      <c r="BW124" s="222"/>
      <c r="BX124" s="222"/>
      <c r="BY124" s="222"/>
      <c r="BZ124" s="222"/>
      <c r="CA124" s="222"/>
      <c r="CB124" s="222"/>
      <c r="CC124" s="222"/>
      <c r="CD124" s="222"/>
      <c r="CE124" s="222"/>
      <c r="CF124" s="222"/>
      <c r="CG124" s="222"/>
      <c r="CH124" s="222"/>
      <c r="CI124" s="222"/>
      <c r="CJ124" s="222"/>
      <c r="CK124" s="222"/>
      <c r="CL124" s="197"/>
      <c r="CM124" s="197"/>
      <c r="CO124" s="198"/>
      <c r="CP124" s="223"/>
      <c r="CQ124" s="198"/>
      <c r="CR124" s="198"/>
      <c r="CS124" s="198"/>
      <c r="CT124" s="198"/>
      <c r="CU124" s="198"/>
    </row>
    <row r="125" spans="2:99" ht="15" x14ac:dyDescent="0.2">
      <c r="B125" s="320" t="s">
        <v>1</v>
      </c>
      <c r="C125" s="200" t="s">
        <v>2</v>
      </c>
      <c r="D125" s="86"/>
      <c r="E125" s="86"/>
      <c r="F125" s="201">
        <f t="shared" ref="F125:AK125" si="638">F113</f>
        <v>45292</v>
      </c>
      <c r="G125" s="201">
        <f t="shared" si="638"/>
        <v>45323</v>
      </c>
      <c r="H125" s="201">
        <f t="shared" si="638"/>
        <v>45352</v>
      </c>
      <c r="I125" s="201">
        <f t="shared" si="638"/>
        <v>45383</v>
      </c>
      <c r="J125" s="201">
        <f t="shared" si="638"/>
        <v>45413</v>
      </c>
      <c r="K125" s="201">
        <f t="shared" si="638"/>
        <v>45444</v>
      </c>
      <c r="L125" s="201">
        <f t="shared" si="638"/>
        <v>45474</v>
      </c>
      <c r="M125" s="201">
        <f t="shared" si="638"/>
        <v>45505</v>
      </c>
      <c r="N125" s="201">
        <f t="shared" si="638"/>
        <v>45536</v>
      </c>
      <c r="O125" s="201">
        <f t="shared" si="638"/>
        <v>45566</v>
      </c>
      <c r="P125" s="201">
        <f t="shared" si="638"/>
        <v>45597</v>
      </c>
      <c r="Q125" s="201">
        <f t="shared" si="638"/>
        <v>45627</v>
      </c>
      <c r="R125" s="201">
        <f t="shared" si="638"/>
        <v>45658</v>
      </c>
      <c r="S125" s="201">
        <f t="shared" si="638"/>
        <v>45689</v>
      </c>
      <c r="T125" s="201">
        <f t="shared" si="638"/>
        <v>45717</v>
      </c>
      <c r="U125" s="201">
        <f t="shared" si="638"/>
        <v>45748</v>
      </c>
      <c r="V125" s="201">
        <f t="shared" si="638"/>
        <v>45778</v>
      </c>
      <c r="W125" s="201">
        <f t="shared" si="638"/>
        <v>45809</v>
      </c>
      <c r="X125" s="201">
        <f t="shared" si="638"/>
        <v>45839</v>
      </c>
      <c r="Y125" s="201">
        <f t="shared" si="638"/>
        <v>45870</v>
      </c>
      <c r="Z125" s="201">
        <f t="shared" si="638"/>
        <v>45901</v>
      </c>
      <c r="AA125" s="201">
        <f t="shared" si="638"/>
        <v>45931</v>
      </c>
      <c r="AB125" s="201">
        <f t="shared" si="638"/>
        <v>45962</v>
      </c>
      <c r="AC125" s="201">
        <f t="shared" si="638"/>
        <v>45992</v>
      </c>
      <c r="AD125" s="201">
        <f t="shared" si="638"/>
        <v>46023</v>
      </c>
      <c r="AE125" s="201">
        <f t="shared" si="638"/>
        <v>46054</v>
      </c>
      <c r="AF125" s="201">
        <f t="shared" si="638"/>
        <v>46082</v>
      </c>
      <c r="AG125" s="201">
        <f t="shared" si="638"/>
        <v>46113</v>
      </c>
      <c r="AH125" s="201">
        <f t="shared" si="638"/>
        <v>46143</v>
      </c>
      <c r="AI125" s="201">
        <f t="shared" si="638"/>
        <v>46174</v>
      </c>
      <c r="AJ125" s="201">
        <f t="shared" si="638"/>
        <v>46204</v>
      </c>
      <c r="AK125" s="201">
        <f t="shared" si="638"/>
        <v>46235</v>
      </c>
      <c r="AL125" s="201">
        <f t="shared" ref="AL125:BQ125" si="639">AL113</f>
        <v>46266</v>
      </c>
      <c r="AM125" s="201">
        <f t="shared" si="639"/>
        <v>46296</v>
      </c>
      <c r="AN125" s="201">
        <f t="shared" si="639"/>
        <v>46327</v>
      </c>
      <c r="AO125" s="201">
        <f t="shared" si="639"/>
        <v>46357</v>
      </c>
      <c r="AP125" s="201">
        <f t="shared" si="639"/>
        <v>46388</v>
      </c>
      <c r="AQ125" s="201">
        <f t="shared" si="639"/>
        <v>46419</v>
      </c>
      <c r="AR125" s="201">
        <f t="shared" si="639"/>
        <v>46447</v>
      </c>
      <c r="AS125" s="201">
        <f t="shared" si="639"/>
        <v>46478</v>
      </c>
      <c r="AT125" s="201">
        <f t="shared" si="639"/>
        <v>46508</v>
      </c>
      <c r="AU125" s="201">
        <f t="shared" si="639"/>
        <v>46539</v>
      </c>
      <c r="AV125" s="201">
        <f t="shared" si="639"/>
        <v>46569</v>
      </c>
      <c r="AW125" s="201">
        <f t="shared" si="639"/>
        <v>46600</v>
      </c>
      <c r="AX125" s="201">
        <f t="shared" si="639"/>
        <v>46631</v>
      </c>
      <c r="AY125" s="201">
        <f t="shared" si="639"/>
        <v>46661</v>
      </c>
      <c r="AZ125" s="201">
        <f t="shared" si="639"/>
        <v>46692</v>
      </c>
      <c r="BA125" s="201">
        <f t="shared" si="639"/>
        <v>46722</v>
      </c>
      <c r="BB125" s="201">
        <f t="shared" si="639"/>
        <v>46753</v>
      </c>
      <c r="BC125" s="201">
        <f t="shared" si="639"/>
        <v>46784</v>
      </c>
      <c r="BD125" s="201">
        <f t="shared" si="639"/>
        <v>46813</v>
      </c>
      <c r="BE125" s="201">
        <f t="shared" si="639"/>
        <v>46844</v>
      </c>
      <c r="BF125" s="201">
        <f t="shared" si="639"/>
        <v>46874</v>
      </c>
      <c r="BG125" s="201">
        <f t="shared" si="639"/>
        <v>46905</v>
      </c>
      <c r="BH125" s="201">
        <f t="shared" si="639"/>
        <v>46935</v>
      </c>
      <c r="BI125" s="201">
        <f t="shared" si="639"/>
        <v>46966</v>
      </c>
      <c r="BJ125" s="201">
        <f t="shared" si="639"/>
        <v>46997</v>
      </c>
      <c r="BK125" s="201">
        <f t="shared" si="639"/>
        <v>47027</v>
      </c>
      <c r="BL125" s="201">
        <f t="shared" si="639"/>
        <v>47058</v>
      </c>
      <c r="BM125" s="201">
        <f t="shared" si="639"/>
        <v>47088</v>
      </c>
      <c r="BN125" s="201">
        <f t="shared" si="639"/>
        <v>47119</v>
      </c>
      <c r="BO125" s="201">
        <f t="shared" si="639"/>
        <v>47150</v>
      </c>
      <c r="BP125" s="201">
        <f t="shared" si="639"/>
        <v>47178</v>
      </c>
      <c r="BQ125" s="201">
        <f t="shared" si="639"/>
        <v>47209</v>
      </c>
      <c r="BR125" s="201">
        <f t="shared" ref="BR125:BX125" si="640">BR113</f>
        <v>47239</v>
      </c>
      <c r="BS125" s="201">
        <f t="shared" si="640"/>
        <v>47270</v>
      </c>
      <c r="BT125" s="201">
        <f t="shared" si="640"/>
        <v>47300</v>
      </c>
      <c r="BU125" s="201">
        <f t="shared" si="640"/>
        <v>47331</v>
      </c>
      <c r="BV125" s="201">
        <f t="shared" si="640"/>
        <v>47362</v>
      </c>
      <c r="BW125" s="201">
        <f t="shared" si="640"/>
        <v>47392</v>
      </c>
      <c r="BX125" s="201">
        <f t="shared" si="640"/>
        <v>47423</v>
      </c>
      <c r="BY125" s="201">
        <f t="shared" ref="BY125:CK125" si="641">BY113</f>
        <v>47453</v>
      </c>
      <c r="BZ125" s="201">
        <f t="shared" si="641"/>
        <v>47484</v>
      </c>
      <c r="CA125" s="201">
        <f t="shared" si="641"/>
        <v>47515</v>
      </c>
      <c r="CB125" s="201">
        <f t="shared" si="641"/>
        <v>47543</v>
      </c>
      <c r="CC125" s="201">
        <f t="shared" si="641"/>
        <v>47574</v>
      </c>
      <c r="CD125" s="201">
        <f t="shared" si="641"/>
        <v>47604</v>
      </c>
      <c r="CE125" s="201">
        <f t="shared" si="641"/>
        <v>47635</v>
      </c>
      <c r="CF125" s="201">
        <f t="shared" si="641"/>
        <v>47665</v>
      </c>
      <c r="CG125" s="201">
        <f t="shared" si="641"/>
        <v>47696</v>
      </c>
      <c r="CH125" s="201">
        <f t="shared" si="641"/>
        <v>47727</v>
      </c>
      <c r="CI125" s="201">
        <f t="shared" si="641"/>
        <v>47757</v>
      </c>
      <c r="CJ125" s="201">
        <f t="shared" si="641"/>
        <v>47788</v>
      </c>
      <c r="CK125" s="201">
        <f t="shared" si="641"/>
        <v>47818</v>
      </c>
      <c r="CO125" s="10"/>
      <c r="CP125" s="10"/>
      <c r="CQ125" s="10"/>
      <c r="CR125" s="10"/>
      <c r="CS125" s="10"/>
      <c r="CT125" s="10"/>
      <c r="CU125" s="10"/>
    </row>
    <row r="126" spans="2:99" ht="15" x14ac:dyDescent="0.25">
      <c r="B126" s="321" t="s">
        <v>381</v>
      </c>
      <c r="C126" s="89" t="s">
        <v>4</v>
      </c>
      <c r="D126" s="86"/>
      <c r="E126" s="86"/>
      <c r="F126" s="14"/>
      <c r="G126" s="14"/>
      <c r="H126" s="14"/>
      <c r="I126" s="14"/>
      <c r="J126" s="14"/>
      <c r="K126" s="14"/>
      <c r="L126" s="14"/>
      <c r="M126" s="14"/>
      <c r="N126" s="14"/>
      <c r="O126" s="14"/>
      <c r="P126" s="14"/>
      <c r="Q126" s="14">
        <v>29925.000000000015</v>
      </c>
      <c r="R126" s="14">
        <f t="shared" ref="R126:BR126" si="642">SUM(R127:R128)</f>
        <v>29737.33333333335</v>
      </c>
      <c r="S126" s="14">
        <f t="shared" si="642"/>
        <v>29549.666666666682</v>
      </c>
      <c r="T126" s="14">
        <f t="shared" si="642"/>
        <v>29362.000000000015</v>
      </c>
      <c r="U126" s="14">
        <f t="shared" si="642"/>
        <v>29174.33333333335</v>
      </c>
      <c r="V126" s="14">
        <f t="shared" si="642"/>
        <v>28986.666666666686</v>
      </c>
      <c r="W126" s="14">
        <f t="shared" si="642"/>
        <v>28799.000000000018</v>
      </c>
      <c r="X126" s="14">
        <f t="shared" si="642"/>
        <v>28307.500000000018</v>
      </c>
      <c r="Y126" s="14">
        <f t="shared" si="642"/>
        <v>27816.000000000018</v>
      </c>
      <c r="Z126" s="14">
        <f t="shared" si="642"/>
        <v>27324.500000000018</v>
      </c>
      <c r="AA126" s="14">
        <f t="shared" si="642"/>
        <v>26833.000000000018</v>
      </c>
      <c r="AB126" s="14">
        <f t="shared" si="642"/>
        <v>26341.500000000018</v>
      </c>
      <c r="AC126" s="14">
        <f t="shared" si="642"/>
        <v>34183.33333333335</v>
      </c>
      <c r="AD126" s="14">
        <f t="shared" si="642"/>
        <v>33907.501388888908</v>
      </c>
      <c r="AE126" s="14">
        <f t="shared" si="642"/>
        <v>34789.41596064817</v>
      </c>
      <c r="AF126" s="14">
        <f t="shared" si="642"/>
        <v>39629.929160976099</v>
      </c>
      <c r="AG126" s="14">
        <f t="shared" si="642"/>
        <v>53948.386001301296</v>
      </c>
      <c r="AH126" s="14">
        <f t="shared" si="642"/>
        <v>65847.970284623792</v>
      </c>
      <c r="AI126" s="14">
        <f t="shared" si="642"/>
        <v>342647.17261558521</v>
      </c>
      <c r="AJ126" s="14">
        <f t="shared" si="642"/>
        <v>348388.496177122</v>
      </c>
      <c r="AK126" s="14">
        <f t="shared" si="642"/>
        <v>348247.42329231265</v>
      </c>
      <c r="AL126" s="14">
        <f t="shared" si="642"/>
        <v>345814.64059821004</v>
      </c>
      <c r="AM126" s="14">
        <f t="shared" si="642"/>
        <v>343400.91234322498</v>
      </c>
      <c r="AN126" s="14">
        <f t="shared" si="642"/>
        <v>341006.07974036474</v>
      </c>
      <c r="AO126" s="14">
        <f t="shared" si="642"/>
        <v>338629.98532586172</v>
      </c>
      <c r="AP126" s="14">
        <f t="shared" si="642"/>
        <v>336272.47294814623</v>
      </c>
      <c r="AQ126" s="14">
        <f t="shared" si="642"/>
        <v>333933.38775691169</v>
      </c>
      <c r="AR126" s="14">
        <f t="shared" si="642"/>
        <v>331612.57619227073</v>
      </c>
      <c r="AS126" s="14">
        <f t="shared" si="642"/>
        <v>329309.88597400184</v>
      </c>
      <c r="AT126" s="14">
        <f t="shared" si="642"/>
        <v>327025.16609088518</v>
      </c>
      <c r="AU126" s="14">
        <f t="shared" si="642"/>
        <v>324758.26679012779</v>
      </c>
      <c r="AV126" s="14">
        <f t="shared" si="642"/>
        <v>322509.03956687672</v>
      </c>
      <c r="AW126" s="14">
        <f t="shared" si="642"/>
        <v>320277.33715381939</v>
      </c>
      <c r="AX126" s="14">
        <f t="shared" si="642"/>
        <v>318063.01351087092</v>
      </c>
      <c r="AY126" s="14">
        <f t="shared" si="642"/>
        <v>315865.92381494702</v>
      </c>
      <c r="AZ126" s="14">
        <f t="shared" si="642"/>
        <v>313685.92444982246</v>
      </c>
      <c r="BA126" s="14">
        <f t="shared" si="642"/>
        <v>311522.87299607391</v>
      </c>
      <c r="BB126" s="14">
        <f t="shared" si="642"/>
        <v>309376.62822110666</v>
      </c>
      <c r="BC126" s="14">
        <f t="shared" si="642"/>
        <v>307247.05006926408</v>
      </c>
      <c r="BD126" s="14">
        <f t="shared" si="642"/>
        <v>305133.99965202023</v>
      </c>
      <c r="BE126" s="14">
        <f t="shared" si="642"/>
        <v>303037.33923825336</v>
      </c>
      <c r="BF126" s="14">
        <f t="shared" si="642"/>
        <v>300956.93224460125</v>
      </c>
      <c r="BG126" s="14">
        <f t="shared" si="642"/>
        <v>298892.64322589623</v>
      </c>
      <c r="BH126" s="14">
        <f t="shared" si="642"/>
        <v>296844.33786568046</v>
      </c>
      <c r="BI126" s="14">
        <f t="shared" si="642"/>
        <v>294811.88296679978</v>
      </c>
      <c r="BJ126" s="14">
        <f t="shared" si="642"/>
        <v>292795.14644207642</v>
      </c>
      <c r="BK126" s="14">
        <f t="shared" si="642"/>
        <v>290793.99730505911</v>
      </c>
      <c r="BL126" s="14">
        <f t="shared" si="642"/>
        <v>288808.30566085025</v>
      </c>
      <c r="BM126" s="14">
        <f t="shared" si="642"/>
        <v>286837.94269700983</v>
      </c>
      <c r="BN126" s="14">
        <f t="shared" si="642"/>
        <v>284882.78067453473</v>
      </c>
      <c r="BO126" s="14">
        <f t="shared" si="642"/>
        <v>282942.69291891361</v>
      </c>
      <c r="BP126" s="14">
        <f t="shared" si="642"/>
        <v>281017.55381125602</v>
      </c>
      <c r="BQ126" s="14">
        <f t="shared" si="642"/>
        <v>279107.23877949553</v>
      </c>
      <c r="BR126" s="14">
        <f t="shared" si="642"/>
        <v>277211.62428966642</v>
      </c>
      <c r="BS126" s="14">
        <f t="shared" ref="BS126:BX126" si="643">SUM(BS127:BS128)</f>
        <v>275330.58783725253</v>
      </c>
      <c r="BT126" s="14">
        <f t="shared" si="643"/>
        <v>273464.00793860876</v>
      </c>
      <c r="BU126" s="14">
        <f t="shared" si="643"/>
        <v>271611.76412245369</v>
      </c>
      <c r="BV126" s="14">
        <f t="shared" si="643"/>
        <v>269773.73692143324</v>
      </c>
      <c r="BW126" s="14">
        <f t="shared" si="643"/>
        <v>267949.80786375463</v>
      </c>
      <c r="BX126" s="14">
        <f t="shared" si="643"/>
        <v>266139.85946489003</v>
      </c>
      <c r="BY126" s="14">
        <f t="shared" ref="BY126:CK126" si="644">SUM(BY127:BY128)</f>
        <v>264343.77521934925</v>
      </c>
      <c r="BZ126" s="14">
        <f t="shared" si="644"/>
        <v>262561.43959252135</v>
      </c>
      <c r="CA126" s="14">
        <f t="shared" si="644"/>
        <v>260792.73801258369</v>
      </c>
      <c r="CB126" s="14">
        <f t="shared" si="644"/>
        <v>259037.55686247884</v>
      </c>
      <c r="CC126" s="14">
        <f t="shared" si="644"/>
        <v>257295.78347195819</v>
      </c>
      <c r="CD126" s="14">
        <f t="shared" si="644"/>
        <v>255567.30610969188</v>
      </c>
      <c r="CE126" s="14">
        <f t="shared" si="644"/>
        <v>253852.01397544445</v>
      </c>
      <c r="CF126" s="14">
        <f t="shared" si="644"/>
        <v>252149.79719231575</v>
      </c>
      <c r="CG126" s="14">
        <f t="shared" si="644"/>
        <v>250460.54679904645</v>
      </c>
      <c r="CH126" s="14">
        <f t="shared" si="644"/>
        <v>248784.15474238773</v>
      </c>
      <c r="CI126" s="14">
        <f t="shared" si="644"/>
        <v>247120.51386953451</v>
      </c>
      <c r="CJ126" s="14">
        <f t="shared" si="644"/>
        <v>245469.51792062173</v>
      </c>
      <c r="CK126" s="14">
        <f t="shared" si="644"/>
        <v>243831.06152128321</v>
      </c>
      <c r="CO126" s="10"/>
      <c r="CP126" s="10"/>
      <c r="CQ126" s="10"/>
      <c r="CR126" s="10"/>
      <c r="CS126" s="10"/>
      <c r="CT126" s="10"/>
      <c r="CU126" s="10"/>
    </row>
    <row r="127" spans="2:99" ht="15" x14ac:dyDescent="0.25">
      <c r="B127" s="322" t="s">
        <v>382</v>
      </c>
      <c r="C127" s="97" t="s">
        <v>4</v>
      </c>
      <c r="D127" s="86"/>
      <c r="E127" s="10"/>
      <c r="F127" s="10"/>
      <c r="G127" s="10"/>
      <c r="H127" s="10"/>
      <c r="I127" s="10"/>
      <c r="J127" s="10"/>
      <c r="K127" s="10"/>
      <c r="L127" s="10"/>
      <c r="M127" s="10"/>
      <c r="N127" s="10"/>
      <c r="O127" s="10"/>
      <c r="P127" s="10"/>
      <c r="Q127" s="10">
        <v>10064</v>
      </c>
      <c r="R127" s="10">
        <f t="shared" ref="R127:W127" si="645">Q127-R130</f>
        <v>9934.6666666666661</v>
      </c>
      <c r="S127" s="10">
        <f t="shared" si="645"/>
        <v>9805.3333333333321</v>
      </c>
      <c r="T127" s="10">
        <f t="shared" si="645"/>
        <v>9675.9999999999982</v>
      </c>
      <c r="U127" s="10">
        <f t="shared" si="645"/>
        <v>9546.6666666666642</v>
      </c>
      <c r="V127" s="10">
        <f t="shared" si="645"/>
        <v>9417.3333333333303</v>
      </c>
      <c r="W127" s="10">
        <f t="shared" si="645"/>
        <v>9287.9999999999964</v>
      </c>
      <c r="X127" s="10">
        <f>W127-X130+X118/1.2</f>
        <v>8942.7499999999964</v>
      </c>
      <c r="Y127" s="10">
        <f t="shared" ref="Y127:BX127" si="646">X127-Y130+Y118/1.2</f>
        <v>8597.4999999999964</v>
      </c>
      <c r="Z127" s="10">
        <f t="shared" si="646"/>
        <v>8252.2499999999964</v>
      </c>
      <c r="AA127" s="10">
        <f t="shared" si="646"/>
        <v>7906.9999999999964</v>
      </c>
      <c r="AB127" s="10">
        <f t="shared" si="646"/>
        <v>7561.7499999999964</v>
      </c>
      <c r="AC127" s="10">
        <f t="shared" si="646"/>
        <v>15549.83333333333</v>
      </c>
      <c r="AD127" s="10">
        <f t="shared" si="646"/>
        <v>15420.251388888886</v>
      </c>
      <c r="AE127" s="10">
        <f t="shared" si="646"/>
        <v>16448.415960648144</v>
      </c>
      <c r="AF127" s="10">
        <f t="shared" si="646"/>
        <v>21435.179160976077</v>
      </c>
      <c r="AG127" s="10">
        <f t="shared" si="646"/>
        <v>35899.886001301275</v>
      </c>
      <c r="AH127" s="10">
        <f t="shared" si="646"/>
        <v>47945.720284623763</v>
      </c>
      <c r="AI127" s="10">
        <f t="shared" si="646"/>
        <v>324891.17261558521</v>
      </c>
      <c r="AJ127" s="10">
        <f t="shared" si="646"/>
        <v>330778.746177122</v>
      </c>
      <c r="AK127" s="10">
        <f t="shared" si="646"/>
        <v>330783.92329231265</v>
      </c>
      <c r="AL127" s="10">
        <f t="shared" si="646"/>
        <v>328497.39059821004</v>
      </c>
      <c r="AM127" s="10">
        <f t="shared" si="646"/>
        <v>326229.91234322498</v>
      </c>
      <c r="AN127" s="10">
        <f t="shared" si="646"/>
        <v>323981.32974036474</v>
      </c>
      <c r="AO127" s="10">
        <f t="shared" si="646"/>
        <v>321751.48532586172</v>
      </c>
      <c r="AP127" s="10">
        <f t="shared" si="646"/>
        <v>319540.22294814623</v>
      </c>
      <c r="AQ127" s="10">
        <f t="shared" si="646"/>
        <v>317347.38775691169</v>
      </c>
      <c r="AR127" s="10">
        <f t="shared" si="646"/>
        <v>315172.82619227073</v>
      </c>
      <c r="AS127" s="10">
        <f t="shared" si="646"/>
        <v>313016.38597400184</v>
      </c>
      <c r="AT127" s="10">
        <f t="shared" si="646"/>
        <v>310877.91609088518</v>
      </c>
      <c r="AU127" s="10">
        <f t="shared" si="646"/>
        <v>308757.26679012779</v>
      </c>
      <c r="AV127" s="10">
        <f t="shared" si="646"/>
        <v>306654.28956687672</v>
      </c>
      <c r="AW127" s="10">
        <f t="shared" si="646"/>
        <v>304568.83715381939</v>
      </c>
      <c r="AX127" s="10">
        <f t="shared" si="646"/>
        <v>302500.76351087092</v>
      </c>
      <c r="AY127" s="10">
        <f t="shared" si="646"/>
        <v>300449.92381494702</v>
      </c>
      <c r="AZ127" s="10">
        <f t="shared" si="646"/>
        <v>298416.17444982246</v>
      </c>
      <c r="BA127" s="10">
        <f t="shared" si="646"/>
        <v>296399.37299607391</v>
      </c>
      <c r="BB127" s="10">
        <f t="shared" si="646"/>
        <v>294399.37822110666</v>
      </c>
      <c r="BC127" s="10">
        <f t="shared" si="646"/>
        <v>292416.05006926408</v>
      </c>
      <c r="BD127" s="10">
        <f t="shared" si="646"/>
        <v>290449.24965202023</v>
      </c>
      <c r="BE127" s="10">
        <f t="shared" si="646"/>
        <v>288498.83923825336</v>
      </c>
      <c r="BF127" s="10">
        <f t="shared" si="646"/>
        <v>286564.68224460125</v>
      </c>
      <c r="BG127" s="10">
        <f t="shared" si="646"/>
        <v>284646.64322589623</v>
      </c>
      <c r="BH127" s="10">
        <f t="shared" si="646"/>
        <v>282744.58786568046</v>
      </c>
      <c r="BI127" s="10">
        <f t="shared" si="646"/>
        <v>280858.38296679978</v>
      </c>
      <c r="BJ127" s="10">
        <f t="shared" si="646"/>
        <v>278987.89644207642</v>
      </c>
      <c r="BK127" s="10">
        <f t="shared" si="646"/>
        <v>277132.99730505911</v>
      </c>
      <c r="BL127" s="10">
        <f t="shared" si="646"/>
        <v>275293.55566085025</v>
      </c>
      <c r="BM127" s="10">
        <f t="shared" si="646"/>
        <v>273469.44269700983</v>
      </c>
      <c r="BN127" s="10">
        <f t="shared" si="646"/>
        <v>271660.53067453473</v>
      </c>
      <c r="BO127" s="10">
        <f t="shared" si="646"/>
        <v>269866.69291891361</v>
      </c>
      <c r="BP127" s="10">
        <f t="shared" si="646"/>
        <v>268087.80381125602</v>
      </c>
      <c r="BQ127" s="10">
        <f t="shared" si="646"/>
        <v>266323.73877949553</v>
      </c>
      <c r="BR127" s="10">
        <f t="shared" si="646"/>
        <v>264574.37428966642</v>
      </c>
      <c r="BS127" s="10">
        <f t="shared" si="646"/>
        <v>262839.58783725253</v>
      </c>
      <c r="BT127" s="10">
        <f t="shared" si="646"/>
        <v>261119.25793860876</v>
      </c>
      <c r="BU127" s="10">
        <f t="shared" si="646"/>
        <v>259413.26412245369</v>
      </c>
      <c r="BV127" s="10">
        <f t="shared" si="646"/>
        <v>257721.48692143324</v>
      </c>
      <c r="BW127" s="10">
        <f t="shared" si="646"/>
        <v>256043.80786375463</v>
      </c>
      <c r="BX127" s="10">
        <f t="shared" si="646"/>
        <v>254380.10946489</v>
      </c>
      <c r="BY127" s="10">
        <f t="shared" ref="BY127" si="647">BX127-BY130+BY118/1.2</f>
        <v>252730.27521934925</v>
      </c>
      <c r="BZ127" s="10">
        <f t="shared" ref="BZ127" si="648">BY127-BZ130+BZ118/1.2</f>
        <v>251094.18959252135</v>
      </c>
      <c r="CA127" s="10">
        <f t="shared" ref="CA127" si="649">BZ127-CA130+CA118/1.2</f>
        <v>249471.73801258366</v>
      </c>
      <c r="CB127" s="10">
        <f t="shared" ref="CB127" si="650">CA127-CB130+CB118/1.2</f>
        <v>247862.80686247881</v>
      </c>
      <c r="CC127" s="10">
        <f t="shared" ref="CC127" si="651">CB127-CC130+CC118/1.2</f>
        <v>246267.28347195816</v>
      </c>
      <c r="CD127" s="10">
        <f t="shared" ref="CD127" si="652">CC127-CD130+CD118/1.2</f>
        <v>244685.05610969185</v>
      </c>
      <c r="CE127" s="10">
        <f t="shared" ref="CE127" si="653">CD127-CE130+CE118/1.2</f>
        <v>243116.01397544442</v>
      </c>
      <c r="CF127" s="10">
        <f t="shared" ref="CF127" si="654">CE127-CF130+CF118/1.2</f>
        <v>241560.04719231572</v>
      </c>
      <c r="CG127" s="10">
        <f t="shared" ref="CG127" si="655">CF127-CG130+CG118/1.2</f>
        <v>240017.04679904642</v>
      </c>
      <c r="CH127" s="10">
        <f t="shared" ref="CH127" si="656">CG127-CH130+CH118/1.2</f>
        <v>238486.90474238771</v>
      </c>
      <c r="CI127" s="10">
        <f t="shared" ref="CI127" si="657">CH127-CI130+CI118/1.2</f>
        <v>236969.51386953448</v>
      </c>
      <c r="CJ127" s="10">
        <f t="shared" ref="CJ127" si="658">CI127-CJ130+CJ118/1.2</f>
        <v>235464.7679206217</v>
      </c>
      <c r="CK127" s="10">
        <f t="shared" ref="CK127" si="659">CJ127-CK130+CK118/1.2</f>
        <v>233972.56152128318</v>
      </c>
      <c r="CO127" s="10"/>
      <c r="CP127" s="10"/>
      <c r="CQ127" s="10"/>
      <c r="CR127" s="10"/>
      <c r="CS127" s="10"/>
      <c r="CT127" s="10"/>
      <c r="CU127" s="10"/>
    </row>
    <row r="128" spans="2:99" ht="15" x14ac:dyDescent="0.25">
      <c r="B128" s="322" t="s">
        <v>383</v>
      </c>
      <c r="C128" s="97" t="s">
        <v>4</v>
      </c>
      <c r="D128" s="86"/>
      <c r="E128" s="10"/>
      <c r="F128" s="10"/>
      <c r="G128" s="10"/>
      <c r="H128" s="10"/>
      <c r="I128" s="10"/>
      <c r="J128" s="10"/>
      <c r="K128" s="10"/>
      <c r="L128" s="10"/>
      <c r="M128" s="10"/>
      <c r="N128" s="10"/>
      <c r="O128" s="10"/>
      <c r="P128" s="10"/>
      <c r="Q128" s="10">
        <v>19861.000000000015</v>
      </c>
      <c r="R128" s="10">
        <f t="shared" ref="R128:W128" si="660">Q128-R131</f>
        <v>19802.666666666682</v>
      </c>
      <c r="S128" s="10">
        <f t="shared" si="660"/>
        <v>19744.33333333335</v>
      </c>
      <c r="T128" s="10">
        <f t="shared" si="660"/>
        <v>19686.000000000018</v>
      </c>
      <c r="U128" s="10">
        <f t="shared" si="660"/>
        <v>19627.666666666686</v>
      </c>
      <c r="V128" s="10">
        <f t="shared" si="660"/>
        <v>19569.333333333354</v>
      </c>
      <c r="W128" s="10">
        <f t="shared" si="660"/>
        <v>19511.000000000022</v>
      </c>
      <c r="X128" s="10">
        <f>W128-X131</f>
        <v>19364.750000000022</v>
      </c>
      <c r="Y128" s="10">
        <f t="shared" ref="Y128:BX128" si="661">X128-Y131</f>
        <v>19218.500000000022</v>
      </c>
      <c r="Z128" s="10">
        <f t="shared" si="661"/>
        <v>19072.250000000022</v>
      </c>
      <c r="AA128" s="10">
        <f t="shared" si="661"/>
        <v>18926.000000000022</v>
      </c>
      <c r="AB128" s="10">
        <f t="shared" si="661"/>
        <v>18779.750000000022</v>
      </c>
      <c r="AC128" s="10">
        <f t="shared" si="661"/>
        <v>18633.500000000022</v>
      </c>
      <c r="AD128" s="10">
        <f t="shared" si="661"/>
        <v>18487.250000000022</v>
      </c>
      <c r="AE128" s="10">
        <f t="shared" si="661"/>
        <v>18341.000000000022</v>
      </c>
      <c r="AF128" s="10">
        <f t="shared" si="661"/>
        <v>18194.750000000022</v>
      </c>
      <c r="AG128" s="10">
        <f t="shared" si="661"/>
        <v>18048.500000000022</v>
      </c>
      <c r="AH128" s="10">
        <f t="shared" si="661"/>
        <v>17902.250000000022</v>
      </c>
      <c r="AI128" s="10">
        <f t="shared" si="661"/>
        <v>17756.000000000022</v>
      </c>
      <c r="AJ128" s="10">
        <f t="shared" si="661"/>
        <v>17609.750000000022</v>
      </c>
      <c r="AK128" s="10">
        <f t="shared" si="661"/>
        <v>17463.500000000022</v>
      </c>
      <c r="AL128" s="10">
        <f t="shared" si="661"/>
        <v>17317.250000000022</v>
      </c>
      <c r="AM128" s="10">
        <f t="shared" si="661"/>
        <v>17171.000000000022</v>
      </c>
      <c r="AN128" s="10">
        <f t="shared" si="661"/>
        <v>17024.750000000022</v>
      </c>
      <c r="AO128" s="10">
        <f t="shared" si="661"/>
        <v>16878.500000000022</v>
      </c>
      <c r="AP128" s="10">
        <f t="shared" si="661"/>
        <v>16732.250000000022</v>
      </c>
      <c r="AQ128" s="10">
        <f t="shared" si="661"/>
        <v>16586.000000000022</v>
      </c>
      <c r="AR128" s="10">
        <f t="shared" si="661"/>
        <v>16439.750000000022</v>
      </c>
      <c r="AS128" s="10">
        <f t="shared" si="661"/>
        <v>16293.500000000022</v>
      </c>
      <c r="AT128" s="10">
        <f t="shared" si="661"/>
        <v>16147.250000000022</v>
      </c>
      <c r="AU128" s="10">
        <f t="shared" si="661"/>
        <v>16001.000000000022</v>
      </c>
      <c r="AV128" s="10">
        <f t="shared" si="661"/>
        <v>15854.750000000022</v>
      </c>
      <c r="AW128" s="10">
        <f t="shared" si="661"/>
        <v>15708.500000000022</v>
      </c>
      <c r="AX128" s="10">
        <f t="shared" si="661"/>
        <v>15562.250000000022</v>
      </c>
      <c r="AY128" s="10">
        <f t="shared" si="661"/>
        <v>15416.000000000022</v>
      </c>
      <c r="AZ128" s="10">
        <f t="shared" si="661"/>
        <v>15269.750000000022</v>
      </c>
      <c r="BA128" s="10">
        <f t="shared" si="661"/>
        <v>15123.500000000022</v>
      </c>
      <c r="BB128" s="10">
        <f t="shared" si="661"/>
        <v>14977.250000000022</v>
      </c>
      <c r="BC128" s="10">
        <f t="shared" si="661"/>
        <v>14831.000000000022</v>
      </c>
      <c r="BD128" s="10">
        <f t="shared" si="661"/>
        <v>14684.750000000022</v>
      </c>
      <c r="BE128" s="10">
        <f t="shared" si="661"/>
        <v>14538.500000000022</v>
      </c>
      <c r="BF128" s="10">
        <f t="shared" si="661"/>
        <v>14392.250000000022</v>
      </c>
      <c r="BG128" s="10">
        <f t="shared" si="661"/>
        <v>14246.000000000022</v>
      </c>
      <c r="BH128" s="10">
        <f t="shared" si="661"/>
        <v>14099.750000000022</v>
      </c>
      <c r="BI128" s="10">
        <f t="shared" si="661"/>
        <v>13953.500000000022</v>
      </c>
      <c r="BJ128" s="10">
        <f t="shared" si="661"/>
        <v>13807.250000000022</v>
      </c>
      <c r="BK128" s="10">
        <f t="shared" si="661"/>
        <v>13661.000000000022</v>
      </c>
      <c r="BL128" s="10">
        <f t="shared" si="661"/>
        <v>13514.750000000022</v>
      </c>
      <c r="BM128" s="10">
        <f t="shared" si="661"/>
        <v>13368.500000000022</v>
      </c>
      <c r="BN128" s="10">
        <f t="shared" si="661"/>
        <v>13222.250000000022</v>
      </c>
      <c r="BO128" s="10">
        <f t="shared" si="661"/>
        <v>13076.000000000022</v>
      </c>
      <c r="BP128" s="10">
        <f t="shared" si="661"/>
        <v>12929.750000000022</v>
      </c>
      <c r="BQ128" s="10">
        <f t="shared" si="661"/>
        <v>12783.500000000022</v>
      </c>
      <c r="BR128" s="10">
        <f t="shared" si="661"/>
        <v>12637.250000000022</v>
      </c>
      <c r="BS128" s="10">
        <f t="shared" si="661"/>
        <v>12491.000000000022</v>
      </c>
      <c r="BT128" s="10">
        <f t="shared" si="661"/>
        <v>12344.750000000022</v>
      </c>
      <c r="BU128" s="10">
        <f t="shared" si="661"/>
        <v>12198.500000000022</v>
      </c>
      <c r="BV128" s="10">
        <f t="shared" si="661"/>
        <v>12052.250000000022</v>
      </c>
      <c r="BW128" s="10">
        <f t="shared" si="661"/>
        <v>11906.000000000022</v>
      </c>
      <c r="BX128" s="10">
        <f t="shared" si="661"/>
        <v>11759.750000000022</v>
      </c>
      <c r="BY128" s="10">
        <f t="shared" ref="BY128" si="662">BX128-BY131</f>
        <v>11613.500000000022</v>
      </c>
      <c r="BZ128" s="10">
        <f t="shared" ref="BZ128" si="663">BY128-BZ131</f>
        <v>11467.250000000022</v>
      </c>
      <c r="CA128" s="10">
        <f t="shared" ref="CA128" si="664">BZ128-CA131</f>
        <v>11321.000000000022</v>
      </c>
      <c r="CB128" s="10">
        <f t="shared" ref="CB128" si="665">CA128-CB131</f>
        <v>11174.750000000022</v>
      </c>
      <c r="CC128" s="10">
        <f t="shared" ref="CC128" si="666">CB128-CC131</f>
        <v>11028.500000000022</v>
      </c>
      <c r="CD128" s="10">
        <f t="shared" ref="CD128" si="667">CC128-CD131</f>
        <v>10882.250000000022</v>
      </c>
      <c r="CE128" s="10">
        <f t="shared" ref="CE128" si="668">CD128-CE131</f>
        <v>10736.000000000022</v>
      </c>
      <c r="CF128" s="10">
        <f t="shared" ref="CF128" si="669">CE128-CF131</f>
        <v>10589.750000000022</v>
      </c>
      <c r="CG128" s="10">
        <f t="shared" ref="CG128" si="670">CF128-CG131</f>
        <v>10443.500000000022</v>
      </c>
      <c r="CH128" s="10">
        <f t="shared" ref="CH128" si="671">CG128-CH131</f>
        <v>10297.250000000022</v>
      </c>
      <c r="CI128" s="10">
        <f t="shared" ref="CI128" si="672">CH128-CI131</f>
        <v>10151.000000000022</v>
      </c>
      <c r="CJ128" s="10">
        <f t="shared" ref="CJ128" si="673">CI128-CJ131</f>
        <v>10004.750000000022</v>
      </c>
      <c r="CK128" s="10">
        <f t="shared" ref="CK128" si="674">CJ128-CK131</f>
        <v>9858.5000000000218</v>
      </c>
      <c r="CO128" s="10"/>
      <c r="CP128" s="10"/>
      <c r="CQ128" s="10"/>
      <c r="CR128" s="10"/>
      <c r="CS128" s="10"/>
      <c r="CT128" s="10"/>
      <c r="CU128" s="10"/>
    </row>
    <row r="129" spans="2:101" ht="15" x14ac:dyDescent="0.25">
      <c r="B129" s="321" t="s">
        <v>384</v>
      </c>
      <c r="C129" s="89" t="s">
        <v>4</v>
      </c>
      <c r="D129" s="86"/>
      <c r="E129" s="86"/>
      <c r="F129" s="14"/>
      <c r="G129" s="14"/>
      <c r="H129" s="14"/>
      <c r="I129" s="14"/>
      <c r="J129" s="14"/>
      <c r="K129" s="14"/>
      <c r="L129" s="14"/>
      <c r="M129" s="14"/>
      <c r="N129" s="14"/>
      <c r="O129" s="14"/>
      <c r="P129" s="14"/>
      <c r="Q129" s="14"/>
      <c r="R129" s="14">
        <f t="shared" ref="R129:BR129" si="675">SUM(R130:R131)</f>
        <v>187.66666666666669</v>
      </c>
      <c r="S129" s="14">
        <f t="shared" si="675"/>
        <v>187.66666666666669</v>
      </c>
      <c r="T129" s="14">
        <f t="shared" si="675"/>
        <v>187.66666666666669</v>
      </c>
      <c r="U129" s="14">
        <f t="shared" si="675"/>
        <v>187.66666666666669</v>
      </c>
      <c r="V129" s="14">
        <f t="shared" si="675"/>
        <v>187.66666666666669</v>
      </c>
      <c r="W129" s="14">
        <f t="shared" si="675"/>
        <v>187.66666666666669</v>
      </c>
      <c r="X129" s="14">
        <f t="shared" si="675"/>
        <v>491.5</v>
      </c>
      <c r="Y129" s="14">
        <f t="shared" si="675"/>
        <v>491.5</v>
      </c>
      <c r="Z129" s="14">
        <f t="shared" si="675"/>
        <v>491.5</v>
      </c>
      <c r="AA129" s="14">
        <f t="shared" si="675"/>
        <v>491.5</v>
      </c>
      <c r="AB129" s="14">
        <f t="shared" si="675"/>
        <v>491.5</v>
      </c>
      <c r="AC129" s="14">
        <f t="shared" si="675"/>
        <v>491.5</v>
      </c>
      <c r="AD129" s="14">
        <f t="shared" si="675"/>
        <v>275.83194444444439</v>
      </c>
      <c r="AE129" s="14">
        <f t="shared" si="675"/>
        <v>274.75209490740735</v>
      </c>
      <c r="AF129" s="14">
        <f t="shared" si="675"/>
        <v>283.3201330054012</v>
      </c>
      <c r="AG129" s="14">
        <f t="shared" si="675"/>
        <v>324.87649300813393</v>
      </c>
      <c r="AH129" s="14">
        <f t="shared" si="675"/>
        <v>445.4157166775106</v>
      </c>
      <c r="AI129" s="14">
        <f t="shared" si="675"/>
        <v>545.79766903853135</v>
      </c>
      <c r="AJ129" s="14">
        <f t="shared" si="675"/>
        <v>2853.6764384632102</v>
      </c>
      <c r="AK129" s="14">
        <f t="shared" si="675"/>
        <v>2902.7395514760165</v>
      </c>
      <c r="AL129" s="14">
        <f t="shared" si="675"/>
        <v>2902.7826941026055</v>
      </c>
      <c r="AM129" s="14">
        <f t="shared" si="675"/>
        <v>2883.7282549850838</v>
      </c>
      <c r="AN129" s="14">
        <f t="shared" si="675"/>
        <v>2864.8326028602082</v>
      </c>
      <c r="AO129" s="14">
        <f t="shared" si="675"/>
        <v>2846.0944145030394</v>
      </c>
      <c r="AP129" s="14">
        <f t="shared" si="675"/>
        <v>2827.5123777155145</v>
      </c>
      <c r="AQ129" s="14">
        <f t="shared" si="675"/>
        <v>2809.085191234552</v>
      </c>
      <c r="AR129" s="14">
        <f t="shared" si="675"/>
        <v>2790.8115646409306</v>
      </c>
      <c r="AS129" s="14">
        <f t="shared" si="675"/>
        <v>2772.6902182689228</v>
      </c>
      <c r="AT129" s="14">
        <f t="shared" si="675"/>
        <v>2754.719883116682</v>
      </c>
      <c r="AU129" s="14">
        <f t="shared" si="675"/>
        <v>2736.8993007573763</v>
      </c>
      <c r="AV129" s="14">
        <f t="shared" si="675"/>
        <v>2719.227223251065</v>
      </c>
      <c r="AW129" s="14">
        <f t="shared" si="675"/>
        <v>2701.7024130573059</v>
      </c>
      <c r="AX129" s="14">
        <f t="shared" si="675"/>
        <v>2684.323642948495</v>
      </c>
      <c r="AY129" s="14">
        <f t="shared" si="675"/>
        <v>2667.0896959239244</v>
      </c>
      <c r="AZ129" s="14">
        <f t="shared" si="675"/>
        <v>2649.9993651245586</v>
      </c>
      <c r="BA129" s="14">
        <f t="shared" si="675"/>
        <v>2633.0514537485205</v>
      </c>
      <c r="BB129" s="14">
        <f t="shared" si="675"/>
        <v>2616.2447749672824</v>
      </c>
      <c r="BC129" s="14">
        <f t="shared" si="675"/>
        <v>2599.5781518425556</v>
      </c>
      <c r="BD129" s="14">
        <f t="shared" si="675"/>
        <v>2583.0504172438673</v>
      </c>
      <c r="BE129" s="14">
        <f t="shared" si="675"/>
        <v>2566.6604137668351</v>
      </c>
      <c r="BF129" s="14">
        <f t="shared" si="675"/>
        <v>2550.4069936521114</v>
      </c>
      <c r="BG129" s="14">
        <f t="shared" si="675"/>
        <v>2534.2890187050102</v>
      </c>
      <c r="BH129" s="14">
        <f t="shared" si="675"/>
        <v>2518.305360215802</v>
      </c>
      <c r="BI129" s="14">
        <f t="shared" si="675"/>
        <v>2502.4548988806705</v>
      </c>
      <c r="BJ129" s="14">
        <f t="shared" si="675"/>
        <v>2486.7365247233315</v>
      </c>
      <c r="BK129" s="14">
        <f t="shared" si="675"/>
        <v>2471.1491370173035</v>
      </c>
      <c r="BL129" s="14">
        <f t="shared" si="675"/>
        <v>2455.6916442088259</v>
      </c>
      <c r="BM129" s="14">
        <f t="shared" si="675"/>
        <v>2440.3629638404186</v>
      </c>
      <c r="BN129" s="14">
        <f t="shared" si="675"/>
        <v>2425.1620224750818</v>
      </c>
      <c r="BO129" s="14">
        <f t="shared" si="675"/>
        <v>2410.0877556211226</v>
      </c>
      <c r="BP129" s="14">
        <f t="shared" si="675"/>
        <v>2395.1391076576133</v>
      </c>
      <c r="BQ129" s="14">
        <f t="shared" si="675"/>
        <v>2380.3150317604668</v>
      </c>
      <c r="BR129" s="14">
        <f t="shared" si="675"/>
        <v>2365.6144898291295</v>
      </c>
      <c r="BS129" s="14">
        <f t="shared" ref="BS129:BX129" si="676">SUM(BS130:BS131)</f>
        <v>2351.0364524138868</v>
      </c>
      <c r="BT129" s="14">
        <f t="shared" si="676"/>
        <v>2336.5798986437712</v>
      </c>
      <c r="BU129" s="14">
        <f t="shared" si="676"/>
        <v>2322.2438161550731</v>
      </c>
      <c r="BV129" s="14">
        <f t="shared" si="676"/>
        <v>2308.0272010204476</v>
      </c>
      <c r="BW129" s="14">
        <f t="shared" si="676"/>
        <v>2293.9290576786102</v>
      </c>
      <c r="BX129" s="14">
        <f t="shared" si="676"/>
        <v>2279.948398864622</v>
      </c>
      <c r="BY129" s="14">
        <f t="shared" ref="BY129:CK129" si="677">SUM(BY130:BY131)</f>
        <v>2266.0842455407501</v>
      </c>
      <c r="BZ129" s="14">
        <f t="shared" si="677"/>
        <v>2252.3356268279103</v>
      </c>
      <c r="CA129" s="14">
        <f t="shared" si="677"/>
        <v>2238.7015799376777</v>
      </c>
      <c r="CB129" s="14">
        <f t="shared" si="677"/>
        <v>2225.1811501048637</v>
      </c>
      <c r="CC129" s="14">
        <f t="shared" si="677"/>
        <v>2211.7733905206569</v>
      </c>
      <c r="CD129" s="14">
        <f t="shared" si="677"/>
        <v>2198.4773622663179</v>
      </c>
      <c r="CE129" s="14">
        <f t="shared" si="677"/>
        <v>2185.2921342474319</v>
      </c>
      <c r="CF129" s="14">
        <f t="shared" si="677"/>
        <v>2172.2167831287034</v>
      </c>
      <c r="CG129" s="14">
        <f t="shared" si="677"/>
        <v>2159.2503932692975</v>
      </c>
      <c r="CH129" s="14">
        <f t="shared" si="677"/>
        <v>2146.3920566587203</v>
      </c>
      <c r="CI129" s="14">
        <f t="shared" si="677"/>
        <v>2133.6408728532306</v>
      </c>
      <c r="CJ129" s="14">
        <f t="shared" si="677"/>
        <v>2120.9959489127873</v>
      </c>
      <c r="CK129" s="14">
        <f t="shared" si="677"/>
        <v>2108.4563993385141</v>
      </c>
      <c r="CO129" s="10"/>
      <c r="CP129" s="10"/>
      <c r="CQ129" s="10"/>
      <c r="CR129" s="10"/>
      <c r="CS129" s="10"/>
      <c r="CT129" s="10"/>
      <c r="CU129" s="10"/>
    </row>
    <row r="130" spans="2:101" ht="15" x14ac:dyDescent="0.25">
      <c r="B130" s="322" t="str">
        <f t="shared" ref="B130:B131" si="678">B127</f>
        <v>Материальные внеоборотные активы</v>
      </c>
      <c r="C130" s="97" t="s">
        <v>4</v>
      </c>
      <c r="D130" s="86"/>
      <c r="E130" s="86"/>
      <c r="F130" s="10"/>
      <c r="G130" s="10"/>
      <c r="H130" s="10"/>
      <c r="I130" s="10"/>
      <c r="J130" s="10"/>
      <c r="K130" s="10"/>
      <c r="L130" s="10"/>
      <c r="M130" s="10"/>
      <c r="N130" s="10"/>
      <c r="O130" s="10"/>
      <c r="P130" s="10"/>
      <c r="Q130" s="10"/>
      <c r="R130" s="10">
        <v>129.33333333333334</v>
      </c>
      <c r="S130" s="10">
        <f>R130</f>
        <v>129.33333333333334</v>
      </c>
      <c r="T130" s="10">
        <f t="shared" ref="T130:AI131" si="679">S130</f>
        <v>129.33333333333334</v>
      </c>
      <c r="U130" s="10">
        <f t="shared" si="679"/>
        <v>129.33333333333334</v>
      </c>
      <c r="V130" s="10">
        <f t="shared" si="679"/>
        <v>129.33333333333334</v>
      </c>
      <c r="W130" s="10">
        <f t="shared" si="679"/>
        <v>129.33333333333334</v>
      </c>
      <c r="X130" s="10">
        <v>345.25</v>
      </c>
      <c r="Y130" s="10">
        <f t="shared" si="679"/>
        <v>345.25</v>
      </c>
      <c r="Z130" s="10">
        <f t="shared" si="679"/>
        <v>345.25</v>
      </c>
      <c r="AA130" s="10">
        <f t="shared" si="679"/>
        <v>345.25</v>
      </c>
      <c r="AB130" s="10">
        <f t="shared" si="679"/>
        <v>345.25</v>
      </c>
      <c r="AC130" s="10">
        <f t="shared" si="679"/>
        <v>345.25</v>
      </c>
      <c r="AD130" s="10">
        <f>AC127/120</f>
        <v>129.58194444444442</v>
      </c>
      <c r="AE130" s="10">
        <f t="shared" ref="AE130:BX130" si="680">AD127/120</f>
        <v>128.50209490740738</v>
      </c>
      <c r="AF130" s="10">
        <f t="shared" si="680"/>
        <v>137.0701330054012</v>
      </c>
      <c r="AG130" s="10">
        <f t="shared" si="680"/>
        <v>178.62649300813396</v>
      </c>
      <c r="AH130" s="10">
        <f t="shared" si="680"/>
        <v>299.1657166775106</v>
      </c>
      <c r="AI130" s="10">
        <f t="shared" si="680"/>
        <v>399.54766903853135</v>
      </c>
      <c r="AJ130" s="10">
        <f>AI127/120</f>
        <v>2707.4264384632102</v>
      </c>
      <c r="AK130" s="10">
        <f t="shared" si="680"/>
        <v>2756.4895514760165</v>
      </c>
      <c r="AL130" s="10">
        <f t="shared" si="680"/>
        <v>2756.5326941026055</v>
      </c>
      <c r="AM130" s="10">
        <f t="shared" si="680"/>
        <v>2737.4782549850838</v>
      </c>
      <c r="AN130" s="10">
        <f t="shared" si="680"/>
        <v>2718.5826028602082</v>
      </c>
      <c r="AO130" s="10">
        <f t="shared" si="680"/>
        <v>2699.8444145030394</v>
      </c>
      <c r="AP130" s="10">
        <f t="shared" si="680"/>
        <v>2681.2623777155145</v>
      </c>
      <c r="AQ130" s="10">
        <f t="shared" si="680"/>
        <v>2662.835191234552</v>
      </c>
      <c r="AR130" s="10">
        <f t="shared" si="680"/>
        <v>2644.5615646409306</v>
      </c>
      <c r="AS130" s="10">
        <f t="shared" si="680"/>
        <v>2626.4402182689228</v>
      </c>
      <c r="AT130" s="10">
        <f t="shared" si="680"/>
        <v>2608.469883116682</v>
      </c>
      <c r="AU130" s="10">
        <f t="shared" si="680"/>
        <v>2590.6493007573763</v>
      </c>
      <c r="AV130" s="10">
        <f t="shared" si="680"/>
        <v>2572.977223251065</v>
      </c>
      <c r="AW130" s="10">
        <f t="shared" si="680"/>
        <v>2555.4524130573059</v>
      </c>
      <c r="AX130" s="10">
        <f t="shared" si="680"/>
        <v>2538.073642948495</v>
      </c>
      <c r="AY130" s="10">
        <f t="shared" si="680"/>
        <v>2520.8396959239244</v>
      </c>
      <c r="AZ130" s="10">
        <f t="shared" si="680"/>
        <v>2503.7493651245586</v>
      </c>
      <c r="BA130" s="10">
        <f t="shared" si="680"/>
        <v>2486.8014537485205</v>
      </c>
      <c r="BB130" s="10">
        <f t="shared" si="680"/>
        <v>2469.9947749672824</v>
      </c>
      <c r="BC130" s="10">
        <f t="shared" si="680"/>
        <v>2453.3281518425556</v>
      </c>
      <c r="BD130" s="10">
        <f t="shared" si="680"/>
        <v>2436.8004172438673</v>
      </c>
      <c r="BE130" s="10">
        <f t="shared" si="680"/>
        <v>2420.4104137668351</v>
      </c>
      <c r="BF130" s="10">
        <f t="shared" si="680"/>
        <v>2404.1569936521114</v>
      </c>
      <c r="BG130" s="10">
        <f t="shared" si="680"/>
        <v>2388.0390187050102</v>
      </c>
      <c r="BH130" s="10">
        <f t="shared" si="680"/>
        <v>2372.055360215802</v>
      </c>
      <c r="BI130" s="10">
        <f t="shared" si="680"/>
        <v>2356.2048988806705</v>
      </c>
      <c r="BJ130" s="10">
        <f t="shared" si="680"/>
        <v>2340.4865247233315</v>
      </c>
      <c r="BK130" s="10">
        <f t="shared" si="680"/>
        <v>2324.8991370173035</v>
      </c>
      <c r="BL130" s="10">
        <f t="shared" si="680"/>
        <v>2309.4416442088259</v>
      </c>
      <c r="BM130" s="10">
        <f t="shared" si="680"/>
        <v>2294.1129638404186</v>
      </c>
      <c r="BN130" s="10">
        <f t="shared" si="680"/>
        <v>2278.9120224750818</v>
      </c>
      <c r="BO130" s="10">
        <f t="shared" si="680"/>
        <v>2263.8377556211226</v>
      </c>
      <c r="BP130" s="10">
        <f t="shared" si="680"/>
        <v>2248.8891076576133</v>
      </c>
      <c r="BQ130" s="10">
        <f t="shared" si="680"/>
        <v>2234.0650317604668</v>
      </c>
      <c r="BR130" s="10">
        <f t="shared" si="680"/>
        <v>2219.3644898291295</v>
      </c>
      <c r="BS130" s="10">
        <f t="shared" si="680"/>
        <v>2204.7864524138868</v>
      </c>
      <c r="BT130" s="10">
        <f t="shared" si="680"/>
        <v>2190.3298986437712</v>
      </c>
      <c r="BU130" s="10">
        <f t="shared" si="680"/>
        <v>2175.9938161550731</v>
      </c>
      <c r="BV130" s="10">
        <f t="shared" si="680"/>
        <v>2161.7772010204476</v>
      </c>
      <c r="BW130" s="10">
        <f t="shared" si="680"/>
        <v>2147.6790576786102</v>
      </c>
      <c r="BX130" s="10">
        <f t="shared" si="680"/>
        <v>2133.698398864622</v>
      </c>
      <c r="BY130" s="10">
        <f t="shared" ref="BY130" si="681">BX127/120</f>
        <v>2119.8342455407501</v>
      </c>
      <c r="BZ130" s="10">
        <f t="shared" ref="BZ130" si="682">BY127/120</f>
        <v>2106.0856268279103</v>
      </c>
      <c r="CA130" s="10">
        <f t="shared" ref="CA130" si="683">BZ127/120</f>
        <v>2092.4515799376777</v>
      </c>
      <c r="CB130" s="10">
        <f t="shared" ref="CB130" si="684">CA127/120</f>
        <v>2078.9311501048637</v>
      </c>
      <c r="CC130" s="10">
        <f t="shared" ref="CC130" si="685">CB127/120</f>
        <v>2065.5233905206569</v>
      </c>
      <c r="CD130" s="10">
        <f t="shared" ref="CD130" si="686">CC127/120</f>
        <v>2052.2273622663179</v>
      </c>
      <c r="CE130" s="10">
        <f t="shared" ref="CE130" si="687">CD127/120</f>
        <v>2039.0421342474322</v>
      </c>
      <c r="CF130" s="10">
        <f t="shared" ref="CF130" si="688">CE127/120</f>
        <v>2025.9667831287036</v>
      </c>
      <c r="CG130" s="10">
        <f t="shared" ref="CG130" si="689">CF127/120</f>
        <v>2013.0003932692975</v>
      </c>
      <c r="CH130" s="10">
        <f t="shared" ref="CH130" si="690">CG127/120</f>
        <v>2000.1420566587201</v>
      </c>
      <c r="CI130" s="10">
        <f t="shared" ref="CI130" si="691">CH127/120</f>
        <v>1987.3908728532308</v>
      </c>
      <c r="CJ130" s="10">
        <f t="shared" ref="CJ130" si="692">CI127/120</f>
        <v>1974.7459489127873</v>
      </c>
      <c r="CK130" s="10">
        <f t="shared" ref="CK130" si="693">CJ127/120</f>
        <v>1962.2063993385141</v>
      </c>
      <c r="CL130" s="10"/>
      <c r="CO130" s="10"/>
      <c r="CP130" s="10"/>
      <c r="CQ130" s="10"/>
      <c r="CR130" s="10"/>
      <c r="CS130" s="10"/>
      <c r="CT130" s="10"/>
      <c r="CU130" s="10"/>
    </row>
    <row r="131" spans="2:101" ht="15" x14ac:dyDescent="0.25">
      <c r="B131" s="322" t="str">
        <f t="shared" si="678"/>
        <v>Нематериальные, финансовые и другие внеоборотные активы</v>
      </c>
      <c r="C131" s="97" t="s">
        <v>4</v>
      </c>
      <c r="D131" s="86"/>
      <c r="E131" s="86"/>
      <c r="F131" s="10"/>
      <c r="G131" s="10"/>
      <c r="H131" s="10"/>
      <c r="I131" s="10"/>
      <c r="J131" s="10"/>
      <c r="K131" s="10"/>
      <c r="L131" s="10"/>
      <c r="M131" s="10"/>
      <c r="N131" s="10"/>
      <c r="O131" s="10"/>
      <c r="P131" s="10"/>
      <c r="Q131" s="10"/>
      <c r="R131" s="10">
        <v>58.333333333333336</v>
      </c>
      <c r="S131" s="10">
        <f>R131</f>
        <v>58.333333333333336</v>
      </c>
      <c r="T131" s="10">
        <f t="shared" si="679"/>
        <v>58.333333333333336</v>
      </c>
      <c r="U131" s="10">
        <f t="shared" si="679"/>
        <v>58.333333333333336</v>
      </c>
      <c r="V131" s="10">
        <f t="shared" si="679"/>
        <v>58.333333333333336</v>
      </c>
      <c r="W131" s="10">
        <f t="shared" si="679"/>
        <v>58.333333333333336</v>
      </c>
      <c r="X131" s="10">
        <v>146.25</v>
      </c>
      <c r="Y131" s="10">
        <f t="shared" si="679"/>
        <v>146.25</v>
      </c>
      <c r="Z131" s="10">
        <f t="shared" si="679"/>
        <v>146.25</v>
      </c>
      <c r="AA131" s="10">
        <f t="shared" si="679"/>
        <v>146.25</v>
      </c>
      <c r="AB131" s="10">
        <f t="shared" si="679"/>
        <v>146.25</v>
      </c>
      <c r="AC131" s="10">
        <f t="shared" si="679"/>
        <v>146.25</v>
      </c>
      <c r="AD131" s="10">
        <f t="shared" si="679"/>
        <v>146.25</v>
      </c>
      <c r="AE131" s="10">
        <f t="shared" si="679"/>
        <v>146.25</v>
      </c>
      <c r="AF131" s="10">
        <f t="shared" si="679"/>
        <v>146.25</v>
      </c>
      <c r="AG131" s="10">
        <f t="shared" si="679"/>
        <v>146.25</v>
      </c>
      <c r="AH131" s="10">
        <f t="shared" si="679"/>
        <v>146.25</v>
      </c>
      <c r="AI131" s="10">
        <f t="shared" si="679"/>
        <v>146.25</v>
      </c>
      <c r="AJ131" s="10">
        <f t="shared" ref="AJ131:BX131" si="694">AI131</f>
        <v>146.25</v>
      </c>
      <c r="AK131" s="10">
        <f t="shared" si="694"/>
        <v>146.25</v>
      </c>
      <c r="AL131" s="10">
        <f t="shared" si="694"/>
        <v>146.25</v>
      </c>
      <c r="AM131" s="10">
        <f t="shared" si="694"/>
        <v>146.25</v>
      </c>
      <c r="AN131" s="10">
        <f t="shared" si="694"/>
        <v>146.25</v>
      </c>
      <c r="AO131" s="10">
        <f t="shared" si="694"/>
        <v>146.25</v>
      </c>
      <c r="AP131" s="10">
        <f t="shared" si="694"/>
        <v>146.25</v>
      </c>
      <c r="AQ131" s="10">
        <f t="shared" si="694"/>
        <v>146.25</v>
      </c>
      <c r="AR131" s="10">
        <f t="shared" si="694"/>
        <v>146.25</v>
      </c>
      <c r="AS131" s="10">
        <f t="shared" si="694"/>
        <v>146.25</v>
      </c>
      <c r="AT131" s="10">
        <f t="shared" si="694"/>
        <v>146.25</v>
      </c>
      <c r="AU131" s="10">
        <f t="shared" si="694"/>
        <v>146.25</v>
      </c>
      <c r="AV131" s="10">
        <f t="shared" si="694"/>
        <v>146.25</v>
      </c>
      <c r="AW131" s="10">
        <f t="shared" si="694"/>
        <v>146.25</v>
      </c>
      <c r="AX131" s="10">
        <f t="shared" si="694"/>
        <v>146.25</v>
      </c>
      <c r="AY131" s="10">
        <f t="shared" si="694"/>
        <v>146.25</v>
      </c>
      <c r="AZ131" s="10">
        <f t="shared" si="694"/>
        <v>146.25</v>
      </c>
      <c r="BA131" s="10">
        <f t="shared" si="694"/>
        <v>146.25</v>
      </c>
      <c r="BB131" s="10">
        <f t="shared" si="694"/>
        <v>146.25</v>
      </c>
      <c r="BC131" s="10">
        <f t="shared" si="694"/>
        <v>146.25</v>
      </c>
      <c r="BD131" s="10">
        <f t="shared" si="694"/>
        <v>146.25</v>
      </c>
      <c r="BE131" s="10">
        <f t="shared" si="694"/>
        <v>146.25</v>
      </c>
      <c r="BF131" s="10">
        <f t="shared" si="694"/>
        <v>146.25</v>
      </c>
      <c r="BG131" s="10">
        <f t="shared" si="694"/>
        <v>146.25</v>
      </c>
      <c r="BH131" s="10">
        <f t="shared" si="694"/>
        <v>146.25</v>
      </c>
      <c r="BI131" s="10">
        <f t="shared" si="694"/>
        <v>146.25</v>
      </c>
      <c r="BJ131" s="10">
        <f t="shared" si="694"/>
        <v>146.25</v>
      </c>
      <c r="BK131" s="10">
        <f t="shared" si="694"/>
        <v>146.25</v>
      </c>
      <c r="BL131" s="10">
        <f t="shared" si="694"/>
        <v>146.25</v>
      </c>
      <c r="BM131" s="10">
        <f t="shared" si="694"/>
        <v>146.25</v>
      </c>
      <c r="BN131" s="10">
        <f t="shared" si="694"/>
        <v>146.25</v>
      </c>
      <c r="BO131" s="10">
        <f t="shared" si="694"/>
        <v>146.25</v>
      </c>
      <c r="BP131" s="10">
        <f t="shared" si="694"/>
        <v>146.25</v>
      </c>
      <c r="BQ131" s="10">
        <f t="shared" si="694"/>
        <v>146.25</v>
      </c>
      <c r="BR131" s="10">
        <f t="shared" si="694"/>
        <v>146.25</v>
      </c>
      <c r="BS131" s="10">
        <f t="shared" si="694"/>
        <v>146.25</v>
      </c>
      <c r="BT131" s="10">
        <f t="shared" si="694"/>
        <v>146.25</v>
      </c>
      <c r="BU131" s="10">
        <f t="shared" si="694"/>
        <v>146.25</v>
      </c>
      <c r="BV131" s="10">
        <f t="shared" si="694"/>
        <v>146.25</v>
      </c>
      <c r="BW131" s="10">
        <f t="shared" si="694"/>
        <v>146.25</v>
      </c>
      <c r="BX131" s="10">
        <f t="shared" si="694"/>
        <v>146.25</v>
      </c>
      <c r="BY131" s="10">
        <f t="shared" ref="BY131" si="695">BX131</f>
        <v>146.25</v>
      </c>
      <c r="BZ131" s="10">
        <f t="shared" ref="BZ131" si="696">BY131</f>
        <v>146.25</v>
      </c>
      <c r="CA131" s="10">
        <f t="shared" ref="CA131" si="697">BZ131</f>
        <v>146.25</v>
      </c>
      <c r="CB131" s="10">
        <f t="shared" ref="CB131" si="698">CA131</f>
        <v>146.25</v>
      </c>
      <c r="CC131" s="10">
        <f t="shared" ref="CC131" si="699">CB131</f>
        <v>146.25</v>
      </c>
      <c r="CD131" s="10">
        <f t="shared" ref="CD131" si="700">CC131</f>
        <v>146.25</v>
      </c>
      <c r="CE131" s="10">
        <f t="shared" ref="CE131" si="701">CD131</f>
        <v>146.25</v>
      </c>
      <c r="CF131" s="10">
        <f t="shared" ref="CF131" si="702">CE131</f>
        <v>146.25</v>
      </c>
      <c r="CG131" s="10">
        <f t="shared" ref="CG131" si="703">CF131</f>
        <v>146.25</v>
      </c>
      <c r="CH131" s="10">
        <f t="shared" ref="CH131" si="704">CG131</f>
        <v>146.25</v>
      </c>
      <c r="CI131" s="10">
        <f t="shared" ref="CI131" si="705">CH131</f>
        <v>146.25</v>
      </c>
      <c r="CJ131" s="10">
        <f t="shared" ref="CJ131" si="706">CI131</f>
        <v>146.25</v>
      </c>
      <c r="CK131" s="10">
        <f t="shared" ref="CK131" si="707">CJ131</f>
        <v>146.25</v>
      </c>
      <c r="CL131" s="10"/>
      <c r="CO131" s="10"/>
      <c r="CP131" s="10"/>
      <c r="CQ131" s="10"/>
      <c r="CR131" s="10"/>
      <c r="CS131" s="10"/>
      <c r="CT131" s="10"/>
      <c r="CU131" s="10"/>
    </row>
    <row r="132" spans="2:101" x14ac:dyDescent="0.2">
      <c r="D132" s="86"/>
      <c r="E132" s="86"/>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O132" s="10"/>
      <c r="CP132" s="10"/>
      <c r="CQ132" s="10"/>
      <c r="CR132" s="10"/>
      <c r="CS132" s="10"/>
      <c r="CT132" s="10"/>
      <c r="CU132" s="10"/>
    </row>
    <row r="133" spans="2:101" x14ac:dyDescent="0.2">
      <c r="D133" s="86"/>
      <c r="E133" s="86"/>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O133" s="10"/>
      <c r="CP133" s="10"/>
      <c r="CQ133" s="10"/>
      <c r="CR133" s="10"/>
      <c r="CS133" s="10"/>
      <c r="CT133" s="10"/>
      <c r="CU133" s="10"/>
    </row>
    <row r="134" spans="2:101" x14ac:dyDescent="0.2">
      <c r="D134" s="86"/>
      <c r="E134" s="86"/>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O134" s="10"/>
      <c r="CP134" s="10"/>
      <c r="CQ134" s="10"/>
      <c r="CR134" s="10"/>
      <c r="CS134" s="10"/>
      <c r="CT134" s="10"/>
      <c r="CU134" s="10"/>
    </row>
    <row r="135" spans="2:101" x14ac:dyDescent="0.2">
      <c r="D135" s="86"/>
      <c r="E135" s="86"/>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O135" s="10"/>
      <c r="CP135" s="10"/>
      <c r="CQ135" s="10"/>
      <c r="CR135" s="10"/>
      <c r="CS135" s="10"/>
      <c r="CT135" s="10"/>
      <c r="CU135" s="10"/>
    </row>
    <row r="136" spans="2:101" customFormat="1" ht="15" x14ac:dyDescent="0.25">
      <c r="B136" s="162" t="s">
        <v>388</v>
      </c>
      <c r="C136" s="338"/>
      <c r="D136" s="336"/>
      <c r="E136" s="329"/>
      <c r="F136" s="329"/>
      <c r="G136" s="329"/>
      <c r="H136" s="329"/>
      <c r="I136" s="329"/>
      <c r="J136" s="329"/>
      <c r="K136" s="337"/>
      <c r="L136" s="337"/>
      <c r="M136" s="337"/>
      <c r="N136" s="337"/>
      <c r="O136" s="337"/>
      <c r="P136" s="337"/>
      <c r="Q136" s="337"/>
      <c r="R136" s="337"/>
      <c r="S136" s="337"/>
      <c r="T136" s="337"/>
      <c r="U136" s="337"/>
      <c r="V136" s="337"/>
      <c r="W136" s="337"/>
      <c r="X136" s="337"/>
      <c r="Y136" s="337"/>
      <c r="Z136" s="337"/>
      <c r="AA136" s="337"/>
      <c r="AB136" s="337"/>
      <c r="AC136" s="329"/>
      <c r="AD136" s="329"/>
      <c r="AE136" s="329"/>
      <c r="AF136" s="329"/>
      <c r="AG136" s="329"/>
      <c r="AH136" s="329"/>
      <c r="AI136" s="329"/>
      <c r="AJ136" s="329"/>
      <c r="AK136" s="329"/>
      <c r="AL136" s="329"/>
      <c r="AM136" s="329"/>
      <c r="AN136" s="329"/>
      <c r="AO136" s="329"/>
      <c r="AP136" s="329"/>
      <c r="AQ136" s="329"/>
      <c r="AR136" s="329"/>
      <c r="AS136" s="329"/>
      <c r="AT136" s="329"/>
      <c r="AU136" s="329"/>
      <c r="AV136" s="329"/>
      <c r="AW136" s="329"/>
    </row>
    <row r="137" spans="2:101" ht="15" x14ac:dyDescent="0.2">
      <c r="B137" s="320" t="s">
        <v>163</v>
      </c>
      <c r="C137" s="200" t="s">
        <v>161</v>
      </c>
      <c r="D137" s="200" t="s">
        <v>162</v>
      </c>
      <c r="E137" s="86"/>
      <c r="F137" s="201">
        <f>F125</f>
        <v>45292</v>
      </c>
      <c r="G137" s="201">
        <f t="shared" ref="G137:BR137" si="708">G125</f>
        <v>45323</v>
      </c>
      <c r="H137" s="201">
        <f t="shared" si="708"/>
        <v>45352</v>
      </c>
      <c r="I137" s="201">
        <f t="shared" si="708"/>
        <v>45383</v>
      </c>
      <c r="J137" s="201">
        <f t="shared" si="708"/>
        <v>45413</v>
      </c>
      <c r="K137" s="201">
        <f t="shared" si="708"/>
        <v>45444</v>
      </c>
      <c r="L137" s="201">
        <f t="shared" si="708"/>
        <v>45474</v>
      </c>
      <c r="M137" s="201">
        <f t="shared" si="708"/>
        <v>45505</v>
      </c>
      <c r="N137" s="201">
        <f t="shared" si="708"/>
        <v>45536</v>
      </c>
      <c r="O137" s="201">
        <f t="shared" si="708"/>
        <v>45566</v>
      </c>
      <c r="P137" s="201">
        <f t="shared" si="708"/>
        <v>45597</v>
      </c>
      <c r="Q137" s="201">
        <f t="shared" si="708"/>
        <v>45627</v>
      </c>
      <c r="R137" s="201">
        <f t="shared" si="708"/>
        <v>45658</v>
      </c>
      <c r="S137" s="201">
        <f t="shared" si="708"/>
        <v>45689</v>
      </c>
      <c r="T137" s="201">
        <f t="shared" si="708"/>
        <v>45717</v>
      </c>
      <c r="U137" s="201">
        <f t="shared" si="708"/>
        <v>45748</v>
      </c>
      <c r="V137" s="201">
        <f t="shared" si="708"/>
        <v>45778</v>
      </c>
      <c r="W137" s="201">
        <f t="shared" si="708"/>
        <v>45809</v>
      </c>
      <c r="X137" s="201">
        <f t="shared" si="708"/>
        <v>45839</v>
      </c>
      <c r="Y137" s="201">
        <f t="shared" si="708"/>
        <v>45870</v>
      </c>
      <c r="Z137" s="201">
        <f t="shared" si="708"/>
        <v>45901</v>
      </c>
      <c r="AA137" s="201">
        <f t="shared" si="708"/>
        <v>45931</v>
      </c>
      <c r="AB137" s="201">
        <f t="shared" si="708"/>
        <v>45962</v>
      </c>
      <c r="AC137" s="201">
        <f t="shared" si="708"/>
        <v>45992</v>
      </c>
      <c r="AD137" s="201">
        <f t="shared" si="708"/>
        <v>46023</v>
      </c>
      <c r="AE137" s="201">
        <f t="shared" si="708"/>
        <v>46054</v>
      </c>
      <c r="AF137" s="201">
        <f t="shared" si="708"/>
        <v>46082</v>
      </c>
      <c r="AG137" s="201">
        <f t="shared" si="708"/>
        <v>46113</v>
      </c>
      <c r="AH137" s="201">
        <f t="shared" si="708"/>
        <v>46143</v>
      </c>
      <c r="AI137" s="201">
        <f t="shared" si="708"/>
        <v>46174</v>
      </c>
      <c r="AJ137" s="201">
        <f t="shared" si="708"/>
        <v>46204</v>
      </c>
      <c r="AK137" s="201">
        <f t="shared" si="708"/>
        <v>46235</v>
      </c>
      <c r="AL137" s="201">
        <f t="shared" si="708"/>
        <v>46266</v>
      </c>
      <c r="AM137" s="201">
        <f t="shared" si="708"/>
        <v>46296</v>
      </c>
      <c r="AN137" s="201">
        <f t="shared" si="708"/>
        <v>46327</v>
      </c>
      <c r="AO137" s="201">
        <f t="shared" si="708"/>
        <v>46357</v>
      </c>
      <c r="AP137" s="201">
        <f t="shared" si="708"/>
        <v>46388</v>
      </c>
      <c r="AQ137" s="201">
        <f t="shared" si="708"/>
        <v>46419</v>
      </c>
      <c r="AR137" s="201">
        <f t="shared" si="708"/>
        <v>46447</v>
      </c>
      <c r="AS137" s="201">
        <f t="shared" si="708"/>
        <v>46478</v>
      </c>
      <c r="AT137" s="201">
        <f t="shared" si="708"/>
        <v>46508</v>
      </c>
      <c r="AU137" s="201">
        <f t="shared" si="708"/>
        <v>46539</v>
      </c>
      <c r="AV137" s="201">
        <f t="shared" si="708"/>
        <v>46569</v>
      </c>
      <c r="AW137" s="201">
        <f t="shared" si="708"/>
        <v>46600</v>
      </c>
      <c r="AX137" s="201">
        <f t="shared" si="708"/>
        <v>46631</v>
      </c>
      <c r="AY137" s="201">
        <f t="shared" si="708"/>
        <v>46661</v>
      </c>
      <c r="AZ137" s="201">
        <f t="shared" si="708"/>
        <v>46692</v>
      </c>
      <c r="BA137" s="201">
        <f t="shared" si="708"/>
        <v>46722</v>
      </c>
      <c r="BB137" s="201">
        <f t="shared" si="708"/>
        <v>46753</v>
      </c>
      <c r="BC137" s="201">
        <f t="shared" si="708"/>
        <v>46784</v>
      </c>
      <c r="BD137" s="201">
        <f t="shared" si="708"/>
        <v>46813</v>
      </c>
      <c r="BE137" s="201">
        <f t="shared" si="708"/>
        <v>46844</v>
      </c>
      <c r="BF137" s="201">
        <f t="shared" si="708"/>
        <v>46874</v>
      </c>
      <c r="BG137" s="201">
        <f t="shared" si="708"/>
        <v>46905</v>
      </c>
      <c r="BH137" s="201">
        <f t="shared" si="708"/>
        <v>46935</v>
      </c>
      <c r="BI137" s="201">
        <f t="shared" si="708"/>
        <v>46966</v>
      </c>
      <c r="BJ137" s="201">
        <f t="shared" si="708"/>
        <v>46997</v>
      </c>
      <c r="BK137" s="201">
        <f t="shared" si="708"/>
        <v>47027</v>
      </c>
      <c r="BL137" s="201">
        <f t="shared" si="708"/>
        <v>47058</v>
      </c>
      <c r="BM137" s="201">
        <f t="shared" si="708"/>
        <v>47088</v>
      </c>
      <c r="BN137" s="201">
        <f t="shared" si="708"/>
        <v>47119</v>
      </c>
      <c r="BO137" s="201">
        <f t="shared" si="708"/>
        <v>47150</v>
      </c>
      <c r="BP137" s="201">
        <f t="shared" si="708"/>
        <v>47178</v>
      </c>
      <c r="BQ137" s="201">
        <f t="shared" si="708"/>
        <v>47209</v>
      </c>
      <c r="BR137" s="201">
        <f t="shared" si="708"/>
        <v>47239</v>
      </c>
      <c r="BS137" s="201">
        <f t="shared" ref="BS137:BX137" si="709">BS125</f>
        <v>47270</v>
      </c>
      <c r="BT137" s="201">
        <f t="shared" si="709"/>
        <v>47300</v>
      </c>
      <c r="BU137" s="201">
        <f t="shared" si="709"/>
        <v>47331</v>
      </c>
      <c r="BV137" s="201">
        <f t="shared" si="709"/>
        <v>47362</v>
      </c>
      <c r="BW137" s="201">
        <f t="shared" si="709"/>
        <v>47392</v>
      </c>
      <c r="BX137" s="201">
        <f t="shared" si="709"/>
        <v>47423</v>
      </c>
      <c r="BY137" s="201">
        <f t="shared" ref="BY137:CK137" si="710">BY125</f>
        <v>47453</v>
      </c>
      <c r="BZ137" s="201">
        <f t="shared" si="710"/>
        <v>47484</v>
      </c>
      <c r="CA137" s="201">
        <f t="shared" si="710"/>
        <v>47515</v>
      </c>
      <c r="CB137" s="201">
        <f t="shared" si="710"/>
        <v>47543</v>
      </c>
      <c r="CC137" s="201">
        <f t="shared" si="710"/>
        <v>47574</v>
      </c>
      <c r="CD137" s="201">
        <f t="shared" si="710"/>
        <v>47604</v>
      </c>
      <c r="CE137" s="201">
        <f t="shared" si="710"/>
        <v>47635</v>
      </c>
      <c r="CF137" s="201">
        <f t="shared" si="710"/>
        <v>47665</v>
      </c>
      <c r="CG137" s="201">
        <f t="shared" si="710"/>
        <v>47696</v>
      </c>
      <c r="CH137" s="201">
        <f t="shared" si="710"/>
        <v>47727</v>
      </c>
      <c r="CI137" s="201">
        <f t="shared" si="710"/>
        <v>47757</v>
      </c>
      <c r="CJ137" s="201">
        <f t="shared" si="710"/>
        <v>47788</v>
      </c>
      <c r="CK137" s="201">
        <f t="shared" si="710"/>
        <v>47818</v>
      </c>
      <c r="CO137" s="10">
        <v>2024</v>
      </c>
      <c r="CP137" s="10">
        <f t="shared" ref="CP137:CQ137" si="711">CO137+1</f>
        <v>2025</v>
      </c>
      <c r="CQ137" s="10">
        <f t="shared" si="711"/>
        <v>2026</v>
      </c>
      <c r="CR137" s="10">
        <f>CQ137+1</f>
        <v>2027</v>
      </c>
      <c r="CS137" s="10">
        <f>CR137+1</f>
        <v>2028</v>
      </c>
      <c r="CT137" s="10">
        <f t="shared" ref="CT137:CU137" si="712">CS137+1</f>
        <v>2029</v>
      </c>
      <c r="CU137" s="10">
        <f t="shared" si="712"/>
        <v>2030</v>
      </c>
    </row>
    <row r="138" spans="2:101" outlineLevel="1" x14ac:dyDescent="0.2">
      <c r="B138" s="92" t="s">
        <v>389</v>
      </c>
      <c r="C138" s="97" t="s">
        <v>160</v>
      </c>
      <c r="D138" s="86">
        <v>45763</v>
      </c>
      <c r="E138" s="86"/>
      <c r="F138" s="10"/>
      <c r="G138" s="10"/>
      <c r="H138" s="10"/>
      <c r="I138" s="10"/>
      <c r="J138" s="10"/>
      <c r="K138" s="10"/>
      <c r="L138" s="10"/>
      <c r="M138" s="10"/>
      <c r="N138" s="10"/>
      <c r="O138" s="10"/>
      <c r="P138" s="10"/>
      <c r="Q138" s="10"/>
      <c r="R138" s="10"/>
      <c r="S138" s="10"/>
      <c r="T138" s="10"/>
      <c r="U138" s="10"/>
      <c r="V138" s="10"/>
      <c r="W138" s="10"/>
      <c r="X138" s="10">
        <v>0</v>
      </c>
      <c r="Y138" s="10">
        <v>0</v>
      </c>
      <c r="Z138" s="10">
        <v>0</v>
      </c>
      <c r="AA138" s="10">
        <v>0</v>
      </c>
      <c r="AB138" s="10">
        <v>0</v>
      </c>
      <c r="AC138" s="10">
        <v>0</v>
      </c>
      <c r="AD138" s="10">
        <v>0</v>
      </c>
      <c r="AE138" s="10">
        <v>0</v>
      </c>
      <c r="AF138" s="10">
        <v>0</v>
      </c>
      <c r="AG138" s="10">
        <v>0</v>
      </c>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N138" s="10"/>
      <c r="CO138" s="10">
        <f t="shared" ref="CO138:CS141" si="713">SUMIF($L$2:$CK$2,CO$3,$L138:$CK138)</f>
        <v>0</v>
      </c>
      <c r="CP138" s="10">
        <f t="shared" si="713"/>
        <v>0</v>
      </c>
      <c r="CQ138" s="10">
        <f t="shared" si="713"/>
        <v>0</v>
      </c>
      <c r="CR138" s="10">
        <f t="shared" si="713"/>
        <v>0</v>
      </c>
      <c r="CS138" s="10">
        <f t="shared" si="713"/>
        <v>0</v>
      </c>
      <c r="CT138" s="10">
        <f t="shared" ref="CT138:CU141" si="714">SUMIF($L$2:$CK$2,CT$3,$L138:$CK138)</f>
        <v>0</v>
      </c>
      <c r="CU138" s="10">
        <f t="shared" si="714"/>
        <v>0</v>
      </c>
      <c r="CV138" s="180"/>
      <c r="CW138" s="180"/>
    </row>
    <row r="139" spans="2:101" outlineLevel="1" x14ac:dyDescent="0.2">
      <c r="B139" s="92" t="s">
        <v>393</v>
      </c>
      <c r="C139" s="97" t="s">
        <v>160</v>
      </c>
      <c r="D139" s="86">
        <v>46132</v>
      </c>
      <c r="E139" s="86"/>
      <c r="F139" s="10"/>
      <c r="G139" s="10"/>
      <c r="H139" s="10"/>
      <c r="I139" s="10"/>
      <c r="J139" s="10"/>
      <c r="K139" s="10"/>
      <c r="L139" s="10"/>
      <c r="M139" s="10"/>
      <c r="N139" s="10"/>
      <c r="O139" s="10"/>
      <c r="P139" s="10"/>
      <c r="Q139" s="10"/>
      <c r="R139" s="10"/>
      <c r="S139" s="10"/>
      <c r="T139" s="10"/>
      <c r="U139" s="10"/>
      <c r="V139" s="10"/>
      <c r="W139" s="10"/>
      <c r="X139" s="10">
        <v>168.75</v>
      </c>
      <c r="Y139" s="10">
        <f>X139</f>
        <v>168.75</v>
      </c>
      <c r="Z139" s="10">
        <f t="shared" ref="Z139" si="715">Y139</f>
        <v>168.75</v>
      </c>
      <c r="AA139" s="10">
        <f t="shared" ref="AA139" si="716">Z139</f>
        <v>168.75</v>
      </c>
      <c r="AB139" s="10">
        <f t="shared" ref="AB139" si="717">AA139</f>
        <v>168.75</v>
      </c>
      <c r="AC139" s="10">
        <f t="shared" ref="AC139" si="718">AB139</f>
        <v>168.75</v>
      </c>
      <c r="AD139" s="10">
        <f t="shared" ref="AD139" si="719">AC139</f>
        <v>168.75</v>
      </c>
      <c r="AE139" s="10">
        <f t="shared" ref="AE139" si="720">AD139</f>
        <v>168.75</v>
      </c>
      <c r="AF139" s="10">
        <f>1428-SUM(X139:AE139)</f>
        <v>78</v>
      </c>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N139" s="10"/>
      <c r="CO139" s="10">
        <f t="shared" si="713"/>
        <v>0</v>
      </c>
      <c r="CP139" s="10">
        <f t="shared" si="713"/>
        <v>1012.5</v>
      </c>
      <c r="CQ139" s="10">
        <f t="shared" si="713"/>
        <v>415.5</v>
      </c>
      <c r="CR139" s="10">
        <f t="shared" si="713"/>
        <v>0</v>
      </c>
      <c r="CS139" s="10">
        <f t="shared" si="713"/>
        <v>0</v>
      </c>
      <c r="CT139" s="10">
        <f t="shared" si="714"/>
        <v>0</v>
      </c>
      <c r="CU139" s="10">
        <f t="shared" si="714"/>
        <v>0</v>
      </c>
      <c r="CV139" s="180"/>
      <c r="CW139" s="180"/>
    </row>
    <row r="140" spans="2:101" outlineLevel="1" x14ac:dyDescent="0.2">
      <c r="B140" s="92" t="s">
        <v>390</v>
      </c>
      <c r="C140" s="97" t="s">
        <v>160</v>
      </c>
      <c r="D140" s="86">
        <v>45529</v>
      </c>
      <c r="E140" s="86"/>
      <c r="F140" s="10"/>
      <c r="G140" s="10"/>
      <c r="H140" s="10"/>
      <c r="I140" s="10"/>
      <c r="J140" s="10"/>
      <c r="K140" s="10"/>
      <c r="L140" s="10"/>
      <c r="M140" s="10"/>
      <c r="N140" s="10"/>
      <c r="O140" s="10"/>
      <c r="P140" s="10"/>
      <c r="Q140" s="10"/>
      <c r="R140" s="10"/>
      <c r="S140" s="10"/>
      <c r="T140" s="10"/>
      <c r="U140" s="10"/>
      <c r="V140" s="10"/>
      <c r="W140" s="10"/>
      <c r="X140" s="10">
        <v>0</v>
      </c>
      <c r="Y140" s="10">
        <v>0</v>
      </c>
      <c r="Z140" s="10">
        <v>0</v>
      </c>
      <c r="AA140" s="10">
        <v>0</v>
      </c>
      <c r="AB140" s="10">
        <v>0</v>
      </c>
      <c r="AC140" s="10">
        <v>0</v>
      </c>
      <c r="AD140" s="10">
        <v>0</v>
      </c>
      <c r="AE140" s="10">
        <v>0</v>
      </c>
      <c r="AF140" s="10">
        <v>0</v>
      </c>
      <c r="AG140" s="10">
        <v>0</v>
      </c>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N140" s="10"/>
      <c r="CO140" s="10">
        <f t="shared" si="713"/>
        <v>0</v>
      </c>
      <c r="CP140" s="10">
        <f t="shared" si="713"/>
        <v>0</v>
      </c>
      <c r="CQ140" s="10">
        <f t="shared" si="713"/>
        <v>0</v>
      </c>
      <c r="CR140" s="10">
        <f t="shared" si="713"/>
        <v>0</v>
      </c>
      <c r="CS140" s="10">
        <f t="shared" si="713"/>
        <v>0</v>
      </c>
      <c r="CT140" s="10">
        <f t="shared" si="714"/>
        <v>0</v>
      </c>
      <c r="CU140" s="10">
        <f t="shared" si="714"/>
        <v>0</v>
      </c>
      <c r="CV140" s="180"/>
      <c r="CW140" s="180"/>
    </row>
    <row r="141" spans="2:101" x14ac:dyDescent="0.2">
      <c r="B141" s="20" t="s">
        <v>6</v>
      </c>
      <c r="C141" s="23" t="s">
        <v>4</v>
      </c>
      <c r="D141" s="23"/>
      <c r="E141" s="102"/>
      <c r="F141" s="24">
        <f>SUM(F138:F140)</f>
        <v>0</v>
      </c>
      <c r="G141" s="24">
        <f t="shared" ref="G141:BR141" si="721">SUM(G138:G140)</f>
        <v>0</v>
      </c>
      <c r="H141" s="24">
        <f t="shared" si="721"/>
        <v>0</v>
      </c>
      <c r="I141" s="24">
        <f t="shared" si="721"/>
        <v>0</v>
      </c>
      <c r="J141" s="24">
        <f t="shared" si="721"/>
        <v>0</v>
      </c>
      <c r="K141" s="24">
        <f t="shared" si="721"/>
        <v>0</v>
      </c>
      <c r="L141" s="24">
        <f t="shared" si="721"/>
        <v>0</v>
      </c>
      <c r="M141" s="24">
        <f t="shared" si="721"/>
        <v>0</v>
      </c>
      <c r="N141" s="24">
        <f t="shared" si="721"/>
        <v>0</v>
      </c>
      <c r="O141" s="24">
        <f t="shared" si="721"/>
        <v>0</v>
      </c>
      <c r="P141" s="24">
        <f t="shared" si="721"/>
        <v>0</v>
      </c>
      <c r="Q141" s="24">
        <f t="shared" si="721"/>
        <v>0</v>
      </c>
      <c r="R141" s="24">
        <f t="shared" si="721"/>
        <v>0</v>
      </c>
      <c r="S141" s="24">
        <f t="shared" si="721"/>
        <v>0</v>
      </c>
      <c r="T141" s="24">
        <f t="shared" si="721"/>
        <v>0</v>
      </c>
      <c r="U141" s="24">
        <f t="shared" si="721"/>
        <v>0</v>
      </c>
      <c r="V141" s="24">
        <f t="shared" si="721"/>
        <v>0</v>
      </c>
      <c r="W141" s="24">
        <f t="shared" si="721"/>
        <v>0</v>
      </c>
      <c r="X141" s="24">
        <f t="shared" si="721"/>
        <v>168.75</v>
      </c>
      <c r="Y141" s="24">
        <f t="shared" si="721"/>
        <v>168.75</v>
      </c>
      <c r="Z141" s="24">
        <f t="shared" si="721"/>
        <v>168.75</v>
      </c>
      <c r="AA141" s="24">
        <f t="shared" si="721"/>
        <v>168.75</v>
      </c>
      <c r="AB141" s="24">
        <f t="shared" si="721"/>
        <v>168.75</v>
      </c>
      <c r="AC141" s="24">
        <f t="shared" si="721"/>
        <v>168.75</v>
      </c>
      <c r="AD141" s="24">
        <f t="shared" si="721"/>
        <v>168.75</v>
      </c>
      <c r="AE141" s="24">
        <f t="shared" si="721"/>
        <v>168.75</v>
      </c>
      <c r="AF141" s="24">
        <f t="shared" si="721"/>
        <v>78</v>
      </c>
      <c r="AG141" s="24">
        <f t="shared" si="721"/>
        <v>0</v>
      </c>
      <c r="AH141" s="24">
        <f t="shared" si="721"/>
        <v>0</v>
      </c>
      <c r="AI141" s="24">
        <f t="shared" si="721"/>
        <v>0</v>
      </c>
      <c r="AJ141" s="24">
        <f t="shared" si="721"/>
        <v>0</v>
      </c>
      <c r="AK141" s="24">
        <f t="shared" si="721"/>
        <v>0</v>
      </c>
      <c r="AL141" s="24">
        <f t="shared" si="721"/>
        <v>0</v>
      </c>
      <c r="AM141" s="24">
        <f t="shared" si="721"/>
        <v>0</v>
      </c>
      <c r="AN141" s="24">
        <f t="shared" si="721"/>
        <v>0</v>
      </c>
      <c r="AO141" s="24">
        <f t="shared" si="721"/>
        <v>0</v>
      </c>
      <c r="AP141" s="24">
        <f t="shared" si="721"/>
        <v>0</v>
      </c>
      <c r="AQ141" s="24">
        <f t="shared" si="721"/>
        <v>0</v>
      </c>
      <c r="AR141" s="24">
        <f t="shared" si="721"/>
        <v>0</v>
      </c>
      <c r="AS141" s="24">
        <f t="shared" si="721"/>
        <v>0</v>
      </c>
      <c r="AT141" s="24">
        <f t="shared" si="721"/>
        <v>0</v>
      </c>
      <c r="AU141" s="24">
        <f t="shared" si="721"/>
        <v>0</v>
      </c>
      <c r="AV141" s="24">
        <f t="shared" si="721"/>
        <v>0</v>
      </c>
      <c r="AW141" s="24">
        <f t="shared" si="721"/>
        <v>0</v>
      </c>
      <c r="AX141" s="24">
        <f t="shared" si="721"/>
        <v>0</v>
      </c>
      <c r="AY141" s="24">
        <f t="shared" si="721"/>
        <v>0</v>
      </c>
      <c r="AZ141" s="24">
        <f t="shared" si="721"/>
        <v>0</v>
      </c>
      <c r="BA141" s="24">
        <f t="shared" si="721"/>
        <v>0</v>
      </c>
      <c r="BB141" s="24">
        <f t="shared" si="721"/>
        <v>0</v>
      </c>
      <c r="BC141" s="24">
        <f t="shared" si="721"/>
        <v>0</v>
      </c>
      <c r="BD141" s="24">
        <f t="shared" si="721"/>
        <v>0</v>
      </c>
      <c r="BE141" s="24">
        <f t="shared" si="721"/>
        <v>0</v>
      </c>
      <c r="BF141" s="24">
        <f t="shared" si="721"/>
        <v>0</v>
      </c>
      <c r="BG141" s="24">
        <f t="shared" si="721"/>
        <v>0</v>
      </c>
      <c r="BH141" s="24">
        <f t="shared" si="721"/>
        <v>0</v>
      </c>
      <c r="BI141" s="24">
        <f t="shared" si="721"/>
        <v>0</v>
      </c>
      <c r="BJ141" s="24">
        <f t="shared" si="721"/>
        <v>0</v>
      </c>
      <c r="BK141" s="24">
        <f t="shared" si="721"/>
        <v>0</v>
      </c>
      <c r="BL141" s="24">
        <f t="shared" si="721"/>
        <v>0</v>
      </c>
      <c r="BM141" s="24">
        <f t="shared" si="721"/>
        <v>0</v>
      </c>
      <c r="BN141" s="24">
        <f t="shared" si="721"/>
        <v>0</v>
      </c>
      <c r="BO141" s="24">
        <f t="shared" si="721"/>
        <v>0</v>
      </c>
      <c r="BP141" s="24">
        <f t="shared" si="721"/>
        <v>0</v>
      </c>
      <c r="BQ141" s="24">
        <f t="shared" si="721"/>
        <v>0</v>
      </c>
      <c r="BR141" s="24">
        <f t="shared" si="721"/>
        <v>0</v>
      </c>
      <c r="BS141" s="24">
        <f t="shared" ref="BS141:BX141" si="722">SUM(BS138:BS140)</f>
        <v>0</v>
      </c>
      <c r="BT141" s="24">
        <f t="shared" si="722"/>
        <v>0</v>
      </c>
      <c r="BU141" s="24">
        <f t="shared" si="722"/>
        <v>0</v>
      </c>
      <c r="BV141" s="24">
        <f t="shared" si="722"/>
        <v>0</v>
      </c>
      <c r="BW141" s="24">
        <f t="shared" si="722"/>
        <v>0</v>
      </c>
      <c r="BX141" s="24">
        <f t="shared" si="722"/>
        <v>0</v>
      </c>
      <c r="BY141" s="24">
        <f t="shared" ref="BY141:CK141" si="723">SUM(BY138:BY140)</f>
        <v>0</v>
      </c>
      <c r="BZ141" s="24">
        <f t="shared" si="723"/>
        <v>0</v>
      </c>
      <c r="CA141" s="24">
        <f t="shared" si="723"/>
        <v>0</v>
      </c>
      <c r="CB141" s="24">
        <f t="shared" si="723"/>
        <v>0</v>
      </c>
      <c r="CC141" s="24">
        <f t="shared" si="723"/>
        <v>0</v>
      </c>
      <c r="CD141" s="24">
        <f t="shared" si="723"/>
        <v>0</v>
      </c>
      <c r="CE141" s="24">
        <f t="shared" si="723"/>
        <v>0</v>
      </c>
      <c r="CF141" s="24">
        <f t="shared" si="723"/>
        <v>0</v>
      </c>
      <c r="CG141" s="24">
        <f t="shared" si="723"/>
        <v>0</v>
      </c>
      <c r="CH141" s="24">
        <f t="shared" si="723"/>
        <v>0</v>
      </c>
      <c r="CI141" s="24">
        <f t="shared" si="723"/>
        <v>0</v>
      </c>
      <c r="CJ141" s="24">
        <f t="shared" si="723"/>
        <v>0</v>
      </c>
      <c r="CK141" s="24">
        <f t="shared" si="723"/>
        <v>0</v>
      </c>
      <c r="CN141" s="146"/>
      <c r="CO141" s="24">
        <f t="shared" si="713"/>
        <v>0</v>
      </c>
      <c r="CP141" s="24">
        <f t="shared" si="713"/>
        <v>1012.5</v>
      </c>
      <c r="CQ141" s="24">
        <f t="shared" si="713"/>
        <v>415.5</v>
      </c>
      <c r="CR141" s="24">
        <f t="shared" si="713"/>
        <v>0</v>
      </c>
      <c r="CS141" s="24">
        <f t="shared" si="713"/>
        <v>0</v>
      </c>
      <c r="CT141" s="24">
        <f t="shared" si="714"/>
        <v>0</v>
      </c>
      <c r="CU141" s="24">
        <f t="shared" si="714"/>
        <v>0</v>
      </c>
      <c r="CV141" s="180"/>
      <c r="CW141" s="180"/>
    </row>
    <row r="142" spans="2:101" x14ac:dyDescent="0.2">
      <c r="D142" s="86"/>
      <c r="E142" s="86"/>
      <c r="F142" s="86"/>
      <c r="G142" s="86"/>
      <c r="H142" s="86"/>
      <c r="I142" s="86"/>
      <c r="J142" s="86"/>
      <c r="K142" s="86"/>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O142" s="10"/>
      <c r="CP142" s="10"/>
      <c r="CQ142" s="10"/>
      <c r="CR142" s="10"/>
      <c r="CS142" s="10"/>
      <c r="CT142" s="10"/>
      <c r="CU142" s="10"/>
    </row>
    <row r="143" spans="2:101" x14ac:dyDescent="0.2">
      <c r="D143" s="86"/>
      <c r="E143" s="86"/>
      <c r="F143" s="86"/>
      <c r="G143" s="86"/>
      <c r="H143" s="86"/>
      <c r="I143" s="86"/>
      <c r="J143" s="86"/>
      <c r="K143" s="86"/>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O143" s="10"/>
      <c r="CP143" s="10"/>
      <c r="CQ143" s="10"/>
      <c r="CR143" s="10"/>
      <c r="CS143" s="10"/>
      <c r="CT143" s="10"/>
      <c r="CU143" s="10"/>
    </row>
    <row r="144" spans="2:101" x14ac:dyDescent="0.2">
      <c r="D144" s="86"/>
      <c r="E144" s="86"/>
      <c r="F144" s="86"/>
      <c r="G144" s="86"/>
      <c r="H144" s="86"/>
      <c r="I144" s="86"/>
      <c r="J144" s="86"/>
      <c r="K144" s="86"/>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O144" s="10"/>
      <c r="CP144" s="10"/>
      <c r="CQ144" s="10"/>
      <c r="CR144" s="10"/>
      <c r="CS144" s="10"/>
      <c r="CT144" s="10"/>
      <c r="CU144" s="10"/>
    </row>
    <row r="145" spans="2:98" x14ac:dyDescent="0.2">
      <c r="D145" s="86"/>
      <c r="E145" s="86"/>
      <c r="F145" s="86"/>
      <c r="G145" s="86"/>
      <c r="H145" s="86"/>
      <c r="I145" s="86"/>
      <c r="J145" s="86"/>
      <c r="K145" s="86"/>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row>
    <row r="146" spans="2:98" x14ac:dyDescent="0.2">
      <c r="B146" s="156"/>
      <c r="C146" s="102"/>
      <c r="D146" s="102"/>
      <c r="E146" s="102"/>
      <c r="L146" s="146"/>
      <c r="M146" s="146"/>
      <c r="N146" s="146"/>
      <c r="O146" s="146"/>
      <c r="P146" s="146"/>
      <c r="Q146" s="146"/>
      <c r="R146" s="146"/>
      <c r="S146" s="146"/>
      <c r="T146" s="146"/>
      <c r="U146" s="146"/>
      <c r="V146" s="146"/>
      <c r="W146" s="146"/>
      <c r="X146" s="146"/>
      <c r="Y146" s="401"/>
      <c r="Z146" s="401"/>
      <c r="AA146" s="146"/>
      <c r="AB146" s="146"/>
      <c r="AC146" s="146"/>
      <c r="AD146" s="146"/>
      <c r="AE146" s="146"/>
      <c r="AF146" s="146"/>
      <c r="AG146" s="146"/>
      <c r="AH146" s="146"/>
      <c r="AI146" s="146"/>
      <c r="AJ146" s="146"/>
      <c r="AK146" s="146"/>
      <c r="AL146" s="146"/>
      <c r="AM146" s="146"/>
      <c r="AN146" s="146"/>
      <c r="AO146" s="146"/>
      <c r="AP146" s="146"/>
      <c r="AQ146" s="146"/>
      <c r="AR146" s="146"/>
      <c r="AS146" s="146"/>
      <c r="AT146" s="146"/>
      <c r="AU146" s="146"/>
      <c r="AV146" s="146"/>
      <c r="AW146" s="146"/>
      <c r="AX146" s="146"/>
      <c r="AY146" s="146"/>
      <c r="AZ146" s="146"/>
      <c r="BA146" s="146"/>
      <c r="BB146" s="146"/>
      <c r="BC146" s="146"/>
      <c r="BD146" s="146"/>
      <c r="BE146" s="146"/>
      <c r="BF146" s="146"/>
      <c r="BG146" s="146"/>
      <c r="BH146" s="146"/>
      <c r="BI146" s="146"/>
      <c r="BJ146" s="146"/>
      <c r="BK146" s="146"/>
      <c r="BL146" s="146"/>
      <c r="BM146" s="146"/>
      <c r="BN146" s="146"/>
      <c r="BO146" s="146"/>
      <c r="BP146" s="146"/>
      <c r="BQ146" s="146"/>
      <c r="BR146" s="146"/>
      <c r="BS146" s="146"/>
      <c r="BT146" s="146"/>
      <c r="BU146" s="146"/>
      <c r="BV146" s="146"/>
      <c r="BW146" s="146"/>
      <c r="BX146" s="146"/>
      <c r="BY146" s="146"/>
      <c r="BZ146" s="146"/>
      <c r="CA146" s="146"/>
      <c r="CB146" s="146"/>
      <c r="CC146" s="146"/>
      <c r="CD146" s="146"/>
      <c r="CE146" s="146"/>
      <c r="CF146" s="146"/>
      <c r="CG146" s="146"/>
      <c r="CH146" s="146"/>
      <c r="CI146" s="146"/>
      <c r="CJ146" s="146"/>
      <c r="CK146" s="146"/>
      <c r="CO146" s="146"/>
      <c r="CP146" s="146"/>
      <c r="CQ146" s="146"/>
      <c r="CR146" s="146"/>
      <c r="CS146" s="146"/>
      <c r="CT146" s="146"/>
    </row>
    <row r="147" spans="2:98" x14ac:dyDescent="0.2">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row>
  </sheetData>
  <phoneticPr fontId="7" type="noConversion"/>
  <dataValidations count="1">
    <dataValidation allowBlank="1" showErrorMessage="1" promptTitle=" " prompt="По обязательствам в валюте – пересчёт по курсу ЦБ РФ на дату заполнения" sqref="D125:E126 F129:CK129 F126:CK126" xr:uid="{00000000-0002-0000-0900-000000000000}"/>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1">
    <outlinePr summaryBelow="0"/>
  </sheetPr>
  <dimension ref="A2:CU93"/>
  <sheetViews>
    <sheetView showGridLines="0" zoomScale="80" zoomScaleNormal="80" workbookViewId="0">
      <pane xSplit="2" ySplit="3" topLeftCell="CB18" activePane="bottomRight" state="frozen"/>
      <selection activeCell="BB40" sqref="BB40"/>
      <selection pane="topRight" activeCell="BB40" sqref="BB40"/>
      <selection pane="bottomLeft" activeCell="BB40" sqref="BB40"/>
      <selection pane="bottomRight" activeCell="BB40" sqref="BB40"/>
    </sheetView>
  </sheetViews>
  <sheetFormatPr defaultColWidth="8.7109375" defaultRowHeight="12.75" outlineLevelRow="2" outlineLevelCol="1" x14ac:dyDescent="0.2"/>
  <cols>
    <col min="1" max="1" width="8.7109375" style="8"/>
    <col min="2" max="2" width="38.7109375" style="8" customWidth="1"/>
    <col min="3" max="3" width="13.140625" style="8" bestFit="1" customWidth="1"/>
    <col min="4" max="4" width="11.42578125" style="8" customWidth="1"/>
    <col min="5" max="5" width="6.7109375" style="8" bestFit="1" customWidth="1"/>
    <col min="6" max="6" width="7" style="8" bestFit="1" customWidth="1" outlineLevel="1"/>
    <col min="7" max="8" width="7.42578125" style="8" bestFit="1" customWidth="1" outlineLevel="1"/>
    <col min="9" max="9" width="7.140625" style="8" bestFit="1" customWidth="1" outlineLevel="1"/>
    <col min="10" max="11" width="8.42578125" style="8" bestFit="1" customWidth="1" outlineLevel="1"/>
    <col min="12" max="12" width="9.7109375" style="8" customWidth="1" outlineLevel="1"/>
    <col min="13" max="18" width="8.7109375" style="8" customWidth="1" outlineLevel="1"/>
    <col min="19" max="19" width="10.42578125" style="8" customWidth="1" outlineLevel="1"/>
    <col min="20" max="42" width="8.7109375" style="8" customWidth="1" outlineLevel="1"/>
    <col min="43" max="89" width="9.42578125" style="8" customWidth="1" outlineLevel="1"/>
    <col min="90" max="90" width="8.7109375" style="8" customWidth="1" outlineLevel="1"/>
    <col min="91" max="91" width="8.7109375" style="8"/>
    <col min="92" max="93" width="9.42578125" style="8" bestFit="1" customWidth="1"/>
    <col min="94" max="96" width="9.42578125" style="8" customWidth="1"/>
    <col min="97" max="97" width="10.140625" style="8" bestFit="1" customWidth="1"/>
    <col min="98" max="16384" width="8.7109375" style="8"/>
  </cols>
  <sheetData>
    <row r="2" spans="2:97" x14ac:dyDescent="0.2">
      <c r="B2" s="7" t="s">
        <v>49</v>
      </c>
      <c r="L2" s="5">
        <f>YEAR(L3)</f>
        <v>2024</v>
      </c>
      <c r="M2" s="5">
        <f t="shared" ref="M2:CK2" si="0">YEAR(M3)</f>
        <v>2024</v>
      </c>
      <c r="N2" s="5">
        <f t="shared" si="0"/>
        <v>2024</v>
      </c>
      <c r="O2" s="5">
        <f t="shared" si="0"/>
        <v>2024</v>
      </c>
      <c r="P2" s="5">
        <f t="shared" si="0"/>
        <v>2024</v>
      </c>
      <c r="Q2" s="5">
        <f t="shared" si="0"/>
        <v>2024</v>
      </c>
      <c r="R2" s="5">
        <f t="shared" si="0"/>
        <v>2025</v>
      </c>
      <c r="S2" s="5">
        <f t="shared" si="0"/>
        <v>2025</v>
      </c>
      <c r="T2" s="5">
        <f t="shared" si="0"/>
        <v>2025</v>
      </c>
      <c r="U2" s="5">
        <f t="shared" si="0"/>
        <v>2025</v>
      </c>
      <c r="V2" s="5">
        <f t="shared" si="0"/>
        <v>2025</v>
      </c>
      <c r="W2" s="5">
        <f t="shared" si="0"/>
        <v>2025</v>
      </c>
      <c r="X2" s="5">
        <f t="shared" si="0"/>
        <v>2025</v>
      </c>
      <c r="Y2" s="5">
        <f t="shared" si="0"/>
        <v>2025</v>
      </c>
      <c r="Z2" s="5">
        <f t="shared" si="0"/>
        <v>2025</v>
      </c>
      <c r="AA2" s="5">
        <f t="shared" si="0"/>
        <v>2025</v>
      </c>
      <c r="AB2" s="5">
        <f t="shared" si="0"/>
        <v>2025</v>
      </c>
      <c r="AC2" s="5">
        <f t="shared" si="0"/>
        <v>2025</v>
      </c>
      <c r="AD2" s="5">
        <f t="shared" si="0"/>
        <v>2026</v>
      </c>
      <c r="AE2" s="5">
        <f t="shared" si="0"/>
        <v>2026</v>
      </c>
      <c r="AF2" s="5">
        <f t="shared" si="0"/>
        <v>2026</v>
      </c>
      <c r="AG2" s="5">
        <f t="shared" si="0"/>
        <v>2026</v>
      </c>
      <c r="AH2" s="5">
        <f t="shared" si="0"/>
        <v>2026</v>
      </c>
      <c r="AI2" s="5">
        <f t="shared" si="0"/>
        <v>2026</v>
      </c>
      <c r="AJ2" s="5">
        <f t="shared" si="0"/>
        <v>2026</v>
      </c>
      <c r="AK2" s="5">
        <f t="shared" si="0"/>
        <v>2026</v>
      </c>
      <c r="AL2" s="5">
        <f t="shared" si="0"/>
        <v>2026</v>
      </c>
      <c r="AM2" s="5">
        <f t="shared" si="0"/>
        <v>2026</v>
      </c>
      <c r="AN2" s="5">
        <f t="shared" si="0"/>
        <v>2026</v>
      </c>
      <c r="AO2" s="5">
        <f t="shared" si="0"/>
        <v>2026</v>
      </c>
      <c r="AP2" s="5">
        <f t="shared" si="0"/>
        <v>2027</v>
      </c>
      <c r="AQ2" s="5">
        <f t="shared" si="0"/>
        <v>2027</v>
      </c>
      <c r="AR2" s="5">
        <f t="shared" si="0"/>
        <v>2027</v>
      </c>
      <c r="AS2" s="5">
        <f t="shared" si="0"/>
        <v>2027</v>
      </c>
      <c r="AT2" s="5">
        <f t="shared" si="0"/>
        <v>2027</v>
      </c>
      <c r="AU2" s="5">
        <f t="shared" si="0"/>
        <v>2027</v>
      </c>
      <c r="AV2" s="5">
        <f t="shared" si="0"/>
        <v>2027</v>
      </c>
      <c r="AW2" s="5">
        <f t="shared" si="0"/>
        <v>2027</v>
      </c>
      <c r="AX2" s="5">
        <f t="shared" si="0"/>
        <v>2027</v>
      </c>
      <c r="AY2" s="5">
        <f t="shared" si="0"/>
        <v>2027</v>
      </c>
      <c r="AZ2" s="5">
        <f t="shared" si="0"/>
        <v>2027</v>
      </c>
      <c r="BA2" s="5">
        <f t="shared" si="0"/>
        <v>2027</v>
      </c>
      <c r="BB2" s="5">
        <f t="shared" si="0"/>
        <v>2028</v>
      </c>
      <c r="BC2" s="5">
        <f t="shared" si="0"/>
        <v>2028</v>
      </c>
      <c r="BD2" s="5">
        <f t="shared" si="0"/>
        <v>2028</v>
      </c>
      <c r="BE2" s="5">
        <f t="shared" si="0"/>
        <v>2028</v>
      </c>
      <c r="BF2" s="5">
        <f t="shared" si="0"/>
        <v>2028</v>
      </c>
      <c r="BG2" s="5">
        <f t="shared" si="0"/>
        <v>2028</v>
      </c>
      <c r="BH2" s="5">
        <f t="shared" si="0"/>
        <v>2028</v>
      </c>
      <c r="BI2" s="5">
        <f t="shared" si="0"/>
        <v>2028</v>
      </c>
      <c r="BJ2" s="5">
        <f t="shared" si="0"/>
        <v>2028</v>
      </c>
      <c r="BK2" s="5">
        <f t="shared" si="0"/>
        <v>2028</v>
      </c>
      <c r="BL2" s="5">
        <f t="shared" si="0"/>
        <v>2028</v>
      </c>
      <c r="BM2" s="5">
        <f t="shared" si="0"/>
        <v>2028</v>
      </c>
      <c r="BN2" s="5">
        <f t="shared" si="0"/>
        <v>2029</v>
      </c>
      <c r="BO2" s="5">
        <f t="shared" si="0"/>
        <v>2029</v>
      </c>
      <c r="BP2" s="5">
        <f t="shared" si="0"/>
        <v>2029</v>
      </c>
      <c r="BQ2" s="5">
        <f t="shared" si="0"/>
        <v>2029</v>
      </c>
      <c r="BR2" s="5">
        <f t="shared" si="0"/>
        <v>2029</v>
      </c>
      <c r="BS2" s="5">
        <f t="shared" si="0"/>
        <v>2029</v>
      </c>
      <c r="BT2" s="5">
        <f t="shared" si="0"/>
        <v>2029</v>
      </c>
      <c r="BU2" s="5">
        <f t="shared" si="0"/>
        <v>2029</v>
      </c>
      <c r="BV2" s="5">
        <f t="shared" si="0"/>
        <v>2029</v>
      </c>
      <c r="BW2" s="5">
        <f t="shared" si="0"/>
        <v>2029</v>
      </c>
      <c r="BX2" s="5">
        <f t="shared" si="0"/>
        <v>2029</v>
      </c>
      <c r="BY2" s="5">
        <f t="shared" si="0"/>
        <v>2029</v>
      </c>
      <c r="BZ2" s="5">
        <f t="shared" si="0"/>
        <v>2030</v>
      </c>
      <c r="CA2" s="5">
        <f t="shared" si="0"/>
        <v>2030</v>
      </c>
      <c r="CB2" s="5">
        <f t="shared" si="0"/>
        <v>2030</v>
      </c>
      <c r="CC2" s="5">
        <f t="shared" si="0"/>
        <v>2030</v>
      </c>
      <c r="CD2" s="5">
        <f t="shared" si="0"/>
        <v>2030</v>
      </c>
      <c r="CE2" s="5">
        <f t="shared" si="0"/>
        <v>2030</v>
      </c>
      <c r="CF2" s="5">
        <f t="shared" si="0"/>
        <v>2030</v>
      </c>
      <c r="CG2" s="5">
        <f t="shared" si="0"/>
        <v>2030</v>
      </c>
      <c r="CH2" s="5">
        <f t="shared" si="0"/>
        <v>2030</v>
      </c>
      <c r="CI2" s="5">
        <f t="shared" si="0"/>
        <v>2030</v>
      </c>
      <c r="CJ2" s="5">
        <f t="shared" si="0"/>
        <v>2030</v>
      </c>
      <c r="CK2" s="5">
        <f t="shared" si="0"/>
        <v>2030</v>
      </c>
    </row>
    <row r="3" spans="2:97" x14ac:dyDescent="0.2">
      <c r="B3" s="131" t="s">
        <v>1</v>
      </c>
      <c r="C3" s="128" t="s">
        <v>2</v>
      </c>
      <c r="D3" s="102"/>
      <c r="E3" s="102"/>
      <c r="F3" s="129">
        <f>Мясо!F3</f>
        <v>45292</v>
      </c>
      <c r="G3" s="129">
        <f>Мясо!G3</f>
        <v>45323</v>
      </c>
      <c r="H3" s="129">
        <f>Мясо!H3</f>
        <v>45352</v>
      </c>
      <c r="I3" s="129">
        <f>Мясо!I3</f>
        <v>45383</v>
      </c>
      <c r="J3" s="129">
        <f>Мясо!J3</f>
        <v>45413</v>
      </c>
      <c r="K3" s="129">
        <f>Мясо!K3</f>
        <v>45444</v>
      </c>
      <c r="L3" s="129">
        <f>Мясо!L3</f>
        <v>45474</v>
      </c>
      <c r="M3" s="129">
        <f>Мясо!M3</f>
        <v>45505</v>
      </c>
      <c r="N3" s="129">
        <f>Мясо!N3</f>
        <v>45536</v>
      </c>
      <c r="O3" s="129">
        <f>Мясо!O3</f>
        <v>45566</v>
      </c>
      <c r="P3" s="129">
        <f>Мясо!P3</f>
        <v>45597</v>
      </c>
      <c r="Q3" s="129">
        <f>Мясо!Q3</f>
        <v>45627</v>
      </c>
      <c r="R3" s="129">
        <f>Мясо!R3</f>
        <v>45658</v>
      </c>
      <c r="S3" s="129">
        <f>Мясо!S3</f>
        <v>45689</v>
      </c>
      <c r="T3" s="129">
        <f>Мясо!T3</f>
        <v>45717</v>
      </c>
      <c r="U3" s="129">
        <f>Мясо!U3</f>
        <v>45748</v>
      </c>
      <c r="V3" s="129">
        <f>Мясо!V3</f>
        <v>45778</v>
      </c>
      <c r="W3" s="129">
        <f>Мясо!W3</f>
        <v>45809</v>
      </c>
      <c r="X3" s="129">
        <f>Мясо!X3</f>
        <v>45839</v>
      </c>
      <c r="Y3" s="129">
        <f>Мясо!Y3</f>
        <v>45870</v>
      </c>
      <c r="Z3" s="129">
        <f>Мясо!Z3</f>
        <v>45901</v>
      </c>
      <c r="AA3" s="129">
        <f>Мясо!AA3</f>
        <v>45931</v>
      </c>
      <c r="AB3" s="129">
        <f>Мясо!AB3</f>
        <v>45962</v>
      </c>
      <c r="AC3" s="129">
        <f>Мясо!AC3</f>
        <v>45992</v>
      </c>
      <c r="AD3" s="129">
        <f>Мясо!AD3</f>
        <v>46023</v>
      </c>
      <c r="AE3" s="129">
        <f>Мясо!AE3</f>
        <v>46054</v>
      </c>
      <c r="AF3" s="129">
        <f>Мясо!AF3</f>
        <v>46082</v>
      </c>
      <c r="AG3" s="129">
        <f>Мясо!AG3</f>
        <v>46113</v>
      </c>
      <c r="AH3" s="129">
        <f>Мясо!AH3</f>
        <v>46143</v>
      </c>
      <c r="AI3" s="129">
        <f>Мясо!AI3</f>
        <v>46174</v>
      </c>
      <c r="AJ3" s="129">
        <f>Мясо!AJ3</f>
        <v>46204</v>
      </c>
      <c r="AK3" s="129">
        <f>Мясо!AK3</f>
        <v>46235</v>
      </c>
      <c r="AL3" s="129">
        <f>Мясо!AL3</f>
        <v>46266</v>
      </c>
      <c r="AM3" s="129">
        <f>Мясо!AM3</f>
        <v>46296</v>
      </c>
      <c r="AN3" s="129">
        <f>Мясо!AN3</f>
        <v>46327</v>
      </c>
      <c r="AO3" s="129">
        <f>Мясо!AO3</f>
        <v>46357</v>
      </c>
      <c r="AP3" s="129">
        <f>Мясо!AP3</f>
        <v>46388</v>
      </c>
      <c r="AQ3" s="129">
        <f>Мясо!AQ3</f>
        <v>46419</v>
      </c>
      <c r="AR3" s="129">
        <f>Мясо!AR3</f>
        <v>46447</v>
      </c>
      <c r="AS3" s="129">
        <f>Мясо!AS3</f>
        <v>46478</v>
      </c>
      <c r="AT3" s="129">
        <f>Мясо!AT3</f>
        <v>46508</v>
      </c>
      <c r="AU3" s="129">
        <f>Мясо!AU3</f>
        <v>46539</v>
      </c>
      <c r="AV3" s="129">
        <f>Мясо!AV3</f>
        <v>46569</v>
      </c>
      <c r="AW3" s="129">
        <f>Мясо!AW3</f>
        <v>46600</v>
      </c>
      <c r="AX3" s="129">
        <f>Мясо!AX3</f>
        <v>46631</v>
      </c>
      <c r="AY3" s="129">
        <f>Мясо!AY3</f>
        <v>46661</v>
      </c>
      <c r="AZ3" s="129">
        <f>Мясо!AZ3</f>
        <v>46692</v>
      </c>
      <c r="BA3" s="129">
        <f>Мясо!BA3</f>
        <v>46722</v>
      </c>
      <c r="BB3" s="129">
        <f>Мясо!BB3</f>
        <v>46753</v>
      </c>
      <c r="BC3" s="129">
        <f>Мясо!BC3</f>
        <v>46784</v>
      </c>
      <c r="BD3" s="129">
        <f>Мясо!BD3</f>
        <v>46813</v>
      </c>
      <c r="BE3" s="129">
        <f>Мясо!BE3</f>
        <v>46844</v>
      </c>
      <c r="BF3" s="129">
        <f>Мясо!BF3</f>
        <v>46874</v>
      </c>
      <c r="BG3" s="129">
        <f>Мясо!BG3</f>
        <v>46905</v>
      </c>
      <c r="BH3" s="129">
        <f>Мясо!BH3</f>
        <v>46935</v>
      </c>
      <c r="BI3" s="129">
        <f>Мясо!BI3</f>
        <v>46966</v>
      </c>
      <c r="BJ3" s="129">
        <f>Мясо!BJ3</f>
        <v>46997</v>
      </c>
      <c r="BK3" s="129">
        <f>Мясо!BK3</f>
        <v>47027</v>
      </c>
      <c r="BL3" s="129">
        <f>Мясо!BL3</f>
        <v>47058</v>
      </c>
      <c r="BM3" s="129">
        <f>Мясо!BM3</f>
        <v>47088</v>
      </c>
      <c r="BN3" s="129">
        <f>Мясо!BN3</f>
        <v>47119</v>
      </c>
      <c r="BO3" s="129">
        <f>Мясо!BO3</f>
        <v>47150</v>
      </c>
      <c r="BP3" s="129">
        <f>Мясо!BP3</f>
        <v>47178</v>
      </c>
      <c r="BQ3" s="129">
        <f>Мясо!BQ3</f>
        <v>47209</v>
      </c>
      <c r="BR3" s="129">
        <f>Мясо!BR3</f>
        <v>47239</v>
      </c>
      <c r="BS3" s="129">
        <f>Мясо!BS3</f>
        <v>47270</v>
      </c>
      <c r="BT3" s="129">
        <f>Мясо!BT3</f>
        <v>47300</v>
      </c>
      <c r="BU3" s="129">
        <f>Мясо!BU3</f>
        <v>47331</v>
      </c>
      <c r="BV3" s="129">
        <f>Мясо!BV3</f>
        <v>47362</v>
      </c>
      <c r="BW3" s="129">
        <f>Мясо!BW3</f>
        <v>47392</v>
      </c>
      <c r="BX3" s="129">
        <f>Мясо!BX3</f>
        <v>47423</v>
      </c>
      <c r="BY3" s="129">
        <f>Мясо!BY3</f>
        <v>47453</v>
      </c>
      <c r="BZ3" s="129">
        <f>Мясо!BZ3</f>
        <v>47484</v>
      </c>
      <c r="CA3" s="129">
        <f>Мясо!CA3</f>
        <v>47515</v>
      </c>
      <c r="CB3" s="129">
        <f>Мясо!CB3</f>
        <v>47543</v>
      </c>
      <c r="CC3" s="129">
        <f>Мясо!CC3</f>
        <v>47574</v>
      </c>
      <c r="CD3" s="129">
        <f>Мясо!CD3</f>
        <v>47604</v>
      </c>
      <c r="CE3" s="129">
        <f>Мясо!CE3</f>
        <v>47635</v>
      </c>
      <c r="CF3" s="129">
        <f>Мясо!CF3</f>
        <v>47665</v>
      </c>
      <c r="CG3" s="129">
        <f>Мясо!CG3</f>
        <v>47696</v>
      </c>
      <c r="CH3" s="129">
        <f>Мясо!CH3</f>
        <v>47727</v>
      </c>
      <c r="CI3" s="129">
        <f>Мясо!CI3</f>
        <v>47757</v>
      </c>
      <c r="CJ3" s="129">
        <f>Мясо!CJ3</f>
        <v>47788</v>
      </c>
      <c r="CK3" s="129">
        <f>Мясо!CK3</f>
        <v>47818</v>
      </c>
      <c r="CM3" s="130">
        <v>2024</v>
      </c>
      <c r="CN3" s="130">
        <f>CM3+1</f>
        <v>2025</v>
      </c>
      <c r="CO3" s="130">
        <f t="shared" ref="CO3" si="1">CN3+1</f>
        <v>2026</v>
      </c>
      <c r="CP3" s="130">
        <f t="shared" ref="CP3" si="2">CO3+1</f>
        <v>2027</v>
      </c>
      <c r="CQ3" s="130">
        <f t="shared" ref="CQ3" si="3">CP3+1</f>
        <v>2028</v>
      </c>
      <c r="CR3" s="130">
        <f t="shared" ref="CR3" si="4">CQ3+1</f>
        <v>2029</v>
      </c>
      <c r="CS3" s="130">
        <f t="shared" ref="CS3" si="5">CR3+1</f>
        <v>2030</v>
      </c>
    </row>
    <row r="4" spans="2:97" x14ac:dyDescent="0.2">
      <c r="B4" s="90" t="s">
        <v>0</v>
      </c>
      <c r="C4" s="91" t="s">
        <v>4</v>
      </c>
      <c r="D4" s="9"/>
      <c r="E4" s="9"/>
      <c r="F4" s="10">
        <f t="shared" ref="F4:K4" si="6">F39/1.2</f>
        <v>0</v>
      </c>
      <c r="G4" s="10">
        <f t="shared" si="6"/>
        <v>0</v>
      </c>
      <c r="H4" s="10">
        <f t="shared" si="6"/>
        <v>0</v>
      </c>
      <c r="I4" s="10">
        <f t="shared" si="6"/>
        <v>0</v>
      </c>
      <c r="J4" s="10">
        <f t="shared" si="6"/>
        <v>0</v>
      </c>
      <c r="K4" s="10">
        <f t="shared" si="6"/>
        <v>0</v>
      </c>
      <c r="L4" s="10">
        <f>L39/1.2</f>
        <v>19.094166666666666</v>
      </c>
      <c r="M4" s="10">
        <f t="shared" ref="M4:AW4" si="7">M39/1.2</f>
        <v>53.147500000000001</v>
      </c>
      <c r="N4" s="10">
        <f t="shared" si="7"/>
        <v>100.05916666666667</v>
      </c>
      <c r="O4" s="10">
        <f t="shared" si="7"/>
        <v>52.095833333333339</v>
      </c>
      <c r="P4" s="10">
        <f t="shared" si="7"/>
        <v>41.322500000000005</v>
      </c>
      <c r="Q4" s="10">
        <f t="shared" si="7"/>
        <v>50.072500000000005</v>
      </c>
      <c r="R4" s="10">
        <f t="shared" si="7"/>
        <v>0</v>
      </c>
      <c r="S4" s="10">
        <f t="shared" si="7"/>
        <v>0</v>
      </c>
      <c r="T4" s="10">
        <f t="shared" si="7"/>
        <v>0</v>
      </c>
      <c r="U4" s="10">
        <f t="shared" si="7"/>
        <v>0</v>
      </c>
      <c r="V4" s="10">
        <f t="shared" si="7"/>
        <v>0</v>
      </c>
      <c r="W4" s="10">
        <f t="shared" si="7"/>
        <v>0</v>
      </c>
      <c r="X4" s="10">
        <f t="shared" si="7"/>
        <v>0</v>
      </c>
      <c r="Y4" s="10">
        <f t="shared" si="7"/>
        <v>0</v>
      </c>
      <c r="Z4" s="10">
        <f t="shared" si="7"/>
        <v>0</v>
      </c>
      <c r="AA4" s="10">
        <f t="shared" si="7"/>
        <v>0</v>
      </c>
      <c r="AB4" s="10">
        <f t="shared" si="7"/>
        <v>0</v>
      </c>
      <c r="AC4" s="10">
        <f t="shared" si="7"/>
        <v>0</v>
      </c>
      <c r="AD4" s="10">
        <f t="shared" si="7"/>
        <v>0</v>
      </c>
      <c r="AE4" s="10">
        <f t="shared" si="7"/>
        <v>0</v>
      </c>
      <c r="AF4" s="10">
        <f t="shared" si="7"/>
        <v>0</v>
      </c>
      <c r="AG4" s="10">
        <f t="shared" si="7"/>
        <v>0</v>
      </c>
      <c r="AH4" s="10">
        <f t="shared" si="7"/>
        <v>742.5</v>
      </c>
      <c r="AI4" s="10">
        <f t="shared" si="7"/>
        <v>1485</v>
      </c>
      <c r="AJ4" s="10">
        <f t="shared" si="7"/>
        <v>1485</v>
      </c>
      <c r="AK4" s="10">
        <f t="shared" si="7"/>
        <v>1485</v>
      </c>
      <c r="AL4" s="10">
        <f t="shared" si="7"/>
        <v>1485</v>
      </c>
      <c r="AM4" s="10">
        <f t="shared" si="7"/>
        <v>1485</v>
      </c>
      <c r="AN4" s="10">
        <f t="shared" si="7"/>
        <v>1485</v>
      </c>
      <c r="AO4" s="10">
        <f t="shared" si="7"/>
        <v>1485</v>
      </c>
      <c r="AP4" s="10">
        <f t="shared" si="7"/>
        <v>1633.5000000000002</v>
      </c>
      <c r="AQ4" s="10">
        <f t="shared" si="7"/>
        <v>1633.5000000000002</v>
      </c>
      <c r="AR4" s="10">
        <f t="shared" si="7"/>
        <v>1633.5000000000002</v>
      </c>
      <c r="AS4" s="10">
        <f t="shared" si="7"/>
        <v>1633.5000000000002</v>
      </c>
      <c r="AT4" s="10">
        <f t="shared" si="7"/>
        <v>1633.5000000000002</v>
      </c>
      <c r="AU4" s="10">
        <f t="shared" si="7"/>
        <v>1633.5000000000002</v>
      </c>
      <c r="AV4" s="10">
        <f t="shared" si="7"/>
        <v>1633.5000000000002</v>
      </c>
      <c r="AW4" s="10">
        <f t="shared" si="7"/>
        <v>1633.5000000000002</v>
      </c>
      <c r="AX4" s="10">
        <f t="shared" ref="AX4:BU4" si="8">AX39/1.2</f>
        <v>1633.5000000000002</v>
      </c>
      <c r="AY4" s="10">
        <f t="shared" si="8"/>
        <v>1633.5000000000002</v>
      </c>
      <c r="AZ4" s="10">
        <f t="shared" si="8"/>
        <v>1633.5000000000002</v>
      </c>
      <c r="BA4" s="10">
        <f t="shared" si="8"/>
        <v>1633.5000000000002</v>
      </c>
      <c r="BB4" s="10">
        <f t="shared" si="8"/>
        <v>1878.5250000000001</v>
      </c>
      <c r="BC4" s="10">
        <f t="shared" si="8"/>
        <v>1878.5250000000001</v>
      </c>
      <c r="BD4" s="10">
        <f t="shared" si="8"/>
        <v>1878.5250000000001</v>
      </c>
      <c r="BE4" s="10">
        <f t="shared" si="8"/>
        <v>1878.5250000000001</v>
      </c>
      <c r="BF4" s="10">
        <f t="shared" si="8"/>
        <v>1878.5250000000001</v>
      </c>
      <c r="BG4" s="10">
        <f t="shared" si="8"/>
        <v>1878.5250000000001</v>
      </c>
      <c r="BH4" s="10">
        <f t="shared" si="8"/>
        <v>1878.5250000000001</v>
      </c>
      <c r="BI4" s="10">
        <f t="shared" si="8"/>
        <v>1878.5250000000001</v>
      </c>
      <c r="BJ4" s="10">
        <f t="shared" si="8"/>
        <v>1878.5250000000001</v>
      </c>
      <c r="BK4" s="10">
        <f t="shared" si="8"/>
        <v>1878.5250000000001</v>
      </c>
      <c r="BL4" s="10">
        <f t="shared" si="8"/>
        <v>1878.5250000000001</v>
      </c>
      <c r="BM4" s="10">
        <f t="shared" si="8"/>
        <v>1878.5250000000001</v>
      </c>
      <c r="BN4" s="10">
        <f t="shared" si="8"/>
        <v>2160.30375</v>
      </c>
      <c r="BO4" s="10">
        <f t="shared" si="8"/>
        <v>2160.30375</v>
      </c>
      <c r="BP4" s="10">
        <f t="shared" si="8"/>
        <v>2160.30375</v>
      </c>
      <c r="BQ4" s="10">
        <f t="shared" si="8"/>
        <v>2160.30375</v>
      </c>
      <c r="BR4" s="10">
        <f t="shared" si="8"/>
        <v>2160.30375</v>
      </c>
      <c r="BS4" s="10">
        <f t="shared" si="8"/>
        <v>2160.30375</v>
      </c>
      <c r="BT4" s="10">
        <f t="shared" si="8"/>
        <v>2160.30375</v>
      </c>
      <c r="BU4" s="10">
        <f t="shared" si="8"/>
        <v>2160.30375</v>
      </c>
      <c r="BV4" s="10">
        <f t="shared" ref="BV4:BX4" si="9">BV39/1.2</f>
        <v>2160.30375</v>
      </c>
      <c r="BW4" s="10">
        <f t="shared" si="9"/>
        <v>2160.30375</v>
      </c>
      <c r="BX4" s="10">
        <f t="shared" si="9"/>
        <v>2160.30375</v>
      </c>
      <c r="BY4" s="10">
        <f t="shared" ref="BY4:CK4" si="10">BY39/1.2</f>
        <v>2160.30375</v>
      </c>
      <c r="BZ4" s="10">
        <f t="shared" si="10"/>
        <v>2258.4993749999994</v>
      </c>
      <c r="CA4" s="10">
        <f t="shared" si="10"/>
        <v>2258.4993749999994</v>
      </c>
      <c r="CB4" s="10">
        <f t="shared" si="10"/>
        <v>2258.4993749999994</v>
      </c>
      <c r="CC4" s="10">
        <f t="shared" si="10"/>
        <v>2258.4993749999994</v>
      </c>
      <c r="CD4" s="10">
        <f t="shared" si="10"/>
        <v>2258.4993749999994</v>
      </c>
      <c r="CE4" s="10">
        <f t="shared" si="10"/>
        <v>2258.4993749999994</v>
      </c>
      <c r="CF4" s="10">
        <f t="shared" si="10"/>
        <v>2258.4993749999994</v>
      </c>
      <c r="CG4" s="10">
        <f t="shared" si="10"/>
        <v>2258.4993749999994</v>
      </c>
      <c r="CH4" s="10">
        <f t="shared" si="10"/>
        <v>2258.4993749999994</v>
      </c>
      <c r="CI4" s="10">
        <f t="shared" si="10"/>
        <v>2258.4993749999994</v>
      </c>
      <c r="CJ4" s="10">
        <f t="shared" si="10"/>
        <v>2258.4993749999994</v>
      </c>
      <c r="CK4" s="10">
        <f t="shared" si="10"/>
        <v>2258.4993749999994</v>
      </c>
      <c r="CM4" s="10">
        <f t="shared" ref="CM4:CQ5" si="11">SUMIF($L$2:$CK$2,CM$3,$L4:$CK4)</f>
        <v>315.79166666666669</v>
      </c>
      <c r="CN4" s="10">
        <f t="shared" si="11"/>
        <v>0</v>
      </c>
      <c r="CO4" s="10">
        <f t="shared" si="11"/>
        <v>11137.5</v>
      </c>
      <c r="CP4" s="10">
        <f t="shared" si="11"/>
        <v>19602.000000000004</v>
      </c>
      <c r="CQ4" s="10">
        <f t="shared" si="11"/>
        <v>22542.300000000003</v>
      </c>
      <c r="CR4" s="10">
        <f t="shared" ref="CR4:CS5" si="12">SUMIF($L$2:$CK$2,CR$3,$L4:$CK4)</f>
        <v>25923.644999999993</v>
      </c>
      <c r="CS4" s="10">
        <f t="shared" si="12"/>
        <v>27101.992499999993</v>
      </c>
    </row>
    <row r="5" spans="2:97" x14ac:dyDescent="0.2">
      <c r="B5" s="90" t="s">
        <v>50</v>
      </c>
      <c r="C5" s="91" t="s">
        <v>4</v>
      </c>
      <c r="D5" s="9"/>
      <c r="E5" s="9"/>
      <c r="F5" s="11">
        <f t="shared" ref="F5:K5" si="13">-F44/1.2-F80</f>
        <v>0</v>
      </c>
      <c r="G5" s="11">
        <f t="shared" si="13"/>
        <v>0</v>
      </c>
      <c r="H5" s="11">
        <f t="shared" si="13"/>
        <v>0</v>
      </c>
      <c r="I5" s="11">
        <f t="shared" si="13"/>
        <v>0</v>
      </c>
      <c r="J5" s="11">
        <f t="shared" si="13"/>
        <v>0</v>
      </c>
      <c r="K5" s="11">
        <f t="shared" si="13"/>
        <v>0</v>
      </c>
      <c r="L5" s="11">
        <f t="shared" ref="L5:AQ5" si="14">-L44/1.2-L80</f>
        <v>-29.841641666666668</v>
      </c>
      <c r="M5" s="11">
        <f t="shared" si="14"/>
        <v>-53.338441666666668</v>
      </c>
      <c r="N5" s="11">
        <f t="shared" si="14"/>
        <v>-85.707491666666655</v>
      </c>
      <c r="O5" s="11">
        <f t="shared" si="14"/>
        <v>-52.612791666666666</v>
      </c>
      <c r="P5" s="11">
        <f t="shared" si="14"/>
        <v>-45.179191666666668</v>
      </c>
      <c r="Q5" s="11">
        <f t="shared" si="14"/>
        <v>-51.216691666666662</v>
      </c>
      <c r="R5" s="11">
        <f t="shared" si="14"/>
        <v>0</v>
      </c>
      <c r="S5" s="11">
        <f t="shared" si="14"/>
        <v>0</v>
      </c>
      <c r="T5" s="11">
        <f t="shared" si="14"/>
        <v>0</v>
      </c>
      <c r="U5" s="11">
        <f t="shared" si="14"/>
        <v>0</v>
      </c>
      <c r="V5" s="11">
        <f t="shared" si="14"/>
        <v>0</v>
      </c>
      <c r="W5" s="11">
        <f t="shared" si="14"/>
        <v>0</v>
      </c>
      <c r="X5" s="11">
        <f t="shared" si="14"/>
        <v>0</v>
      </c>
      <c r="Y5" s="11">
        <f t="shared" si="14"/>
        <v>0</v>
      </c>
      <c r="Z5" s="11">
        <f t="shared" si="14"/>
        <v>0</v>
      </c>
      <c r="AA5" s="11">
        <f t="shared" si="14"/>
        <v>0</v>
      </c>
      <c r="AB5" s="11">
        <f t="shared" si="14"/>
        <v>0</v>
      </c>
      <c r="AC5" s="11">
        <f t="shared" si="14"/>
        <v>0</v>
      </c>
      <c r="AD5" s="11">
        <f t="shared" si="14"/>
        <v>0</v>
      </c>
      <c r="AE5" s="11">
        <f t="shared" si="14"/>
        <v>0</v>
      </c>
      <c r="AF5" s="11">
        <f t="shared" si="14"/>
        <v>-16.666666666666668</v>
      </c>
      <c r="AG5" s="11">
        <f t="shared" si="14"/>
        <v>-354.16666666666669</v>
      </c>
      <c r="AH5" s="11">
        <f t="shared" si="14"/>
        <v>-499.29166666666669</v>
      </c>
      <c r="AI5" s="11">
        <f t="shared" si="14"/>
        <v>-981.91666666666663</v>
      </c>
      <c r="AJ5" s="11">
        <f t="shared" si="14"/>
        <v>-981.91666666666663</v>
      </c>
      <c r="AK5" s="11">
        <f t="shared" si="14"/>
        <v>-981.91666666666663</v>
      </c>
      <c r="AL5" s="11">
        <f t="shared" si="14"/>
        <v>-981.91666666666663</v>
      </c>
      <c r="AM5" s="11">
        <f t="shared" si="14"/>
        <v>-981.91666666666663</v>
      </c>
      <c r="AN5" s="11">
        <f t="shared" si="14"/>
        <v>-981.91666666666663</v>
      </c>
      <c r="AO5" s="11">
        <f t="shared" si="14"/>
        <v>-981.91666666666663</v>
      </c>
      <c r="AP5" s="11">
        <f t="shared" si="14"/>
        <v>-1078.4416666666668</v>
      </c>
      <c r="AQ5" s="11">
        <f t="shared" si="14"/>
        <v>-1078.4416666666668</v>
      </c>
      <c r="AR5" s="11">
        <f t="shared" ref="AR5:BU5" si="15">-AR44/1.2-AR80</f>
        <v>-1078.4416666666668</v>
      </c>
      <c r="AS5" s="11">
        <f t="shared" si="15"/>
        <v>-1078.4416666666668</v>
      </c>
      <c r="AT5" s="11">
        <f t="shared" si="15"/>
        <v>-1078.4416666666668</v>
      </c>
      <c r="AU5" s="11">
        <f t="shared" si="15"/>
        <v>-1078.4416666666668</v>
      </c>
      <c r="AV5" s="11">
        <f t="shared" si="15"/>
        <v>-1078.4416666666668</v>
      </c>
      <c r="AW5" s="11">
        <f t="shared" si="15"/>
        <v>-1078.4416666666668</v>
      </c>
      <c r="AX5" s="11">
        <f t="shared" si="15"/>
        <v>-1078.4416666666668</v>
      </c>
      <c r="AY5" s="11">
        <f t="shared" si="15"/>
        <v>-1078.4416666666668</v>
      </c>
      <c r="AZ5" s="11">
        <f t="shared" si="15"/>
        <v>-1078.4416666666668</v>
      </c>
      <c r="BA5" s="11">
        <f t="shared" si="15"/>
        <v>-1078.4416666666668</v>
      </c>
      <c r="BB5" s="11">
        <f t="shared" si="15"/>
        <v>-1237.7079166666667</v>
      </c>
      <c r="BC5" s="11">
        <f t="shared" si="15"/>
        <v>-1237.7079166666667</v>
      </c>
      <c r="BD5" s="11">
        <f t="shared" si="15"/>
        <v>-1237.7079166666667</v>
      </c>
      <c r="BE5" s="11">
        <f t="shared" si="15"/>
        <v>-1237.7079166666667</v>
      </c>
      <c r="BF5" s="11">
        <f t="shared" si="15"/>
        <v>-1237.7079166666667</v>
      </c>
      <c r="BG5" s="11">
        <f t="shared" si="15"/>
        <v>-1237.7079166666667</v>
      </c>
      <c r="BH5" s="11">
        <f t="shared" si="15"/>
        <v>-1237.7079166666667</v>
      </c>
      <c r="BI5" s="11">
        <f t="shared" si="15"/>
        <v>-1237.7079166666667</v>
      </c>
      <c r="BJ5" s="11">
        <f t="shared" si="15"/>
        <v>-1237.7079166666667</v>
      </c>
      <c r="BK5" s="11">
        <f t="shared" si="15"/>
        <v>-1237.7079166666667</v>
      </c>
      <c r="BL5" s="11">
        <f t="shared" si="15"/>
        <v>-1237.7079166666667</v>
      </c>
      <c r="BM5" s="11">
        <f t="shared" si="15"/>
        <v>-1237.7079166666667</v>
      </c>
      <c r="BN5" s="11">
        <f t="shared" si="15"/>
        <v>-1420.8641041666667</v>
      </c>
      <c r="BO5" s="11">
        <f t="shared" si="15"/>
        <v>-1420.8641041666667</v>
      </c>
      <c r="BP5" s="11">
        <f t="shared" si="15"/>
        <v>-1420.8641041666667</v>
      </c>
      <c r="BQ5" s="11">
        <f t="shared" si="15"/>
        <v>-1420.8641041666667</v>
      </c>
      <c r="BR5" s="11">
        <f t="shared" si="15"/>
        <v>-1420.8641041666667</v>
      </c>
      <c r="BS5" s="11">
        <f t="shared" si="15"/>
        <v>-1420.8641041666667</v>
      </c>
      <c r="BT5" s="11">
        <f t="shared" si="15"/>
        <v>-1420.8641041666667</v>
      </c>
      <c r="BU5" s="11">
        <f t="shared" si="15"/>
        <v>-1420.8641041666667</v>
      </c>
      <c r="BV5" s="11">
        <f t="shared" ref="BV5:BX5" si="16">-BV44/1.2-BV80</f>
        <v>-1420.8641041666667</v>
      </c>
      <c r="BW5" s="11">
        <f t="shared" si="16"/>
        <v>-1420.8641041666667</v>
      </c>
      <c r="BX5" s="11">
        <f t="shared" si="16"/>
        <v>-1420.8641041666667</v>
      </c>
      <c r="BY5" s="11">
        <f t="shared" ref="BY5:CK5" si="17">-BY44/1.2-BY80</f>
        <v>-1420.8641041666667</v>
      </c>
      <c r="BZ5" s="11">
        <f t="shared" si="17"/>
        <v>-1484.6912604166662</v>
      </c>
      <c r="CA5" s="11">
        <f t="shared" si="17"/>
        <v>-1484.6912604166662</v>
      </c>
      <c r="CB5" s="11">
        <f t="shared" si="17"/>
        <v>-1484.6912604166662</v>
      </c>
      <c r="CC5" s="11">
        <f t="shared" si="17"/>
        <v>-1484.6912604166662</v>
      </c>
      <c r="CD5" s="11">
        <f t="shared" si="17"/>
        <v>-1484.6912604166662</v>
      </c>
      <c r="CE5" s="11">
        <f t="shared" si="17"/>
        <v>-1484.6912604166662</v>
      </c>
      <c r="CF5" s="11">
        <f t="shared" si="17"/>
        <v>-1484.6912604166662</v>
      </c>
      <c r="CG5" s="11">
        <f t="shared" si="17"/>
        <v>-1484.6912604166662</v>
      </c>
      <c r="CH5" s="11">
        <f t="shared" si="17"/>
        <v>-1484.6912604166662</v>
      </c>
      <c r="CI5" s="11">
        <f t="shared" si="17"/>
        <v>-1484.6912604166662</v>
      </c>
      <c r="CJ5" s="11">
        <f t="shared" si="17"/>
        <v>-1484.6912604166662</v>
      </c>
      <c r="CK5" s="11">
        <f t="shared" si="17"/>
        <v>-1484.6912604166662</v>
      </c>
      <c r="CM5" s="11">
        <f t="shared" si="11"/>
        <v>-317.89625000000001</v>
      </c>
      <c r="CN5" s="11">
        <f t="shared" si="11"/>
        <v>0</v>
      </c>
      <c r="CO5" s="11">
        <f t="shared" si="11"/>
        <v>-7743.541666666667</v>
      </c>
      <c r="CP5" s="11">
        <f t="shared" si="11"/>
        <v>-12941.300000000005</v>
      </c>
      <c r="CQ5" s="11">
        <f t="shared" si="11"/>
        <v>-14852.494999999997</v>
      </c>
      <c r="CR5" s="11">
        <f t="shared" si="12"/>
        <v>-17050.36925</v>
      </c>
      <c r="CS5" s="11">
        <f t="shared" si="12"/>
        <v>-17816.295124999993</v>
      </c>
    </row>
    <row r="6" spans="2:97" x14ac:dyDescent="0.2">
      <c r="B6" s="92"/>
      <c r="C6" s="91"/>
      <c r="D6" s="9"/>
      <c r="E6" s="9"/>
    </row>
    <row r="7" spans="2:97" s="12" customFormat="1" x14ac:dyDescent="0.2">
      <c r="B7" s="88" t="s">
        <v>51</v>
      </c>
      <c r="C7" s="89" t="s">
        <v>4</v>
      </c>
      <c r="D7" s="13"/>
      <c r="E7" s="13"/>
      <c r="F7" s="14">
        <f t="shared" ref="F7:K7" si="18">SUM(F4:F5)</f>
        <v>0</v>
      </c>
      <c r="G7" s="14">
        <f t="shared" si="18"/>
        <v>0</v>
      </c>
      <c r="H7" s="14">
        <f t="shared" si="18"/>
        <v>0</v>
      </c>
      <c r="I7" s="14">
        <f t="shared" si="18"/>
        <v>0</v>
      </c>
      <c r="J7" s="14">
        <f t="shared" si="18"/>
        <v>0</v>
      </c>
      <c r="K7" s="14">
        <f t="shared" si="18"/>
        <v>0</v>
      </c>
      <c r="L7" s="14">
        <f>SUM(L4:L5)</f>
        <v>-10.747475000000001</v>
      </c>
      <c r="M7" s="14">
        <f t="shared" ref="M7:AW7" si="19">SUM(M4:M5)</f>
        <v>-0.19094166666666723</v>
      </c>
      <c r="N7" s="14">
        <f t="shared" si="19"/>
        <v>14.351675000000014</v>
      </c>
      <c r="O7" s="14">
        <f t="shared" si="19"/>
        <v>-0.51695833333332786</v>
      </c>
      <c r="P7" s="14">
        <f t="shared" si="19"/>
        <v>-3.8566916666666629</v>
      </c>
      <c r="Q7" s="14">
        <f t="shared" si="19"/>
        <v>-1.1441916666666572</v>
      </c>
      <c r="R7" s="14">
        <f t="shared" si="19"/>
        <v>0</v>
      </c>
      <c r="S7" s="14">
        <f t="shared" si="19"/>
        <v>0</v>
      </c>
      <c r="T7" s="14">
        <f t="shared" si="19"/>
        <v>0</v>
      </c>
      <c r="U7" s="14">
        <f t="shared" si="19"/>
        <v>0</v>
      </c>
      <c r="V7" s="14">
        <f t="shared" si="19"/>
        <v>0</v>
      </c>
      <c r="W7" s="14">
        <f t="shared" si="19"/>
        <v>0</v>
      </c>
      <c r="X7" s="14">
        <f t="shared" si="19"/>
        <v>0</v>
      </c>
      <c r="Y7" s="14">
        <f t="shared" si="19"/>
        <v>0</v>
      </c>
      <c r="Z7" s="14">
        <f t="shared" si="19"/>
        <v>0</v>
      </c>
      <c r="AA7" s="14">
        <f t="shared" si="19"/>
        <v>0</v>
      </c>
      <c r="AB7" s="14">
        <f t="shared" si="19"/>
        <v>0</v>
      </c>
      <c r="AC7" s="14">
        <f t="shared" si="19"/>
        <v>0</v>
      </c>
      <c r="AD7" s="14">
        <f t="shared" si="19"/>
        <v>0</v>
      </c>
      <c r="AE7" s="14">
        <f t="shared" si="19"/>
        <v>0</v>
      </c>
      <c r="AF7" s="14">
        <f t="shared" si="19"/>
        <v>-16.666666666666668</v>
      </c>
      <c r="AG7" s="14">
        <f t="shared" si="19"/>
        <v>-354.16666666666669</v>
      </c>
      <c r="AH7" s="14">
        <f t="shared" si="19"/>
        <v>243.20833333333331</v>
      </c>
      <c r="AI7" s="14">
        <f t="shared" si="19"/>
        <v>503.08333333333337</v>
      </c>
      <c r="AJ7" s="14">
        <f t="shared" si="19"/>
        <v>503.08333333333337</v>
      </c>
      <c r="AK7" s="14">
        <f t="shared" si="19"/>
        <v>503.08333333333337</v>
      </c>
      <c r="AL7" s="14">
        <f t="shared" si="19"/>
        <v>503.08333333333337</v>
      </c>
      <c r="AM7" s="14">
        <f t="shared" si="19"/>
        <v>503.08333333333337</v>
      </c>
      <c r="AN7" s="14">
        <f t="shared" si="19"/>
        <v>503.08333333333337</v>
      </c>
      <c r="AO7" s="14">
        <f t="shared" si="19"/>
        <v>503.08333333333337</v>
      </c>
      <c r="AP7" s="14">
        <f t="shared" si="19"/>
        <v>555.05833333333339</v>
      </c>
      <c r="AQ7" s="14">
        <f t="shared" si="19"/>
        <v>555.05833333333339</v>
      </c>
      <c r="AR7" s="14">
        <f t="shared" si="19"/>
        <v>555.05833333333339</v>
      </c>
      <c r="AS7" s="14">
        <f t="shared" si="19"/>
        <v>555.05833333333339</v>
      </c>
      <c r="AT7" s="14">
        <f t="shared" si="19"/>
        <v>555.05833333333339</v>
      </c>
      <c r="AU7" s="14">
        <f t="shared" si="19"/>
        <v>555.05833333333339</v>
      </c>
      <c r="AV7" s="14">
        <f t="shared" si="19"/>
        <v>555.05833333333339</v>
      </c>
      <c r="AW7" s="14">
        <f t="shared" si="19"/>
        <v>555.05833333333339</v>
      </c>
      <c r="AX7" s="14">
        <f t="shared" ref="AX7:BU7" si="20">SUM(AX4:AX5)</f>
        <v>555.05833333333339</v>
      </c>
      <c r="AY7" s="14">
        <f t="shared" si="20"/>
        <v>555.05833333333339</v>
      </c>
      <c r="AZ7" s="14">
        <f t="shared" si="20"/>
        <v>555.05833333333339</v>
      </c>
      <c r="BA7" s="14">
        <f t="shared" si="20"/>
        <v>555.05833333333339</v>
      </c>
      <c r="BB7" s="14">
        <f t="shared" si="20"/>
        <v>640.81708333333336</v>
      </c>
      <c r="BC7" s="14">
        <f t="shared" si="20"/>
        <v>640.81708333333336</v>
      </c>
      <c r="BD7" s="14">
        <f t="shared" si="20"/>
        <v>640.81708333333336</v>
      </c>
      <c r="BE7" s="14">
        <f t="shared" si="20"/>
        <v>640.81708333333336</v>
      </c>
      <c r="BF7" s="14">
        <f t="shared" si="20"/>
        <v>640.81708333333336</v>
      </c>
      <c r="BG7" s="14">
        <f t="shared" si="20"/>
        <v>640.81708333333336</v>
      </c>
      <c r="BH7" s="14">
        <f t="shared" si="20"/>
        <v>640.81708333333336</v>
      </c>
      <c r="BI7" s="14">
        <f t="shared" si="20"/>
        <v>640.81708333333336</v>
      </c>
      <c r="BJ7" s="14">
        <f t="shared" si="20"/>
        <v>640.81708333333336</v>
      </c>
      <c r="BK7" s="14">
        <f t="shared" si="20"/>
        <v>640.81708333333336</v>
      </c>
      <c r="BL7" s="14">
        <f t="shared" si="20"/>
        <v>640.81708333333336</v>
      </c>
      <c r="BM7" s="14">
        <f t="shared" si="20"/>
        <v>640.81708333333336</v>
      </c>
      <c r="BN7" s="14">
        <f t="shared" si="20"/>
        <v>739.43964583333332</v>
      </c>
      <c r="BO7" s="14">
        <f t="shared" si="20"/>
        <v>739.43964583333332</v>
      </c>
      <c r="BP7" s="14">
        <f t="shared" si="20"/>
        <v>739.43964583333332</v>
      </c>
      <c r="BQ7" s="14">
        <f t="shared" si="20"/>
        <v>739.43964583333332</v>
      </c>
      <c r="BR7" s="14">
        <f t="shared" si="20"/>
        <v>739.43964583333332</v>
      </c>
      <c r="BS7" s="14">
        <f t="shared" si="20"/>
        <v>739.43964583333332</v>
      </c>
      <c r="BT7" s="14">
        <f t="shared" si="20"/>
        <v>739.43964583333332</v>
      </c>
      <c r="BU7" s="14">
        <f t="shared" si="20"/>
        <v>739.43964583333332</v>
      </c>
      <c r="BV7" s="14">
        <f t="shared" ref="BV7:BX7" si="21">SUM(BV4:BV5)</f>
        <v>739.43964583333332</v>
      </c>
      <c r="BW7" s="14">
        <f t="shared" si="21"/>
        <v>739.43964583333332</v>
      </c>
      <c r="BX7" s="14">
        <f t="shared" si="21"/>
        <v>739.43964583333332</v>
      </c>
      <c r="BY7" s="14">
        <f t="shared" ref="BY7:CK7" si="22">SUM(BY4:BY5)</f>
        <v>739.43964583333332</v>
      </c>
      <c r="BZ7" s="14">
        <f t="shared" si="22"/>
        <v>773.80811458333324</v>
      </c>
      <c r="CA7" s="14">
        <f t="shared" si="22"/>
        <v>773.80811458333324</v>
      </c>
      <c r="CB7" s="14">
        <f t="shared" si="22"/>
        <v>773.80811458333324</v>
      </c>
      <c r="CC7" s="14">
        <f t="shared" si="22"/>
        <v>773.80811458333324</v>
      </c>
      <c r="CD7" s="14">
        <f t="shared" si="22"/>
        <v>773.80811458333324</v>
      </c>
      <c r="CE7" s="14">
        <f t="shared" si="22"/>
        <v>773.80811458333324</v>
      </c>
      <c r="CF7" s="14">
        <f t="shared" si="22"/>
        <v>773.80811458333324</v>
      </c>
      <c r="CG7" s="14">
        <f t="shared" si="22"/>
        <v>773.80811458333324</v>
      </c>
      <c r="CH7" s="14">
        <f t="shared" si="22"/>
        <v>773.80811458333324</v>
      </c>
      <c r="CI7" s="14">
        <f t="shared" si="22"/>
        <v>773.80811458333324</v>
      </c>
      <c r="CJ7" s="14">
        <f t="shared" si="22"/>
        <v>773.80811458333324</v>
      </c>
      <c r="CK7" s="14">
        <f t="shared" si="22"/>
        <v>773.80811458333324</v>
      </c>
      <c r="CM7" s="14">
        <f t="shared" ref="CM7:CO7" si="23">SUM(CM4:CM5)</f>
        <v>-2.1045833333333235</v>
      </c>
      <c r="CN7" s="14">
        <f t="shared" si="23"/>
        <v>0</v>
      </c>
      <c r="CO7" s="14">
        <f t="shared" si="23"/>
        <v>3393.958333333333</v>
      </c>
      <c r="CP7" s="14">
        <f t="shared" ref="CP7:CQ7" si="24">SUM(CP4:CP5)</f>
        <v>6660.6999999999989</v>
      </c>
      <c r="CQ7" s="14">
        <f t="shared" si="24"/>
        <v>7689.8050000000057</v>
      </c>
      <c r="CR7" s="14">
        <f t="shared" ref="CR7:CS7" si="25">SUM(CR4:CR5)</f>
        <v>8873.2757499999934</v>
      </c>
      <c r="CS7" s="14">
        <f t="shared" si="25"/>
        <v>9285.6973749999997</v>
      </c>
    </row>
    <row r="8" spans="2:97" s="5" customFormat="1" x14ac:dyDescent="0.2">
      <c r="B8" s="191" t="s">
        <v>58</v>
      </c>
      <c r="C8" s="192" t="s">
        <v>59</v>
      </c>
      <c r="D8" s="15"/>
      <c r="E8" s="15"/>
      <c r="F8" s="16" t="str">
        <f t="shared" ref="F8:K8" si="26">IFERROR(F7/F4,"")</f>
        <v/>
      </c>
      <c r="G8" s="16" t="str">
        <f t="shared" si="26"/>
        <v/>
      </c>
      <c r="H8" s="16" t="str">
        <f t="shared" si="26"/>
        <v/>
      </c>
      <c r="I8" s="16" t="str">
        <f t="shared" si="26"/>
        <v/>
      </c>
      <c r="J8" s="16" t="str">
        <f t="shared" si="26"/>
        <v/>
      </c>
      <c r="K8" s="16" t="str">
        <f t="shared" si="26"/>
        <v/>
      </c>
      <c r="L8" s="16">
        <f>IFERROR(L7/L4,"")</f>
        <v>-0.56286693143630262</v>
      </c>
      <c r="M8" s="16">
        <f t="shared" ref="M8:AW8" si="27">IFERROR(M7/M4,"")</f>
        <v>-3.5926744751242717E-3</v>
      </c>
      <c r="N8" s="16">
        <f t="shared" si="27"/>
        <v>0.14343188613403751</v>
      </c>
      <c r="O8" s="16">
        <f t="shared" si="27"/>
        <v>-9.9232184275772749E-3</v>
      </c>
      <c r="P8" s="16">
        <f t="shared" si="27"/>
        <v>-9.3331518341500691E-2</v>
      </c>
      <c r="Q8" s="16">
        <f t="shared" si="27"/>
        <v>-2.2850699818596176E-2</v>
      </c>
      <c r="R8" s="16" t="str">
        <f t="shared" si="27"/>
        <v/>
      </c>
      <c r="S8" s="16" t="str">
        <f t="shared" si="27"/>
        <v/>
      </c>
      <c r="T8" s="16" t="str">
        <f t="shared" si="27"/>
        <v/>
      </c>
      <c r="U8" s="16" t="str">
        <f t="shared" si="27"/>
        <v/>
      </c>
      <c r="V8" s="16" t="str">
        <f t="shared" si="27"/>
        <v/>
      </c>
      <c r="W8" s="16" t="str">
        <f t="shared" si="27"/>
        <v/>
      </c>
      <c r="X8" s="16" t="str">
        <f t="shared" si="27"/>
        <v/>
      </c>
      <c r="Y8" s="16" t="str">
        <f t="shared" si="27"/>
        <v/>
      </c>
      <c r="Z8" s="16" t="str">
        <f t="shared" si="27"/>
        <v/>
      </c>
      <c r="AA8" s="16" t="str">
        <f t="shared" si="27"/>
        <v/>
      </c>
      <c r="AB8" s="16" t="str">
        <f t="shared" si="27"/>
        <v/>
      </c>
      <c r="AC8" s="16" t="str">
        <f t="shared" si="27"/>
        <v/>
      </c>
      <c r="AD8" s="16" t="str">
        <f t="shared" si="27"/>
        <v/>
      </c>
      <c r="AE8" s="16" t="str">
        <f t="shared" si="27"/>
        <v/>
      </c>
      <c r="AF8" s="16" t="str">
        <f t="shared" si="27"/>
        <v/>
      </c>
      <c r="AG8" s="16" t="str">
        <f t="shared" si="27"/>
        <v/>
      </c>
      <c r="AH8" s="16">
        <f t="shared" si="27"/>
        <v>0.32755331088664419</v>
      </c>
      <c r="AI8" s="16">
        <f t="shared" si="27"/>
        <v>0.33877665544332214</v>
      </c>
      <c r="AJ8" s="16">
        <f t="shared" si="27"/>
        <v>0.33877665544332214</v>
      </c>
      <c r="AK8" s="16">
        <f t="shared" si="27"/>
        <v>0.33877665544332214</v>
      </c>
      <c r="AL8" s="16">
        <f t="shared" si="27"/>
        <v>0.33877665544332214</v>
      </c>
      <c r="AM8" s="16">
        <f t="shared" si="27"/>
        <v>0.33877665544332214</v>
      </c>
      <c r="AN8" s="16">
        <f t="shared" si="27"/>
        <v>0.33877665544332214</v>
      </c>
      <c r="AO8" s="16">
        <f t="shared" si="27"/>
        <v>0.33877665544332214</v>
      </c>
      <c r="AP8" s="16">
        <f t="shared" si="27"/>
        <v>0.33979695949392918</v>
      </c>
      <c r="AQ8" s="16">
        <f t="shared" si="27"/>
        <v>0.33979695949392918</v>
      </c>
      <c r="AR8" s="16">
        <f t="shared" si="27"/>
        <v>0.33979695949392918</v>
      </c>
      <c r="AS8" s="16">
        <f t="shared" si="27"/>
        <v>0.33979695949392918</v>
      </c>
      <c r="AT8" s="16">
        <f t="shared" si="27"/>
        <v>0.33979695949392918</v>
      </c>
      <c r="AU8" s="16">
        <f t="shared" si="27"/>
        <v>0.33979695949392918</v>
      </c>
      <c r="AV8" s="16">
        <f t="shared" si="27"/>
        <v>0.33979695949392918</v>
      </c>
      <c r="AW8" s="16">
        <f t="shared" si="27"/>
        <v>0.33979695949392918</v>
      </c>
      <c r="AX8" s="16">
        <f t="shared" ref="AX8:BU8" si="28">IFERROR(AX7/AX4,"")</f>
        <v>0.33979695949392918</v>
      </c>
      <c r="AY8" s="16">
        <f t="shared" si="28"/>
        <v>0.33979695949392918</v>
      </c>
      <c r="AZ8" s="16">
        <f t="shared" si="28"/>
        <v>0.33979695949392918</v>
      </c>
      <c r="BA8" s="16">
        <f t="shared" si="28"/>
        <v>0.33979695949392918</v>
      </c>
      <c r="BB8" s="16">
        <f t="shared" si="28"/>
        <v>0.34112779086428624</v>
      </c>
      <c r="BC8" s="16">
        <f t="shared" si="28"/>
        <v>0.34112779086428624</v>
      </c>
      <c r="BD8" s="16">
        <f t="shared" si="28"/>
        <v>0.34112779086428624</v>
      </c>
      <c r="BE8" s="16">
        <f t="shared" si="28"/>
        <v>0.34112779086428624</v>
      </c>
      <c r="BF8" s="16">
        <f t="shared" si="28"/>
        <v>0.34112779086428624</v>
      </c>
      <c r="BG8" s="16">
        <f t="shared" si="28"/>
        <v>0.34112779086428624</v>
      </c>
      <c r="BH8" s="16">
        <f t="shared" si="28"/>
        <v>0.34112779086428624</v>
      </c>
      <c r="BI8" s="16">
        <f t="shared" si="28"/>
        <v>0.34112779086428624</v>
      </c>
      <c r="BJ8" s="16">
        <f t="shared" si="28"/>
        <v>0.34112779086428624</v>
      </c>
      <c r="BK8" s="16">
        <f t="shared" si="28"/>
        <v>0.34112779086428624</v>
      </c>
      <c r="BL8" s="16">
        <f t="shared" si="28"/>
        <v>0.34112779086428624</v>
      </c>
      <c r="BM8" s="16">
        <f t="shared" si="28"/>
        <v>0.34112779086428624</v>
      </c>
      <c r="BN8" s="16">
        <f t="shared" si="28"/>
        <v>0.34228503553416195</v>
      </c>
      <c r="BO8" s="16">
        <f t="shared" si="28"/>
        <v>0.34228503553416195</v>
      </c>
      <c r="BP8" s="16">
        <f t="shared" si="28"/>
        <v>0.34228503553416195</v>
      </c>
      <c r="BQ8" s="16">
        <f t="shared" si="28"/>
        <v>0.34228503553416195</v>
      </c>
      <c r="BR8" s="16">
        <f t="shared" si="28"/>
        <v>0.34228503553416195</v>
      </c>
      <c r="BS8" s="16">
        <f t="shared" si="28"/>
        <v>0.34228503553416195</v>
      </c>
      <c r="BT8" s="16">
        <f t="shared" si="28"/>
        <v>0.34228503553416195</v>
      </c>
      <c r="BU8" s="16">
        <f t="shared" si="28"/>
        <v>0.34228503553416195</v>
      </c>
      <c r="BV8" s="16">
        <f t="shared" ref="BV8:BX8" si="29">IFERROR(BV7/BV4,"")</f>
        <v>0.34228503553416195</v>
      </c>
      <c r="BW8" s="16">
        <f t="shared" si="29"/>
        <v>0.34228503553416195</v>
      </c>
      <c r="BX8" s="16">
        <f t="shared" si="29"/>
        <v>0.34228503553416195</v>
      </c>
      <c r="BY8" s="16">
        <f t="shared" ref="BY8:CK8" si="30">IFERROR(BY7/BY4,"")</f>
        <v>0.34228503553416195</v>
      </c>
      <c r="BZ8" s="16">
        <f t="shared" si="30"/>
        <v>0.34262046877180713</v>
      </c>
      <c r="CA8" s="16">
        <f t="shared" si="30"/>
        <v>0.34262046877180713</v>
      </c>
      <c r="CB8" s="16">
        <f t="shared" si="30"/>
        <v>0.34262046877180713</v>
      </c>
      <c r="CC8" s="16">
        <f t="shared" si="30"/>
        <v>0.34262046877180713</v>
      </c>
      <c r="CD8" s="16">
        <f t="shared" si="30"/>
        <v>0.34262046877180713</v>
      </c>
      <c r="CE8" s="16">
        <f t="shared" si="30"/>
        <v>0.34262046877180713</v>
      </c>
      <c r="CF8" s="16">
        <f t="shared" si="30"/>
        <v>0.34262046877180713</v>
      </c>
      <c r="CG8" s="16">
        <f t="shared" si="30"/>
        <v>0.34262046877180713</v>
      </c>
      <c r="CH8" s="16">
        <f t="shared" si="30"/>
        <v>0.34262046877180713</v>
      </c>
      <c r="CI8" s="16">
        <f t="shared" si="30"/>
        <v>0.34262046877180713</v>
      </c>
      <c r="CJ8" s="16">
        <f t="shared" si="30"/>
        <v>0.34262046877180713</v>
      </c>
      <c r="CK8" s="16">
        <f t="shared" si="30"/>
        <v>0.34262046877180713</v>
      </c>
      <c r="CM8" s="16">
        <f>IFERROR(CM7/CM4,"")</f>
        <v>-6.664467607863803E-3</v>
      </c>
      <c r="CN8" s="16" t="e">
        <f t="shared" ref="CN8:CO8" si="31">CN7/CN4</f>
        <v>#DIV/0!</v>
      </c>
      <c r="CO8" s="16">
        <f t="shared" si="31"/>
        <v>0.30473251028806581</v>
      </c>
      <c r="CP8" s="16">
        <f t="shared" ref="CP8:CQ8" si="32">CP7/CP4</f>
        <v>0.33979695949392907</v>
      </c>
      <c r="CQ8" s="16">
        <f t="shared" si="32"/>
        <v>0.34112779086428646</v>
      </c>
      <c r="CR8" s="16">
        <f t="shared" ref="CR8:CS8" si="33">CR7/CR4</f>
        <v>0.34228503553416179</v>
      </c>
      <c r="CS8" s="16">
        <f t="shared" si="33"/>
        <v>0.34262046877180719</v>
      </c>
    </row>
    <row r="9" spans="2:97" x14ac:dyDescent="0.2">
      <c r="B9" s="92"/>
      <c r="C9" s="91"/>
      <c r="D9" s="9"/>
      <c r="E9" s="9"/>
    </row>
    <row r="10" spans="2:97" x14ac:dyDescent="0.2">
      <c r="B10" s="90" t="s">
        <v>52</v>
      </c>
      <c r="C10" s="91" t="s">
        <v>4</v>
      </c>
      <c r="D10" s="9"/>
      <c r="E10" s="9"/>
      <c r="F10" s="11">
        <f t="shared" ref="F10:K10" si="34">-F55/1.2-F83</f>
        <v>0</v>
      </c>
      <c r="G10" s="11">
        <f t="shared" si="34"/>
        <v>0</v>
      </c>
      <c r="H10" s="11">
        <f t="shared" si="34"/>
        <v>0</v>
      </c>
      <c r="I10" s="11">
        <f t="shared" si="34"/>
        <v>0</v>
      </c>
      <c r="J10" s="11">
        <f t="shared" si="34"/>
        <v>0</v>
      </c>
      <c r="K10" s="11">
        <f t="shared" si="34"/>
        <v>0</v>
      </c>
      <c r="L10" s="11">
        <f t="shared" ref="L10:AQ10" si="35">-L55/1.2-L83</f>
        <v>-1.9857933333333335</v>
      </c>
      <c r="M10" s="11">
        <f t="shared" si="35"/>
        <v>-5.5273400000000006</v>
      </c>
      <c r="N10" s="11">
        <f t="shared" si="35"/>
        <v>-10.406153333333332</v>
      </c>
      <c r="O10" s="11">
        <f t="shared" si="35"/>
        <v>-5.4179666666666666</v>
      </c>
      <c r="P10" s="11">
        <f t="shared" si="35"/>
        <v>-4.2975400000000006</v>
      </c>
      <c r="Q10" s="11">
        <f t="shared" si="35"/>
        <v>-5.2075399999999998</v>
      </c>
      <c r="R10" s="11">
        <f t="shared" si="35"/>
        <v>0</v>
      </c>
      <c r="S10" s="11">
        <f t="shared" si="35"/>
        <v>0</v>
      </c>
      <c r="T10" s="11">
        <f t="shared" si="35"/>
        <v>0</v>
      </c>
      <c r="U10" s="11">
        <f t="shared" si="35"/>
        <v>0</v>
      </c>
      <c r="V10" s="11">
        <f t="shared" si="35"/>
        <v>0</v>
      </c>
      <c r="W10" s="11">
        <f t="shared" si="35"/>
        <v>0</v>
      </c>
      <c r="X10" s="11">
        <f t="shared" si="35"/>
        <v>0</v>
      </c>
      <c r="Y10" s="11">
        <f t="shared" si="35"/>
        <v>0</v>
      </c>
      <c r="Z10" s="11">
        <f t="shared" si="35"/>
        <v>0</v>
      </c>
      <c r="AA10" s="11">
        <f t="shared" si="35"/>
        <v>0</v>
      </c>
      <c r="AB10" s="11">
        <f t="shared" si="35"/>
        <v>0</v>
      </c>
      <c r="AC10" s="11">
        <f t="shared" si="35"/>
        <v>0</v>
      </c>
      <c r="AD10" s="11">
        <f t="shared" si="35"/>
        <v>0</v>
      </c>
      <c r="AE10" s="11">
        <f t="shared" si="35"/>
        <v>0</v>
      </c>
      <c r="AF10" s="11">
        <f t="shared" si="35"/>
        <v>0</v>
      </c>
      <c r="AG10" s="11">
        <f t="shared" si="35"/>
        <v>0</v>
      </c>
      <c r="AH10" s="11">
        <f t="shared" si="35"/>
        <v>-202.22000000000003</v>
      </c>
      <c r="AI10" s="11">
        <f t="shared" si="35"/>
        <v>-404.44000000000005</v>
      </c>
      <c r="AJ10" s="11">
        <f t="shared" si="35"/>
        <v>-404.44000000000005</v>
      </c>
      <c r="AK10" s="11">
        <f t="shared" si="35"/>
        <v>-404.44000000000005</v>
      </c>
      <c r="AL10" s="11">
        <f t="shared" si="35"/>
        <v>-404.44000000000005</v>
      </c>
      <c r="AM10" s="11">
        <f t="shared" si="35"/>
        <v>-404.44000000000005</v>
      </c>
      <c r="AN10" s="11">
        <f t="shared" si="35"/>
        <v>-404.44000000000005</v>
      </c>
      <c r="AO10" s="11">
        <f t="shared" si="35"/>
        <v>-404.44000000000005</v>
      </c>
      <c r="AP10" s="11">
        <f t="shared" si="35"/>
        <v>-419.88400000000001</v>
      </c>
      <c r="AQ10" s="11">
        <f t="shared" si="35"/>
        <v>-419.88400000000001</v>
      </c>
      <c r="AR10" s="11">
        <f t="shared" ref="AR10:BU10" si="36">-AR55/1.2-AR83</f>
        <v>-419.88400000000001</v>
      </c>
      <c r="AS10" s="11">
        <f t="shared" si="36"/>
        <v>-419.88400000000001</v>
      </c>
      <c r="AT10" s="11">
        <f t="shared" si="36"/>
        <v>-419.88400000000001</v>
      </c>
      <c r="AU10" s="11">
        <f t="shared" si="36"/>
        <v>-419.88400000000001</v>
      </c>
      <c r="AV10" s="11">
        <f t="shared" si="36"/>
        <v>-419.88400000000001</v>
      </c>
      <c r="AW10" s="11">
        <f t="shared" si="36"/>
        <v>-419.88400000000001</v>
      </c>
      <c r="AX10" s="11">
        <f t="shared" si="36"/>
        <v>-419.88400000000001</v>
      </c>
      <c r="AY10" s="11">
        <f t="shared" si="36"/>
        <v>-419.88400000000001</v>
      </c>
      <c r="AZ10" s="11">
        <f t="shared" si="36"/>
        <v>-419.88400000000001</v>
      </c>
      <c r="BA10" s="11">
        <f t="shared" si="36"/>
        <v>-419.88400000000001</v>
      </c>
      <c r="BB10" s="11">
        <f t="shared" si="36"/>
        <v>-445.36659999999995</v>
      </c>
      <c r="BC10" s="11">
        <f t="shared" si="36"/>
        <v>-445.36659999999995</v>
      </c>
      <c r="BD10" s="11">
        <f t="shared" si="36"/>
        <v>-445.36659999999995</v>
      </c>
      <c r="BE10" s="11">
        <f t="shared" si="36"/>
        <v>-445.36659999999995</v>
      </c>
      <c r="BF10" s="11">
        <f t="shared" si="36"/>
        <v>-445.36659999999995</v>
      </c>
      <c r="BG10" s="11">
        <f t="shared" si="36"/>
        <v>-445.36659999999995</v>
      </c>
      <c r="BH10" s="11">
        <f t="shared" si="36"/>
        <v>-445.36659999999995</v>
      </c>
      <c r="BI10" s="11">
        <f t="shared" si="36"/>
        <v>-445.36659999999995</v>
      </c>
      <c r="BJ10" s="11">
        <f t="shared" si="36"/>
        <v>-445.36659999999995</v>
      </c>
      <c r="BK10" s="11">
        <f t="shared" si="36"/>
        <v>-445.36659999999995</v>
      </c>
      <c r="BL10" s="11">
        <f t="shared" si="36"/>
        <v>-445.36659999999995</v>
      </c>
      <c r="BM10" s="11">
        <f t="shared" si="36"/>
        <v>-445.36659999999995</v>
      </c>
      <c r="BN10" s="11">
        <f t="shared" si="36"/>
        <v>-474.67159000000004</v>
      </c>
      <c r="BO10" s="11">
        <f t="shared" si="36"/>
        <v>-474.67159000000004</v>
      </c>
      <c r="BP10" s="11">
        <f t="shared" si="36"/>
        <v>-474.67159000000004</v>
      </c>
      <c r="BQ10" s="11">
        <f t="shared" si="36"/>
        <v>-474.67159000000004</v>
      </c>
      <c r="BR10" s="11">
        <f t="shared" si="36"/>
        <v>-474.67159000000004</v>
      </c>
      <c r="BS10" s="11">
        <f t="shared" si="36"/>
        <v>-474.67159000000004</v>
      </c>
      <c r="BT10" s="11">
        <f t="shared" si="36"/>
        <v>-474.67159000000004</v>
      </c>
      <c r="BU10" s="11">
        <f t="shared" si="36"/>
        <v>-474.67159000000004</v>
      </c>
      <c r="BV10" s="11">
        <f t="shared" ref="BV10:BX10" si="37">-BV55/1.2-BV83</f>
        <v>-474.67159000000004</v>
      </c>
      <c r="BW10" s="11">
        <f t="shared" si="37"/>
        <v>-474.67159000000004</v>
      </c>
      <c r="BX10" s="11">
        <f t="shared" si="37"/>
        <v>-474.67159000000004</v>
      </c>
      <c r="BY10" s="11">
        <f t="shared" ref="BY10:CK10" si="38">-BY55/1.2-BY83</f>
        <v>-474.67159000000004</v>
      </c>
      <c r="BZ10" s="11">
        <f t="shared" si="38"/>
        <v>-484.88393500000001</v>
      </c>
      <c r="CA10" s="11">
        <f t="shared" si="38"/>
        <v>-484.88393500000001</v>
      </c>
      <c r="CB10" s="11">
        <f t="shared" si="38"/>
        <v>-484.88393500000001</v>
      </c>
      <c r="CC10" s="11">
        <f t="shared" si="38"/>
        <v>-484.88393500000001</v>
      </c>
      <c r="CD10" s="11">
        <f t="shared" si="38"/>
        <v>-484.88393500000001</v>
      </c>
      <c r="CE10" s="11">
        <f t="shared" si="38"/>
        <v>-484.88393500000001</v>
      </c>
      <c r="CF10" s="11">
        <f t="shared" si="38"/>
        <v>-484.88393500000001</v>
      </c>
      <c r="CG10" s="11">
        <f t="shared" si="38"/>
        <v>-484.88393500000001</v>
      </c>
      <c r="CH10" s="11">
        <f t="shared" si="38"/>
        <v>-484.88393500000001</v>
      </c>
      <c r="CI10" s="11">
        <f t="shared" si="38"/>
        <v>-484.88393500000001</v>
      </c>
      <c r="CJ10" s="11">
        <f t="shared" si="38"/>
        <v>-484.88393500000001</v>
      </c>
      <c r="CK10" s="11">
        <f t="shared" si="38"/>
        <v>-484.88393500000001</v>
      </c>
      <c r="CM10" s="11">
        <f t="shared" ref="CM10:CQ12" si="39">SUMIF($L$2:$CK$2,CM$3,$L10:$CK10)</f>
        <v>-32.842333333333329</v>
      </c>
      <c r="CN10" s="11">
        <f t="shared" si="39"/>
        <v>0</v>
      </c>
      <c r="CO10" s="11">
        <f t="shared" si="39"/>
        <v>-3033.3</v>
      </c>
      <c r="CP10" s="11">
        <f t="shared" si="39"/>
        <v>-5038.6080000000002</v>
      </c>
      <c r="CQ10" s="11">
        <f t="shared" si="39"/>
        <v>-5344.3991999999998</v>
      </c>
      <c r="CR10" s="11">
        <f t="shared" ref="CR10:CS12" si="40">SUMIF($L$2:$CK$2,CR$3,$L10:$CK10)</f>
        <v>-5696.05908</v>
      </c>
      <c r="CS10" s="11">
        <f t="shared" si="40"/>
        <v>-5818.607219999999</v>
      </c>
    </row>
    <row r="11" spans="2:97" x14ac:dyDescent="0.2">
      <c r="B11" s="90" t="s">
        <v>53</v>
      </c>
      <c r="C11" s="91" t="s">
        <v>4</v>
      </c>
      <c r="D11" s="9"/>
      <c r="E11" s="9"/>
      <c r="F11" s="11">
        <f t="shared" ref="F11:K11" si="41">-F48/1.2-F51/1.2-F81-F82</f>
        <v>0</v>
      </c>
      <c r="G11" s="11">
        <f t="shared" si="41"/>
        <v>0</v>
      </c>
      <c r="H11" s="11">
        <f t="shared" si="41"/>
        <v>0</v>
      </c>
      <c r="I11" s="11">
        <f t="shared" si="41"/>
        <v>0</v>
      </c>
      <c r="J11" s="11">
        <f t="shared" si="41"/>
        <v>0</v>
      </c>
      <c r="K11" s="11">
        <f t="shared" si="41"/>
        <v>0</v>
      </c>
      <c r="L11" s="11">
        <f t="shared" ref="L11:AQ11" si="42">-L48/1.2-L51/1.2-L81-L82</f>
        <v>-166.16779923333331</v>
      </c>
      <c r="M11" s="11">
        <f t="shared" si="42"/>
        <v>-84.91716776666668</v>
      </c>
      <c r="N11" s="11">
        <f t="shared" si="42"/>
        <v>-87.786285300000003</v>
      </c>
      <c r="O11" s="11">
        <f t="shared" si="42"/>
        <v>-84.852847833333328</v>
      </c>
      <c r="P11" s="11">
        <f t="shared" si="42"/>
        <v>-84.193950766666674</v>
      </c>
      <c r="Q11" s="11">
        <f t="shared" si="42"/>
        <v>-84.729100766666676</v>
      </c>
      <c r="R11" s="11">
        <f t="shared" si="42"/>
        <v>0</v>
      </c>
      <c r="S11" s="11">
        <f t="shared" si="42"/>
        <v>0</v>
      </c>
      <c r="T11" s="11">
        <f t="shared" si="42"/>
        <v>0</v>
      </c>
      <c r="U11" s="11">
        <f t="shared" si="42"/>
        <v>0</v>
      </c>
      <c r="V11" s="11">
        <f t="shared" si="42"/>
        <v>0</v>
      </c>
      <c r="W11" s="11">
        <f t="shared" si="42"/>
        <v>0</v>
      </c>
      <c r="X11" s="11">
        <f t="shared" si="42"/>
        <v>0</v>
      </c>
      <c r="Y11" s="11">
        <f t="shared" si="42"/>
        <v>0</v>
      </c>
      <c r="Z11" s="11">
        <f t="shared" si="42"/>
        <v>0</v>
      </c>
      <c r="AA11" s="11">
        <f t="shared" si="42"/>
        <v>0</v>
      </c>
      <c r="AB11" s="11">
        <f t="shared" si="42"/>
        <v>0</v>
      </c>
      <c r="AC11" s="11">
        <f t="shared" si="42"/>
        <v>0</v>
      </c>
      <c r="AD11" s="11">
        <f t="shared" si="42"/>
        <v>-50</v>
      </c>
      <c r="AE11" s="11">
        <f t="shared" si="42"/>
        <v>-50</v>
      </c>
      <c r="AF11" s="11">
        <f t="shared" si="42"/>
        <v>-50</v>
      </c>
      <c r="AG11" s="11">
        <f t="shared" si="42"/>
        <v>-95.833333333333343</v>
      </c>
      <c r="AH11" s="11">
        <f t="shared" si="42"/>
        <v>-141.24463333333335</v>
      </c>
      <c r="AI11" s="11">
        <f t="shared" si="42"/>
        <v>-186.65593333333334</v>
      </c>
      <c r="AJ11" s="11">
        <f t="shared" si="42"/>
        <v>-199.98926666666668</v>
      </c>
      <c r="AK11" s="11">
        <f t="shared" si="42"/>
        <v>-199.98926666666668</v>
      </c>
      <c r="AL11" s="11">
        <f t="shared" si="42"/>
        <v>-199.98926666666668</v>
      </c>
      <c r="AM11" s="11">
        <f t="shared" si="42"/>
        <v>-199.98926666666668</v>
      </c>
      <c r="AN11" s="11">
        <f t="shared" si="42"/>
        <v>-199.98926666666668</v>
      </c>
      <c r="AO11" s="11">
        <f t="shared" si="42"/>
        <v>-199.98926666666668</v>
      </c>
      <c r="AP11" s="11">
        <f t="shared" si="42"/>
        <v>-214.0715266666667</v>
      </c>
      <c r="AQ11" s="11">
        <f t="shared" si="42"/>
        <v>-214.0715266666667</v>
      </c>
      <c r="AR11" s="11">
        <f t="shared" ref="AR11:BU11" si="43">-AR48/1.2-AR51/1.2-AR81-AR82</f>
        <v>-214.0715266666667</v>
      </c>
      <c r="AS11" s="11">
        <f t="shared" si="43"/>
        <v>-214.0715266666667</v>
      </c>
      <c r="AT11" s="11">
        <f t="shared" si="43"/>
        <v>-214.0715266666667</v>
      </c>
      <c r="AU11" s="11">
        <f t="shared" si="43"/>
        <v>-214.0715266666667</v>
      </c>
      <c r="AV11" s="11">
        <f t="shared" si="43"/>
        <v>-214.0715266666667</v>
      </c>
      <c r="AW11" s="11">
        <f t="shared" si="43"/>
        <v>-214.0715266666667</v>
      </c>
      <c r="AX11" s="11">
        <f t="shared" si="43"/>
        <v>-224.0715266666667</v>
      </c>
      <c r="AY11" s="11">
        <f t="shared" si="43"/>
        <v>-224.0715266666667</v>
      </c>
      <c r="AZ11" s="11">
        <f t="shared" si="43"/>
        <v>-224.0715266666667</v>
      </c>
      <c r="BA11" s="11">
        <f t="shared" si="43"/>
        <v>-224.0715266666667</v>
      </c>
      <c r="BB11" s="11">
        <f t="shared" si="43"/>
        <v>-239.05725566666666</v>
      </c>
      <c r="BC11" s="11">
        <f t="shared" si="43"/>
        <v>-239.05725566666666</v>
      </c>
      <c r="BD11" s="11">
        <f t="shared" si="43"/>
        <v>-239.05725566666666</v>
      </c>
      <c r="BE11" s="11">
        <f t="shared" si="43"/>
        <v>-239.05725566666666</v>
      </c>
      <c r="BF11" s="11">
        <f t="shared" si="43"/>
        <v>-239.05725566666666</v>
      </c>
      <c r="BG11" s="11">
        <f t="shared" si="43"/>
        <v>-239.05725566666666</v>
      </c>
      <c r="BH11" s="11">
        <f t="shared" si="43"/>
        <v>-239.05725566666666</v>
      </c>
      <c r="BI11" s="11">
        <f t="shared" si="43"/>
        <v>-239.05725566666666</v>
      </c>
      <c r="BJ11" s="11">
        <f t="shared" si="43"/>
        <v>-239.05725566666666</v>
      </c>
      <c r="BK11" s="11">
        <f t="shared" si="43"/>
        <v>-239.05725566666666</v>
      </c>
      <c r="BL11" s="11">
        <f t="shared" si="43"/>
        <v>-239.05725566666666</v>
      </c>
      <c r="BM11" s="11">
        <f t="shared" si="43"/>
        <v>-239.05725566666666</v>
      </c>
      <c r="BN11" s="11">
        <f t="shared" si="43"/>
        <v>-256.29084401666665</v>
      </c>
      <c r="BO11" s="11">
        <f t="shared" si="43"/>
        <v>-256.29084401666665</v>
      </c>
      <c r="BP11" s="11">
        <f t="shared" si="43"/>
        <v>-256.29084401666665</v>
      </c>
      <c r="BQ11" s="11">
        <f t="shared" si="43"/>
        <v>-256.29084401666665</v>
      </c>
      <c r="BR11" s="11">
        <f t="shared" si="43"/>
        <v>-256.29084401666665</v>
      </c>
      <c r="BS11" s="11">
        <f t="shared" si="43"/>
        <v>-256.29084401666665</v>
      </c>
      <c r="BT11" s="11">
        <f t="shared" si="43"/>
        <v>-256.29084401666665</v>
      </c>
      <c r="BU11" s="11">
        <f t="shared" si="43"/>
        <v>-256.29084401666665</v>
      </c>
      <c r="BV11" s="11">
        <f t="shared" ref="BV11:BX11" si="44">-BV48/1.2-BV51/1.2-BV81-BV82</f>
        <v>-256.29084401666665</v>
      </c>
      <c r="BW11" s="11">
        <f t="shared" si="44"/>
        <v>-256.29084401666665</v>
      </c>
      <c r="BX11" s="11">
        <f t="shared" si="44"/>
        <v>-256.29084401666665</v>
      </c>
      <c r="BY11" s="11">
        <f t="shared" ref="BY11:CK11" si="45">-BY48/1.2-BY51/1.2-BY81-BY82</f>
        <v>-256.29084401666665</v>
      </c>
      <c r="BZ11" s="11">
        <f t="shared" si="45"/>
        <v>-262.29648844166661</v>
      </c>
      <c r="CA11" s="11">
        <f t="shared" si="45"/>
        <v>-262.29648844166661</v>
      </c>
      <c r="CB11" s="11">
        <f t="shared" si="45"/>
        <v>-262.29648844166661</v>
      </c>
      <c r="CC11" s="11">
        <f t="shared" si="45"/>
        <v>-262.29648844166661</v>
      </c>
      <c r="CD11" s="11">
        <f t="shared" si="45"/>
        <v>-262.29648844166661</v>
      </c>
      <c r="CE11" s="11">
        <f t="shared" si="45"/>
        <v>-262.29648844166661</v>
      </c>
      <c r="CF11" s="11">
        <f t="shared" si="45"/>
        <v>-262.29648844166661</v>
      </c>
      <c r="CG11" s="11">
        <f t="shared" si="45"/>
        <v>-262.29648844166661</v>
      </c>
      <c r="CH11" s="11">
        <f t="shared" si="45"/>
        <v>-262.29648844166661</v>
      </c>
      <c r="CI11" s="11">
        <f t="shared" si="45"/>
        <v>-262.29648844166661</v>
      </c>
      <c r="CJ11" s="11">
        <f t="shared" si="45"/>
        <v>-262.29648844166661</v>
      </c>
      <c r="CK11" s="11">
        <f t="shared" si="45"/>
        <v>-262.29648844166661</v>
      </c>
      <c r="CM11" s="11">
        <f t="shared" si="39"/>
        <v>-592.64715166666667</v>
      </c>
      <c r="CN11" s="11">
        <f t="shared" si="39"/>
        <v>0</v>
      </c>
      <c r="CO11" s="11">
        <f t="shared" si="39"/>
        <v>-1773.6695000000002</v>
      </c>
      <c r="CP11" s="11">
        <f t="shared" si="39"/>
        <v>-2608.8583199999998</v>
      </c>
      <c r="CQ11" s="11">
        <f t="shared" si="39"/>
        <v>-2868.6870679999997</v>
      </c>
      <c r="CR11" s="11">
        <f t="shared" si="40"/>
        <v>-3075.4901281999996</v>
      </c>
      <c r="CS11" s="11">
        <f t="shared" si="40"/>
        <v>-3147.5578612999984</v>
      </c>
    </row>
    <row r="12" spans="2:97" x14ac:dyDescent="0.2">
      <c r="B12" s="90" t="s">
        <v>56</v>
      </c>
      <c r="C12" s="91" t="s">
        <v>4</v>
      </c>
      <c r="D12" s="9"/>
      <c r="E12" s="9"/>
      <c r="F12" s="11">
        <f t="shared" ref="F12:K12" si="46">-F84*0.3</f>
        <v>0</v>
      </c>
      <c r="G12" s="11">
        <f t="shared" si="46"/>
        <v>0</v>
      </c>
      <c r="H12" s="11">
        <f t="shared" si="46"/>
        <v>0</v>
      </c>
      <c r="I12" s="11">
        <f t="shared" si="46"/>
        <v>0</v>
      </c>
      <c r="J12" s="11">
        <f t="shared" si="46"/>
        <v>0</v>
      </c>
      <c r="K12" s="11">
        <f t="shared" si="46"/>
        <v>0</v>
      </c>
      <c r="L12" s="11">
        <f t="shared" ref="L12:AW12" si="47">-L84*0.3</f>
        <v>-12.373252769999999</v>
      </c>
      <c r="M12" s="11">
        <f t="shared" si="47"/>
        <v>-13.03892733</v>
      </c>
      <c r="N12" s="11">
        <f t="shared" si="47"/>
        <v>-13.955956589999998</v>
      </c>
      <c r="O12" s="11">
        <f t="shared" si="47"/>
        <v>-13.01836935</v>
      </c>
      <c r="P12" s="11">
        <f t="shared" si="47"/>
        <v>-12.807772229999999</v>
      </c>
      <c r="Q12" s="11">
        <f t="shared" si="47"/>
        <v>-12.978817229999999</v>
      </c>
      <c r="R12" s="11">
        <f t="shared" si="47"/>
        <v>0</v>
      </c>
      <c r="S12" s="11">
        <f t="shared" si="47"/>
        <v>0</v>
      </c>
      <c r="T12" s="11">
        <f t="shared" si="47"/>
        <v>0</v>
      </c>
      <c r="U12" s="11">
        <f t="shared" si="47"/>
        <v>0</v>
      </c>
      <c r="V12" s="11">
        <f t="shared" si="47"/>
        <v>0</v>
      </c>
      <c r="W12" s="11">
        <f t="shared" si="47"/>
        <v>0</v>
      </c>
      <c r="X12" s="11">
        <f t="shared" si="47"/>
        <v>0</v>
      </c>
      <c r="Y12" s="11">
        <f t="shared" si="47"/>
        <v>0</v>
      </c>
      <c r="Z12" s="11">
        <f t="shared" si="47"/>
        <v>0</v>
      </c>
      <c r="AA12" s="11">
        <f t="shared" si="47"/>
        <v>0</v>
      </c>
      <c r="AB12" s="11">
        <f t="shared" si="47"/>
        <v>0</v>
      </c>
      <c r="AC12" s="11">
        <f t="shared" si="47"/>
        <v>0</v>
      </c>
      <c r="AD12" s="11">
        <f t="shared" si="47"/>
        <v>-15</v>
      </c>
      <c r="AE12" s="11">
        <f t="shared" si="47"/>
        <v>-15</v>
      </c>
      <c r="AF12" s="11">
        <f t="shared" si="47"/>
        <v>-15</v>
      </c>
      <c r="AG12" s="11">
        <f t="shared" si="47"/>
        <v>-15</v>
      </c>
      <c r="AH12" s="11">
        <f t="shared" si="47"/>
        <v>-29.514389999999999</v>
      </c>
      <c r="AI12" s="11">
        <f t="shared" si="47"/>
        <v>-44.028779999999998</v>
      </c>
      <c r="AJ12" s="11">
        <f t="shared" si="47"/>
        <v>-45.528779999999998</v>
      </c>
      <c r="AK12" s="11">
        <f t="shared" si="47"/>
        <v>-45.528779999999998</v>
      </c>
      <c r="AL12" s="11">
        <f t="shared" si="47"/>
        <v>-45.528779999999998</v>
      </c>
      <c r="AM12" s="11">
        <f t="shared" si="47"/>
        <v>-45.528779999999998</v>
      </c>
      <c r="AN12" s="11">
        <f t="shared" si="47"/>
        <v>-45.528779999999998</v>
      </c>
      <c r="AO12" s="11">
        <f t="shared" si="47"/>
        <v>-45.528779999999998</v>
      </c>
      <c r="AP12" s="11">
        <f t="shared" si="47"/>
        <v>-49.931657999999999</v>
      </c>
      <c r="AQ12" s="11">
        <f t="shared" si="47"/>
        <v>-49.931657999999999</v>
      </c>
      <c r="AR12" s="11">
        <f t="shared" si="47"/>
        <v>-49.931657999999999</v>
      </c>
      <c r="AS12" s="11">
        <f t="shared" si="47"/>
        <v>-49.931657999999999</v>
      </c>
      <c r="AT12" s="11">
        <f t="shared" si="47"/>
        <v>-49.931657999999999</v>
      </c>
      <c r="AU12" s="11">
        <f t="shared" si="47"/>
        <v>-49.931657999999999</v>
      </c>
      <c r="AV12" s="11">
        <f t="shared" si="47"/>
        <v>-49.931657999999999</v>
      </c>
      <c r="AW12" s="11">
        <f t="shared" si="47"/>
        <v>-49.931657999999999</v>
      </c>
      <c r="AX12" s="11">
        <f t="shared" ref="AX12:BU12" si="48">-AX84*0.3</f>
        <v>-52.931657999999999</v>
      </c>
      <c r="AY12" s="11">
        <f t="shared" si="48"/>
        <v>-52.931657999999999</v>
      </c>
      <c r="AZ12" s="11">
        <f t="shared" si="48"/>
        <v>-52.931657999999999</v>
      </c>
      <c r="BA12" s="11">
        <f t="shared" si="48"/>
        <v>-52.931657999999999</v>
      </c>
      <c r="BB12" s="11">
        <f t="shared" si="48"/>
        <v>-57.721406699999996</v>
      </c>
      <c r="BC12" s="11">
        <f t="shared" si="48"/>
        <v>-57.721406699999996</v>
      </c>
      <c r="BD12" s="11">
        <f t="shared" si="48"/>
        <v>-57.721406699999996</v>
      </c>
      <c r="BE12" s="11">
        <f t="shared" si="48"/>
        <v>-57.721406699999996</v>
      </c>
      <c r="BF12" s="11">
        <f t="shared" si="48"/>
        <v>-57.721406699999996</v>
      </c>
      <c r="BG12" s="11">
        <f t="shared" si="48"/>
        <v>-57.721406699999996</v>
      </c>
      <c r="BH12" s="11">
        <f t="shared" si="48"/>
        <v>-57.721406699999996</v>
      </c>
      <c r="BI12" s="11">
        <f t="shared" si="48"/>
        <v>-57.721406699999996</v>
      </c>
      <c r="BJ12" s="11">
        <f t="shared" si="48"/>
        <v>-57.721406699999996</v>
      </c>
      <c r="BK12" s="11">
        <f t="shared" si="48"/>
        <v>-57.721406699999996</v>
      </c>
      <c r="BL12" s="11">
        <f t="shared" si="48"/>
        <v>-57.721406699999996</v>
      </c>
      <c r="BM12" s="11">
        <f t="shared" si="48"/>
        <v>-57.721406699999996</v>
      </c>
      <c r="BN12" s="11">
        <f t="shared" si="48"/>
        <v>-63.229617704999995</v>
      </c>
      <c r="BO12" s="11">
        <f t="shared" si="48"/>
        <v>-63.229617704999995</v>
      </c>
      <c r="BP12" s="11">
        <f t="shared" si="48"/>
        <v>-63.229617704999995</v>
      </c>
      <c r="BQ12" s="11">
        <f t="shared" si="48"/>
        <v>-63.229617704999995</v>
      </c>
      <c r="BR12" s="11">
        <f t="shared" si="48"/>
        <v>-63.229617704999995</v>
      </c>
      <c r="BS12" s="11">
        <f t="shared" si="48"/>
        <v>-63.229617704999995</v>
      </c>
      <c r="BT12" s="11">
        <f t="shared" si="48"/>
        <v>-63.229617704999995</v>
      </c>
      <c r="BU12" s="11">
        <f t="shared" si="48"/>
        <v>-63.229617704999995</v>
      </c>
      <c r="BV12" s="11">
        <f t="shared" ref="BV12:BX12" si="49">-BV84*0.3</f>
        <v>-63.229617704999995</v>
      </c>
      <c r="BW12" s="11">
        <f t="shared" si="49"/>
        <v>-63.229617704999995</v>
      </c>
      <c r="BX12" s="11">
        <f t="shared" si="49"/>
        <v>-63.229617704999995</v>
      </c>
      <c r="BY12" s="11">
        <f t="shared" ref="BY12:CK12" si="50">-BY84*0.3</f>
        <v>-63.229617704999995</v>
      </c>
      <c r="BZ12" s="11">
        <f t="shared" si="50"/>
        <v>-65.149145782499986</v>
      </c>
      <c r="CA12" s="11">
        <f t="shared" si="50"/>
        <v>-65.149145782499986</v>
      </c>
      <c r="CB12" s="11">
        <f t="shared" si="50"/>
        <v>-65.149145782499986</v>
      </c>
      <c r="CC12" s="11">
        <f t="shared" si="50"/>
        <v>-65.149145782499986</v>
      </c>
      <c r="CD12" s="11">
        <f t="shared" si="50"/>
        <v>-65.149145782499986</v>
      </c>
      <c r="CE12" s="11">
        <f t="shared" si="50"/>
        <v>-65.149145782499986</v>
      </c>
      <c r="CF12" s="11">
        <f t="shared" si="50"/>
        <v>-65.149145782499986</v>
      </c>
      <c r="CG12" s="11">
        <f t="shared" si="50"/>
        <v>-65.149145782499986</v>
      </c>
      <c r="CH12" s="11">
        <f t="shared" si="50"/>
        <v>-65.149145782499986</v>
      </c>
      <c r="CI12" s="11">
        <f t="shared" si="50"/>
        <v>-65.149145782499986</v>
      </c>
      <c r="CJ12" s="11">
        <f t="shared" si="50"/>
        <v>-65.149145782499986</v>
      </c>
      <c r="CK12" s="11">
        <f t="shared" si="50"/>
        <v>-65.149145782499986</v>
      </c>
      <c r="CM12" s="11">
        <f t="shared" si="39"/>
        <v>-78.173095500000002</v>
      </c>
      <c r="CN12" s="11">
        <f t="shared" si="39"/>
        <v>0</v>
      </c>
      <c r="CO12" s="11">
        <f t="shared" si="39"/>
        <v>-406.71584999999988</v>
      </c>
      <c r="CP12" s="11">
        <f t="shared" si="39"/>
        <v>-611.17989599999987</v>
      </c>
      <c r="CQ12" s="11">
        <f t="shared" si="39"/>
        <v>-692.65688039999998</v>
      </c>
      <c r="CR12" s="11">
        <f t="shared" si="40"/>
        <v>-758.75541246</v>
      </c>
      <c r="CS12" s="11">
        <f t="shared" si="40"/>
        <v>-781.78974938999988</v>
      </c>
    </row>
    <row r="13" spans="2:97" x14ac:dyDescent="0.2">
      <c r="B13" s="92"/>
      <c r="C13" s="91"/>
      <c r="D13" s="9"/>
      <c r="E13" s="9"/>
    </row>
    <row r="14" spans="2:97" s="12" customFormat="1" x14ac:dyDescent="0.2">
      <c r="B14" s="88" t="s">
        <v>54</v>
      </c>
      <c r="C14" s="89" t="s">
        <v>4</v>
      </c>
      <c r="D14" s="13"/>
      <c r="E14" s="13"/>
      <c r="F14" s="14">
        <f t="shared" ref="F14:K14" si="51">SUM(F7,F10:F12)</f>
        <v>0</v>
      </c>
      <c r="G14" s="14">
        <f t="shared" si="51"/>
        <v>0</v>
      </c>
      <c r="H14" s="14">
        <f t="shared" si="51"/>
        <v>0</v>
      </c>
      <c r="I14" s="14">
        <f t="shared" si="51"/>
        <v>0</v>
      </c>
      <c r="J14" s="14">
        <f t="shared" si="51"/>
        <v>0</v>
      </c>
      <c r="K14" s="14">
        <f t="shared" si="51"/>
        <v>0</v>
      </c>
      <c r="L14" s="14">
        <f>SUM(L7,L10:L12)</f>
        <v>-191.27432033666665</v>
      </c>
      <c r="M14" s="14">
        <f t="shared" ref="M14:CO14" si="52">SUM(M7,M10:M12)</f>
        <v>-103.67437676333336</v>
      </c>
      <c r="N14" s="14">
        <f t="shared" si="52"/>
        <v>-97.796720223333324</v>
      </c>
      <c r="O14" s="14">
        <f t="shared" si="52"/>
        <v>-103.80614218333332</v>
      </c>
      <c r="P14" s="14">
        <f t="shared" si="52"/>
        <v>-105.15595466333333</v>
      </c>
      <c r="Q14" s="14">
        <f t="shared" si="52"/>
        <v>-104.05964966333333</v>
      </c>
      <c r="R14" s="14">
        <f t="shared" si="52"/>
        <v>0</v>
      </c>
      <c r="S14" s="14">
        <f t="shared" si="52"/>
        <v>0</v>
      </c>
      <c r="T14" s="14">
        <f t="shared" si="52"/>
        <v>0</v>
      </c>
      <c r="U14" s="14">
        <f t="shared" si="52"/>
        <v>0</v>
      </c>
      <c r="V14" s="14">
        <f t="shared" si="52"/>
        <v>0</v>
      </c>
      <c r="W14" s="14">
        <f t="shared" si="52"/>
        <v>0</v>
      </c>
      <c r="X14" s="14">
        <f t="shared" si="52"/>
        <v>0</v>
      </c>
      <c r="Y14" s="14">
        <f t="shared" si="52"/>
        <v>0</v>
      </c>
      <c r="Z14" s="14">
        <f t="shared" si="52"/>
        <v>0</v>
      </c>
      <c r="AA14" s="14">
        <f t="shared" si="52"/>
        <v>0</v>
      </c>
      <c r="AB14" s="14">
        <f t="shared" si="52"/>
        <v>0</v>
      </c>
      <c r="AC14" s="14">
        <f t="shared" si="52"/>
        <v>0</v>
      </c>
      <c r="AD14" s="14">
        <f t="shared" si="52"/>
        <v>-65</v>
      </c>
      <c r="AE14" s="14">
        <f t="shared" si="52"/>
        <v>-65</v>
      </c>
      <c r="AF14" s="14">
        <f t="shared" si="52"/>
        <v>-81.666666666666671</v>
      </c>
      <c r="AG14" s="14">
        <f t="shared" si="52"/>
        <v>-465</v>
      </c>
      <c r="AH14" s="14">
        <f t="shared" si="52"/>
        <v>-129.77069000000006</v>
      </c>
      <c r="AI14" s="14">
        <f t="shared" si="52"/>
        <v>-132.04138</v>
      </c>
      <c r="AJ14" s="14">
        <f t="shared" si="52"/>
        <v>-146.87471333333337</v>
      </c>
      <c r="AK14" s="14">
        <f t="shared" si="52"/>
        <v>-146.87471333333337</v>
      </c>
      <c r="AL14" s="14">
        <f t="shared" si="52"/>
        <v>-146.87471333333337</v>
      </c>
      <c r="AM14" s="14">
        <f t="shared" si="52"/>
        <v>-146.87471333333337</v>
      </c>
      <c r="AN14" s="14">
        <f t="shared" si="52"/>
        <v>-146.87471333333337</v>
      </c>
      <c r="AO14" s="14">
        <f t="shared" si="52"/>
        <v>-146.87471333333337</v>
      </c>
      <c r="AP14" s="14">
        <f t="shared" si="52"/>
        <v>-128.82885133333332</v>
      </c>
      <c r="AQ14" s="14">
        <f t="shared" si="52"/>
        <v>-128.82885133333332</v>
      </c>
      <c r="AR14" s="14">
        <f t="shared" si="52"/>
        <v>-128.82885133333332</v>
      </c>
      <c r="AS14" s="14">
        <f t="shared" si="52"/>
        <v>-128.82885133333332</v>
      </c>
      <c r="AT14" s="14">
        <f t="shared" si="52"/>
        <v>-128.82885133333332</v>
      </c>
      <c r="AU14" s="14">
        <f t="shared" si="52"/>
        <v>-128.82885133333332</v>
      </c>
      <c r="AV14" s="14">
        <f t="shared" si="52"/>
        <v>-128.82885133333332</v>
      </c>
      <c r="AW14" s="14">
        <f t="shared" si="52"/>
        <v>-128.82885133333332</v>
      </c>
      <c r="AX14" s="14">
        <f t="shared" ref="AX14:BU14" si="53">SUM(AX7,AX10:AX12)</f>
        <v>-141.82885133333332</v>
      </c>
      <c r="AY14" s="14">
        <f t="shared" si="53"/>
        <v>-141.82885133333332</v>
      </c>
      <c r="AZ14" s="14">
        <f t="shared" si="53"/>
        <v>-141.82885133333332</v>
      </c>
      <c r="BA14" s="14">
        <f t="shared" si="53"/>
        <v>-141.82885133333332</v>
      </c>
      <c r="BB14" s="14">
        <f t="shared" si="53"/>
        <v>-101.32817903333324</v>
      </c>
      <c r="BC14" s="14">
        <f t="shared" si="53"/>
        <v>-101.32817903333324</v>
      </c>
      <c r="BD14" s="14">
        <f t="shared" si="53"/>
        <v>-101.32817903333324</v>
      </c>
      <c r="BE14" s="14">
        <f t="shared" si="53"/>
        <v>-101.32817903333324</v>
      </c>
      <c r="BF14" s="14">
        <f t="shared" si="53"/>
        <v>-101.32817903333324</v>
      </c>
      <c r="BG14" s="14">
        <f t="shared" si="53"/>
        <v>-101.32817903333324</v>
      </c>
      <c r="BH14" s="14">
        <f t="shared" si="53"/>
        <v>-101.32817903333324</v>
      </c>
      <c r="BI14" s="14">
        <f t="shared" si="53"/>
        <v>-101.32817903333324</v>
      </c>
      <c r="BJ14" s="14">
        <f t="shared" si="53"/>
        <v>-101.32817903333324</v>
      </c>
      <c r="BK14" s="14">
        <f t="shared" si="53"/>
        <v>-101.32817903333324</v>
      </c>
      <c r="BL14" s="14">
        <f t="shared" si="53"/>
        <v>-101.32817903333324</v>
      </c>
      <c r="BM14" s="14">
        <f t="shared" si="53"/>
        <v>-101.32817903333324</v>
      </c>
      <c r="BN14" s="14">
        <f t="shared" si="53"/>
        <v>-54.752405888333371</v>
      </c>
      <c r="BO14" s="14">
        <f t="shared" si="53"/>
        <v>-54.752405888333371</v>
      </c>
      <c r="BP14" s="14">
        <f t="shared" si="53"/>
        <v>-54.752405888333371</v>
      </c>
      <c r="BQ14" s="14">
        <f t="shared" si="53"/>
        <v>-54.752405888333371</v>
      </c>
      <c r="BR14" s="14">
        <f t="shared" si="53"/>
        <v>-54.752405888333371</v>
      </c>
      <c r="BS14" s="14">
        <f t="shared" si="53"/>
        <v>-54.752405888333371</v>
      </c>
      <c r="BT14" s="14">
        <f t="shared" si="53"/>
        <v>-54.752405888333371</v>
      </c>
      <c r="BU14" s="14">
        <f t="shared" si="53"/>
        <v>-54.752405888333371</v>
      </c>
      <c r="BV14" s="14">
        <f t="shared" ref="BV14:BX14" si="54">SUM(BV7,BV10:BV12)</f>
        <v>-54.752405888333371</v>
      </c>
      <c r="BW14" s="14">
        <f t="shared" si="54"/>
        <v>-54.752405888333371</v>
      </c>
      <c r="BX14" s="14">
        <f t="shared" si="54"/>
        <v>-54.752405888333371</v>
      </c>
      <c r="BY14" s="14">
        <f t="shared" ref="BY14:CK14" si="55">SUM(BY7,BY10:BY12)</f>
        <v>-54.752405888333371</v>
      </c>
      <c r="BZ14" s="14">
        <f t="shared" si="55"/>
        <v>-38.521454640833369</v>
      </c>
      <c r="CA14" s="14">
        <f t="shared" si="55"/>
        <v>-38.521454640833369</v>
      </c>
      <c r="CB14" s="14">
        <f t="shared" si="55"/>
        <v>-38.521454640833369</v>
      </c>
      <c r="CC14" s="14">
        <f t="shared" si="55"/>
        <v>-38.521454640833369</v>
      </c>
      <c r="CD14" s="14">
        <f t="shared" si="55"/>
        <v>-38.521454640833369</v>
      </c>
      <c r="CE14" s="14">
        <f t="shared" si="55"/>
        <v>-38.521454640833369</v>
      </c>
      <c r="CF14" s="14">
        <f t="shared" si="55"/>
        <v>-38.521454640833369</v>
      </c>
      <c r="CG14" s="14">
        <f t="shared" si="55"/>
        <v>-38.521454640833369</v>
      </c>
      <c r="CH14" s="14">
        <f t="shared" si="55"/>
        <v>-38.521454640833369</v>
      </c>
      <c r="CI14" s="14">
        <f t="shared" si="55"/>
        <v>-38.521454640833369</v>
      </c>
      <c r="CJ14" s="14">
        <f t="shared" si="55"/>
        <v>-38.521454640833369</v>
      </c>
      <c r="CK14" s="14">
        <f t="shared" si="55"/>
        <v>-38.521454640833369</v>
      </c>
      <c r="CM14" s="14">
        <f t="shared" si="52"/>
        <v>-705.76716383333337</v>
      </c>
      <c r="CN14" s="14">
        <f t="shared" si="52"/>
        <v>0</v>
      </c>
      <c r="CO14" s="14">
        <f t="shared" si="52"/>
        <v>-1819.7270166666672</v>
      </c>
      <c r="CP14" s="14">
        <f t="shared" ref="CP14:CQ14" si="56">SUM(CP7,CP10:CP12)</f>
        <v>-1597.946216000001</v>
      </c>
      <c r="CQ14" s="14">
        <f t="shared" si="56"/>
        <v>-1215.9381483999937</v>
      </c>
      <c r="CR14" s="14">
        <f t="shared" ref="CR14:CS14" si="57">SUM(CR7,CR10:CR12)</f>
        <v>-657.02887066000619</v>
      </c>
      <c r="CS14" s="14">
        <f t="shared" si="57"/>
        <v>-462.25745568999753</v>
      </c>
    </row>
    <row r="15" spans="2:97" x14ac:dyDescent="0.2">
      <c r="B15" s="92"/>
      <c r="C15" s="91"/>
      <c r="D15" s="9"/>
      <c r="E15" s="9"/>
    </row>
    <row r="16" spans="2:97" hidden="1" x14ac:dyDescent="0.2">
      <c r="B16" s="224" t="s">
        <v>55</v>
      </c>
      <c r="C16" s="91" t="s">
        <v>4</v>
      </c>
      <c r="D16" s="9"/>
      <c r="E16" s="9"/>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M16" s="11">
        <f>SUMIF($L$2:$CK$2,CM$3,$L16:$CK16)</f>
        <v>0</v>
      </c>
      <c r="CN16" s="11">
        <f>SUMIF($L$2:$CK$2,CN$3,$L16:$CK16)</f>
        <v>0</v>
      </c>
      <c r="CO16" s="11">
        <f>SUMIF($L$2:$CK$2,CO$3,$L16:$CK16)</f>
        <v>0</v>
      </c>
      <c r="CP16" s="11">
        <f>SUMIF($L$2:$CK$2,CP$3,$L16:$CK16)</f>
        <v>0</v>
      </c>
      <c r="CQ16" s="11">
        <f>SUMIF($L$2:$CK$2,CQ$3,$L16:$CK16)</f>
        <v>0</v>
      </c>
      <c r="CR16" s="11">
        <f t="shared" ref="CR16:CS16" si="58">SUMIF($L$2:$CK$2,CR$3,$L16:$CK16)</f>
        <v>0</v>
      </c>
      <c r="CS16" s="11">
        <f t="shared" si="58"/>
        <v>0</v>
      </c>
    </row>
    <row r="17" spans="1:97" hidden="1" x14ac:dyDescent="0.2">
      <c r="B17" s="92"/>
      <c r="C17" s="91"/>
      <c r="D17" s="9"/>
      <c r="E17" s="9"/>
    </row>
    <row r="18" spans="1:97" s="12" customFormat="1" x14ac:dyDescent="0.2">
      <c r="B18" s="88" t="s">
        <v>61</v>
      </c>
      <c r="C18" s="89" t="s">
        <v>4</v>
      </c>
      <c r="D18" s="13"/>
      <c r="E18" s="13"/>
      <c r="F18" s="14">
        <f t="shared" ref="F18:K18" si="59">SUM(F14,F16)</f>
        <v>0</v>
      </c>
      <c r="G18" s="14">
        <f t="shared" si="59"/>
        <v>0</v>
      </c>
      <c r="H18" s="14">
        <f t="shared" si="59"/>
        <v>0</v>
      </c>
      <c r="I18" s="14">
        <f t="shared" si="59"/>
        <v>0</v>
      </c>
      <c r="J18" s="14">
        <f t="shared" si="59"/>
        <v>0</v>
      </c>
      <c r="K18" s="14">
        <f t="shared" si="59"/>
        <v>0</v>
      </c>
      <c r="L18" s="14">
        <f t="shared" ref="L18:AW18" si="60">SUM(L14,L16)</f>
        <v>-191.27432033666665</v>
      </c>
      <c r="M18" s="14">
        <f t="shared" si="60"/>
        <v>-103.67437676333336</v>
      </c>
      <c r="N18" s="14">
        <f t="shared" si="60"/>
        <v>-97.796720223333324</v>
      </c>
      <c r="O18" s="14">
        <f t="shared" si="60"/>
        <v>-103.80614218333332</v>
      </c>
      <c r="P18" s="14">
        <f t="shared" si="60"/>
        <v>-105.15595466333333</v>
      </c>
      <c r="Q18" s="14">
        <f t="shared" si="60"/>
        <v>-104.05964966333333</v>
      </c>
      <c r="R18" s="14">
        <f t="shared" si="60"/>
        <v>0</v>
      </c>
      <c r="S18" s="14">
        <f t="shared" si="60"/>
        <v>0</v>
      </c>
      <c r="T18" s="14">
        <f t="shared" si="60"/>
        <v>0</v>
      </c>
      <c r="U18" s="14">
        <f t="shared" si="60"/>
        <v>0</v>
      </c>
      <c r="V18" s="14">
        <f t="shared" si="60"/>
        <v>0</v>
      </c>
      <c r="W18" s="14">
        <f t="shared" si="60"/>
        <v>0</v>
      </c>
      <c r="X18" s="14">
        <f t="shared" si="60"/>
        <v>0</v>
      </c>
      <c r="Y18" s="14">
        <f t="shared" si="60"/>
        <v>0</v>
      </c>
      <c r="Z18" s="14">
        <f t="shared" si="60"/>
        <v>0</v>
      </c>
      <c r="AA18" s="14">
        <f t="shared" si="60"/>
        <v>0</v>
      </c>
      <c r="AB18" s="14">
        <f t="shared" si="60"/>
        <v>0</v>
      </c>
      <c r="AC18" s="14">
        <f t="shared" si="60"/>
        <v>0</v>
      </c>
      <c r="AD18" s="14">
        <f t="shared" si="60"/>
        <v>-65</v>
      </c>
      <c r="AE18" s="14">
        <f t="shared" si="60"/>
        <v>-65</v>
      </c>
      <c r="AF18" s="14">
        <f t="shared" si="60"/>
        <v>-81.666666666666671</v>
      </c>
      <c r="AG18" s="14">
        <f t="shared" si="60"/>
        <v>-465</v>
      </c>
      <c r="AH18" s="14">
        <f t="shared" si="60"/>
        <v>-129.77069000000006</v>
      </c>
      <c r="AI18" s="14">
        <f t="shared" si="60"/>
        <v>-132.04138</v>
      </c>
      <c r="AJ18" s="14">
        <f t="shared" si="60"/>
        <v>-146.87471333333337</v>
      </c>
      <c r="AK18" s="14">
        <f t="shared" si="60"/>
        <v>-146.87471333333337</v>
      </c>
      <c r="AL18" s="14">
        <f t="shared" si="60"/>
        <v>-146.87471333333337</v>
      </c>
      <c r="AM18" s="14">
        <f t="shared" si="60"/>
        <v>-146.87471333333337</v>
      </c>
      <c r="AN18" s="14">
        <f t="shared" si="60"/>
        <v>-146.87471333333337</v>
      </c>
      <c r="AO18" s="14">
        <f t="shared" si="60"/>
        <v>-146.87471333333337</v>
      </c>
      <c r="AP18" s="14">
        <f t="shared" si="60"/>
        <v>-128.82885133333332</v>
      </c>
      <c r="AQ18" s="14">
        <f t="shared" si="60"/>
        <v>-128.82885133333332</v>
      </c>
      <c r="AR18" s="14">
        <f t="shared" si="60"/>
        <v>-128.82885133333332</v>
      </c>
      <c r="AS18" s="14">
        <f t="shared" si="60"/>
        <v>-128.82885133333332</v>
      </c>
      <c r="AT18" s="14">
        <f t="shared" si="60"/>
        <v>-128.82885133333332</v>
      </c>
      <c r="AU18" s="14">
        <f t="shared" si="60"/>
        <v>-128.82885133333332</v>
      </c>
      <c r="AV18" s="14">
        <f t="shared" si="60"/>
        <v>-128.82885133333332</v>
      </c>
      <c r="AW18" s="14">
        <f t="shared" si="60"/>
        <v>-128.82885133333332</v>
      </c>
      <c r="AX18" s="14">
        <f t="shared" ref="AX18:BU18" si="61">SUM(AX14,AX16)</f>
        <v>-141.82885133333332</v>
      </c>
      <c r="AY18" s="14">
        <f t="shared" si="61"/>
        <v>-141.82885133333332</v>
      </c>
      <c r="AZ18" s="14">
        <f t="shared" si="61"/>
        <v>-141.82885133333332</v>
      </c>
      <c r="BA18" s="14">
        <f t="shared" si="61"/>
        <v>-141.82885133333332</v>
      </c>
      <c r="BB18" s="14">
        <f t="shared" si="61"/>
        <v>-101.32817903333324</v>
      </c>
      <c r="BC18" s="14">
        <f t="shared" si="61"/>
        <v>-101.32817903333324</v>
      </c>
      <c r="BD18" s="14">
        <f t="shared" si="61"/>
        <v>-101.32817903333324</v>
      </c>
      <c r="BE18" s="14">
        <f t="shared" si="61"/>
        <v>-101.32817903333324</v>
      </c>
      <c r="BF18" s="14">
        <f t="shared" si="61"/>
        <v>-101.32817903333324</v>
      </c>
      <c r="BG18" s="14">
        <f t="shared" si="61"/>
        <v>-101.32817903333324</v>
      </c>
      <c r="BH18" s="14">
        <f t="shared" si="61"/>
        <v>-101.32817903333324</v>
      </c>
      <c r="BI18" s="14">
        <f t="shared" si="61"/>
        <v>-101.32817903333324</v>
      </c>
      <c r="BJ18" s="14">
        <f t="shared" si="61"/>
        <v>-101.32817903333324</v>
      </c>
      <c r="BK18" s="14">
        <f t="shared" si="61"/>
        <v>-101.32817903333324</v>
      </c>
      <c r="BL18" s="14">
        <f t="shared" si="61"/>
        <v>-101.32817903333324</v>
      </c>
      <c r="BM18" s="14">
        <f t="shared" si="61"/>
        <v>-101.32817903333324</v>
      </c>
      <c r="BN18" s="14">
        <f t="shared" si="61"/>
        <v>-54.752405888333371</v>
      </c>
      <c r="BO18" s="14">
        <f t="shared" si="61"/>
        <v>-54.752405888333371</v>
      </c>
      <c r="BP18" s="14">
        <f t="shared" si="61"/>
        <v>-54.752405888333371</v>
      </c>
      <c r="BQ18" s="14">
        <f t="shared" si="61"/>
        <v>-54.752405888333371</v>
      </c>
      <c r="BR18" s="14">
        <f t="shared" si="61"/>
        <v>-54.752405888333371</v>
      </c>
      <c r="BS18" s="14">
        <f t="shared" si="61"/>
        <v>-54.752405888333371</v>
      </c>
      <c r="BT18" s="14">
        <f t="shared" si="61"/>
        <v>-54.752405888333371</v>
      </c>
      <c r="BU18" s="14">
        <f t="shared" si="61"/>
        <v>-54.752405888333371</v>
      </c>
      <c r="BV18" s="14">
        <f t="shared" ref="BV18:BX18" si="62">SUM(BV14,BV16)</f>
        <v>-54.752405888333371</v>
      </c>
      <c r="BW18" s="14">
        <f t="shared" si="62"/>
        <v>-54.752405888333371</v>
      </c>
      <c r="BX18" s="14">
        <f t="shared" si="62"/>
        <v>-54.752405888333371</v>
      </c>
      <c r="BY18" s="14">
        <f t="shared" ref="BY18:CK18" si="63">SUM(BY14,BY16)</f>
        <v>-54.752405888333371</v>
      </c>
      <c r="BZ18" s="14">
        <f t="shared" si="63"/>
        <v>-38.521454640833369</v>
      </c>
      <c r="CA18" s="14">
        <f t="shared" si="63"/>
        <v>-38.521454640833369</v>
      </c>
      <c r="CB18" s="14">
        <f t="shared" si="63"/>
        <v>-38.521454640833369</v>
      </c>
      <c r="CC18" s="14">
        <f t="shared" si="63"/>
        <v>-38.521454640833369</v>
      </c>
      <c r="CD18" s="14">
        <f t="shared" si="63"/>
        <v>-38.521454640833369</v>
      </c>
      <c r="CE18" s="14">
        <f t="shared" si="63"/>
        <v>-38.521454640833369</v>
      </c>
      <c r="CF18" s="14">
        <f t="shared" si="63"/>
        <v>-38.521454640833369</v>
      </c>
      <c r="CG18" s="14">
        <f t="shared" si="63"/>
        <v>-38.521454640833369</v>
      </c>
      <c r="CH18" s="14">
        <f t="shared" si="63"/>
        <v>-38.521454640833369</v>
      </c>
      <c r="CI18" s="14">
        <f t="shared" si="63"/>
        <v>-38.521454640833369</v>
      </c>
      <c r="CJ18" s="14">
        <f t="shared" si="63"/>
        <v>-38.521454640833369</v>
      </c>
      <c r="CK18" s="14">
        <f t="shared" si="63"/>
        <v>-38.521454640833369</v>
      </c>
      <c r="CM18" s="14">
        <f>SUM(CM14,CM16)</f>
        <v>-705.76716383333337</v>
      </c>
      <c r="CN18" s="14">
        <f>SUM(CN14,CN16)</f>
        <v>0</v>
      </c>
      <c r="CO18" s="14">
        <f>SUM(CO14,CO16)</f>
        <v>-1819.7270166666672</v>
      </c>
      <c r="CP18" s="14">
        <f t="shared" ref="CP18:CQ18" si="64">SUM(CP14,CP16)</f>
        <v>-1597.946216000001</v>
      </c>
      <c r="CQ18" s="14">
        <f t="shared" si="64"/>
        <v>-1215.9381483999937</v>
      </c>
      <c r="CR18" s="14">
        <f t="shared" ref="CR18:CS18" si="65">SUM(CR14,CR16)</f>
        <v>-657.02887066000619</v>
      </c>
      <c r="CS18" s="14">
        <f t="shared" si="65"/>
        <v>-462.25745568999753</v>
      </c>
    </row>
    <row r="19" spans="1:97" x14ac:dyDescent="0.2">
      <c r="B19" s="92"/>
      <c r="C19" s="91"/>
      <c r="D19" s="9"/>
      <c r="E19" s="9"/>
    </row>
    <row r="20" spans="1:97" x14ac:dyDescent="0.2">
      <c r="B20" s="90" t="s">
        <v>63</v>
      </c>
      <c r="C20" s="91" t="s">
        <v>4</v>
      </c>
      <c r="D20" s="9"/>
      <c r="E20" s="9"/>
    </row>
    <row r="21" spans="1:97" x14ac:dyDescent="0.2">
      <c r="B21" s="92"/>
      <c r="C21" s="91"/>
      <c r="D21" s="9"/>
      <c r="E21" s="9"/>
    </row>
    <row r="22" spans="1:97" s="12" customFormat="1" x14ac:dyDescent="0.2">
      <c r="B22" s="88" t="s">
        <v>62</v>
      </c>
      <c r="C22" s="89" t="s">
        <v>4</v>
      </c>
      <c r="D22" s="13"/>
      <c r="E22" s="13"/>
      <c r="F22" s="14">
        <f t="shared" ref="F22:K22" si="66">F18+F20</f>
        <v>0</v>
      </c>
      <c r="G22" s="14">
        <f t="shared" si="66"/>
        <v>0</v>
      </c>
      <c r="H22" s="14">
        <f t="shared" si="66"/>
        <v>0</v>
      </c>
      <c r="I22" s="14">
        <f t="shared" si="66"/>
        <v>0</v>
      </c>
      <c r="J22" s="14">
        <f t="shared" si="66"/>
        <v>0</v>
      </c>
      <c r="K22" s="14">
        <f t="shared" si="66"/>
        <v>0</v>
      </c>
      <c r="L22" s="14">
        <f>L18+L20</f>
        <v>-191.27432033666665</v>
      </c>
      <c r="M22" s="14">
        <f t="shared" ref="M22:AW22" si="67">M18+M20</f>
        <v>-103.67437676333336</v>
      </c>
      <c r="N22" s="14">
        <f t="shared" si="67"/>
        <v>-97.796720223333324</v>
      </c>
      <c r="O22" s="14">
        <f t="shared" si="67"/>
        <v>-103.80614218333332</v>
      </c>
      <c r="P22" s="14">
        <f t="shared" si="67"/>
        <v>-105.15595466333333</v>
      </c>
      <c r="Q22" s="14">
        <f t="shared" si="67"/>
        <v>-104.05964966333333</v>
      </c>
      <c r="R22" s="14">
        <f t="shared" si="67"/>
        <v>0</v>
      </c>
      <c r="S22" s="14">
        <f t="shared" si="67"/>
        <v>0</v>
      </c>
      <c r="T22" s="14">
        <f t="shared" si="67"/>
        <v>0</v>
      </c>
      <c r="U22" s="14">
        <f t="shared" si="67"/>
        <v>0</v>
      </c>
      <c r="V22" s="14">
        <f t="shared" si="67"/>
        <v>0</v>
      </c>
      <c r="W22" s="14">
        <f t="shared" si="67"/>
        <v>0</v>
      </c>
      <c r="X22" s="14">
        <f t="shared" si="67"/>
        <v>0</v>
      </c>
      <c r="Y22" s="14">
        <f t="shared" si="67"/>
        <v>0</v>
      </c>
      <c r="Z22" s="14">
        <f t="shared" si="67"/>
        <v>0</v>
      </c>
      <c r="AA22" s="14">
        <f t="shared" si="67"/>
        <v>0</v>
      </c>
      <c r="AB22" s="14">
        <f t="shared" si="67"/>
        <v>0</v>
      </c>
      <c r="AC22" s="14">
        <f t="shared" si="67"/>
        <v>0</v>
      </c>
      <c r="AD22" s="14">
        <f t="shared" si="67"/>
        <v>-65</v>
      </c>
      <c r="AE22" s="14">
        <f t="shared" si="67"/>
        <v>-65</v>
      </c>
      <c r="AF22" s="14">
        <f t="shared" si="67"/>
        <v>-81.666666666666671</v>
      </c>
      <c r="AG22" s="14">
        <f t="shared" si="67"/>
        <v>-465</v>
      </c>
      <c r="AH22" s="14">
        <f t="shared" si="67"/>
        <v>-129.77069000000006</v>
      </c>
      <c r="AI22" s="14">
        <f t="shared" si="67"/>
        <v>-132.04138</v>
      </c>
      <c r="AJ22" s="14">
        <f t="shared" si="67"/>
        <v>-146.87471333333337</v>
      </c>
      <c r="AK22" s="14">
        <f t="shared" si="67"/>
        <v>-146.87471333333337</v>
      </c>
      <c r="AL22" s="14">
        <f t="shared" si="67"/>
        <v>-146.87471333333337</v>
      </c>
      <c r="AM22" s="14">
        <f t="shared" si="67"/>
        <v>-146.87471333333337</v>
      </c>
      <c r="AN22" s="14">
        <f t="shared" si="67"/>
        <v>-146.87471333333337</v>
      </c>
      <c r="AO22" s="14">
        <f t="shared" si="67"/>
        <v>-146.87471333333337</v>
      </c>
      <c r="AP22" s="14">
        <f t="shared" si="67"/>
        <v>-128.82885133333332</v>
      </c>
      <c r="AQ22" s="14">
        <f t="shared" si="67"/>
        <v>-128.82885133333332</v>
      </c>
      <c r="AR22" s="14">
        <f t="shared" si="67"/>
        <v>-128.82885133333332</v>
      </c>
      <c r="AS22" s="14">
        <f t="shared" si="67"/>
        <v>-128.82885133333332</v>
      </c>
      <c r="AT22" s="14">
        <f t="shared" si="67"/>
        <v>-128.82885133333332</v>
      </c>
      <c r="AU22" s="14">
        <f t="shared" si="67"/>
        <v>-128.82885133333332</v>
      </c>
      <c r="AV22" s="14">
        <f t="shared" si="67"/>
        <v>-128.82885133333332</v>
      </c>
      <c r="AW22" s="14">
        <f t="shared" si="67"/>
        <v>-128.82885133333332</v>
      </c>
      <c r="AX22" s="14">
        <f t="shared" ref="AX22:BU22" si="68">AX18+AX20</f>
        <v>-141.82885133333332</v>
      </c>
      <c r="AY22" s="14">
        <f t="shared" si="68"/>
        <v>-141.82885133333332</v>
      </c>
      <c r="AZ22" s="14">
        <f t="shared" si="68"/>
        <v>-141.82885133333332</v>
      </c>
      <c r="BA22" s="14">
        <f t="shared" si="68"/>
        <v>-141.82885133333332</v>
      </c>
      <c r="BB22" s="14">
        <f t="shared" si="68"/>
        <v>-101.32817903333324</v>
      </c>
      <c r="BC22" s="14">
        <f t="shared" si="68"/>
        <v>-101.32817903333324</v>
      </c>
      <c r="BD22" s="14">
        <f t="shared" si="68"/>
        <v>-101.32817903333324</v>
      </c>
      <c r="BE22" s="14">
        <f t="shared" si="68"/>
        <v>-101.32817903333324</v>
      </c>
      <c r="BF22" s="14">
        <f t="shared" si="68"/>
        <v>-101.32817903333324</v>
      </c>
      <c r="BG22" s="14">
        <f t="shared" si="68"/>
        <v>-101.32817903333324</v>
      </c>
      <c r="BH22" s="14">
        <f t="shared" si="68"/>
        <v>-101.32817903333324</v>
      </c>
      <c r="BI22" s="14">
        <f t="shared" si="68"/>
        <v>-101.32817903333324</v>
      </c>
      <c r="BJ22" s="14">
        <f t="shared" si="68"/>
        <v>-101.32817903333324</v>
      </c>
      <c r="BK22" s="14">
        <f t="shared" si="68"/>
        <v>-101.32817903333324</v>
      </c>
      <c r="BL22" s="14">
        <f t="shared" si="68"/>
        <v>-101.32817903333324</v>
      </c>
      <c r="BM22" s="14">
        <f t="shared" si="68"/>
        <v>-101.32817903333324</v>
      </c>
      <c r="BN22" s="14">
        <f t="shared" si="68"/>
        <v>-54.752405888333371</v>
      </c>
      <c r="BO22" s="14">
        <f t="shared" si="68"/>
        <v>-54.752405888333371</v>
      </c>
      <c r="BP22" s="14">
        <f t="shared" si="68"/>
        <v>-54.752405888333371</v>
      </c>
      <c r="BQ22" s="14">
        <f t="shared" si="68"/>
        <v>-54.752405888333371</v>
      </c>
      <c r="BR22" s="14">
        <f t="shared" si="68"/>
        <v>-54.752405888333371</v>
      </c>
      <c r="BS22" s="14">
        <f t="shared" si="68"/>
        <v>-54.752405888333371</v>
      </c>
      <c r="BT22" s="14">
        <f t="shared" si="68"/>
        <v>-54.752405888333371</v>
      </c>
      <c r="BU22" s="14">
        <f t="shared" si="68"/>
        <v>-54.752405888333371</v>
      </c>
      <c r="BV22" s="14">
        <f t="shared" ref="BV22:BX22" si="69">BV18+BV20</f>
        <v>-54.752405888333371</v>
      </c>
      <c r="BW22" s="14">
        <f t="shared" si="69"/>
        <v>-54.752405888333371</v>
      </c>
      <c r="BX22" s="14">
        <f t="shared" si="69"/>
        <v>-54.752405888333371</v>
      </c>
      <c r="BY22" s="14">
        <f t="shared" ref="BY22:CK22" si="70">BY18+BY20</f>
        <v>-54.752405888333371</v>
      </c>
      <c r="BZ22" s="14">
        <f t="shared" si="70"/>
        <v>-38.521454640833369</v>
      </c>
      <c r="CA22" s="14">
        <f t="shared" si="70"/>
        <v>-38.521454640833369</v>
      </c>
      <c r="CB22" s="14">
        <f t="shared" si="70"/>
        <v>-38.521454640833369</v>
      </c>
      <c r="CC22" s="14">
        <f t="shared" si="70"/>
        <v>-38.521454640833369</v>
      </c>
      <c r="CD22" s="14">
        <f t="shared" si="70"/>
        <v>-38.521454640833369</v>
      </c>
      <c r="CE22" s="14">
        <f t="shared" si="70"/>
        <v>-38.521454640833369</v>
      </c>
      <c r="CF22" s="14">
        <f t="shared" si="70"/>
        <v>-38.521454640833369</v>
      </c>
      <c r="CG22" s="14">
        <f t="shared" si="70"/>
        <v>-38.521454640833369</v>
      </c>
      <c r="CH22" s="14">
        <f t="shared" si="70"/>
        <v>-38.521454640833369</v>
      </c>
      <c r="CI22" s="14">
        <f t="shared" si="70"/>
        <v>-38.521454640833369</v>
      </c>
      <c r="CJ22" s="14">
        <f t="shared" si="70"/>
        <v>-38.521454640833369</v>
      </c>
      <c r="CK22" s="14">
        <f t="shared" si="70"/>
        <v>-38.521454640833369</v>
      </c>
      <c r="CM22" s="14">
        <f>SUM(CM18,CM20)</f>
        <v>-705.76716383333337</v>
      </c>
      <c r="CN22" s="14">
        <f t="shared" ref="CN22:CO22" si="71">SUM(CN18,CN20)</f>
        <v>0</v>
      </c>
      <c r="CO22" s="14">
        <f t="shared" si="71"/>
        <v>-1819.7270166666672</v>
      </c>
      <c r="CP22" s="14">
        <f t="shared" ref="CP22:CQ22" si="72">SUM(CP18,CP20)</f>
        <v>-1597.946216000001</v>
      </c>
      <c r="CQ22" s="14">
        <f t="shared" si="72"/>
        <v>-1215.9381483999937</v>
      </c>
      <c r="CR22" s="14">
        <f t="shared" ref="CR22:CS22" si="73">SUM(CR18,CR20)</f>
        <v>-657.02887066000619</v>
      </c>
      <c r="CS22" s="14">
        <f t="shared" si="73"/>
        <v>-462.25745568999753</v>
      </c>
    </row>
    <row r="23" spans="1:97" x14ac:dyDescent="0.2">
      <c r="B23" s="92"/>
      <c r="C23" s="91"/>
      <c r="D23" s="9" t="s">
        <v>322</v>
      </c>
      <c r="E23" s="9"/>
    </row>
    <row r="24" spans="1:97" x14ac:dyDescent="0.2">
      <c r="B24" s="90" t="s">
        <v>60</v>
      </c>
      <c r="C24" s="91" t="s">
        <v>4</v>
      </c>
      <c r="D24" s="234">
        <v>0.25</v>
      </c>
      <c r="E24" s="9"/>
      <c r="F24" s="11">
        <f>-IF(F22&lt;0,0,F22*0.2)</f>
        <v>0</v>
      </c>
      <c r="G24" s="11">
        <f t="shared" ref="G24:Q24" si="74">-IF(G22&lt;0,0,G22*0.2)</f>
        <v>0</v>
      </c>
      <c r="H24" s="11">
        <f t="shared" si="74"/>
        <v>0</v>
      </c>
      <c r="I24" s="11">
        <f t="shared" si="74"/>
        <v>0</v>
      </c>
      <c r="J24" s="11">
        <f t="shared" si="74"/>
        <v>0</v>
      </c>
      <c r="K24" s="11">
        <f t="shared" si="74"/>
        <v>0</v>
      </c>
      <c r="L24" s="11">
        <f t="shared" si="74"/>
        <v>0</v>
      </c>
      <c r="M24" s="11">
        <f t="shared" si="74"/>
        <v>0</v>
      </c>
      <c r="N24" s="11">
        <f t="shared" si="74"/>
        <v>0</v>
      </c>
      <c r="O24" s="11">
        <f t="shared" si="74"/>
        <v>0</v>
      </c>
      <c r="P24" s="11">
        <f t="shared" si="74"/>
        <v>0</v>
      </c>
      <c r="Q24" s="11">
        <f t="shared" si="74"/>
        <v>0</v>
      </c>
      <c r="R24" s="11">
        <f>-IF(R22&lt;0,0,R22*$D24)</f>
        <v>0</v>
      </c>
      <c r="S24" s="11">
        <f t="shared" ref="S24:BX24" si="75">-IF(S22&lt;0,0,S22*$D24)</f>
        <v>0</v>
      </c>
      <c r="T24" s="11">
        <f t="shared" si="75"/>
        <v>0</v>
      </c>
      <c r="U24" s="11">
        <f t="shared" si="75"/>
        <v>0</v>
      </c>
      <c r="V24" s="11">
        <f t="shared" si="75"/>
        <v>0</v>
      </c>
      <c r="W24" s="11">
        <f t="shared" si="75"/>
        <v>0</v>
      </c>
      <c r="X24" s="11">
        <f t="shared" si="75"/>
        <v>0</v>
      </c>
      <c r="Y24" s="11">
        <f t="shared" si="75"/>
        <v>0</v>
      </c>
      <c r="Z24" s="11">
        <f t="shared" si="75"/>
        <v>0</v>
      </c>
      <c r="AA24" s="11">
        <f t="shared" si="75"/>
        <v>0</v>
      </c>
      <c r="AB24" s="11">
        <f t="shared" si="75"/>
        <v>0</v>
      </c>
      <c r="AC24" s="11">
        <f t="shared" si="75"/>
        <v>0</v>
      </c>
      <c r="AD24" s="11">
        <f t="shared" si="75"/>
        <v>0</v>
      </c>
      <c r="AE24" s="11">
        <f t="shared" si="75"/>
        <v>0</v>
      </c>
      <c r="AF24" s="11">
        <f t="shared" si="75"/>
        <v>0</v>
      </c>
      <c r="AG24" s="11">
        <f t="shared" si="75"/>
        <v>0</v>
      </c>
      <c r="AH24" s="11">
        <f t="shared" si="75"/>
        <v>0</v>
      </c>
      <c r="AI24" s="11">
        <f t="shared" si="75"/>
        <v>0</v>
      </c>
      <c r="AJ24" s="11">
        <f t="shared" si="75"/>
        <v>0</v>
      </c>
      <c r="AK24" s="11">
        <f t="shared" si="75"/>
        <v>0</v>
      </c>
      <c r="AL24" s="11">
        <f t="shared" si="75"/>
        <v>0</v>
      </c>
      <c r="AM24" s="11">
        <f t="shared" si="75"/>
        <v>0</v>
      </c>
      <c r="AN24" s="11">
        <f t="shared" si="75"/>
        <v>0</v>
      </c>
      <c r="AO24" s="11">
        <f t="shared" si="75"/>
        <v>0</v>
      </c>
      <c r="AP24" s="11">
        <f t="shared" si="75"/>
        <v>0</v>
      </c>
      <c r="AQ24" s="11">
        <f t="shared" si="75"/>
        <v>0</v>
      </c>
      <c r="AR24" s="11">
        <f t="shared" si="75"/>
        <v>0</v>
      </c>
      <c r="AS24" s="11">
        <f t="shared" si="75"/>
        <v>0</v>
      </c>
      <c r="AT24" s="11">
        <f t="shared" si="75"/>
        <v>0</v>
      </c>
      <c r="AU24" s="11">
        <f t="shared" si="75"/>
        <v>0</v>
      </c>
      <c r="AV24" s="11">
        <f t="shared" si="75"/>
        <v>0</v>
      </c>
      <c r="AW24" s="11">
        <f t="shared" si="75"/>
        <v>0</v>
      </c>
      <c r="AX24" s="11">
        <f t="shared" si="75"/>
        <v>0</v>
      </c>
      <c r="AY24" s="11">
        <f t="shared" si="75"/>
        <v>0</v>
      </c>
      <c r="AZ24" s="11">
        <f t="shared" si="75"/>
        <v>0</v>
      </c>
      <c r="BA24" s="11">
        <f t="shared" si="75"/>
        <v>0</v>
      </c>
      <c r="BB24" s="11">
        <f t="shared" si="75"/>
        <v>0</v>
      </c>
      <c r="BC24" s="11">
        <f t="shared" si="75"/>
        <v>0</v>
      </c>
      <c r="BD24" s="11">
        <f t="shared" si="75"/>
        <v>0</v>
      </c>
      <c r="BE24" s="11">
        <f t="shared" si="75"/>
        <v>0</v>
      </c>
      <c r="BF24" s="11">
        <f t="shared" si="75"/>
        <v>0</v>
      </c>
      <c r="BG24" s="11">
        <f t="shared" si="75"/>
        <v>0</v>
      </c>
      <c r="BH24" s="11">
        <f t="shared" si="75"/>
        <v>0</v>
      </c>
      <c r="BI24" s="11">
        <f t="shared" si="75"/>
        <v>0</v>
      </c>
      <c r="BJ24" s="11">
        <f t="shared" si="75"/>
        <v>0</v>
      </c>
      <c r="BK24" s="11">
        <f t="shared" si="75"/>
        <v>0</v>
      </c>
      <c r="BL24" s="11">
        <f t="shared" si="75"/>
        <v>0</v>
      </c>
      <c r="BM24" s="11">
        <f t="shared" si="75"/>
        <v>0</v>
      </c>
      <c r="BN24" s="11">
        <f t="shared" si="75"/>
        <v>0</v>
      </c>
      <c r="BO24" s="11">
        <f t="shared" si="75"/>
        <v>0</v>
      </c>
      <c r="BP24" s="11">
        <f t="shared" si="75"/>
        <v>0</v>
      </c>
      <c r="BQ24" s="11">
        <f t="shared" si="75"/>
        <v>0</v>
      </c>
      <c r="BR24" s="11">
        <f t="shared" si="75"/>
        <v>0</v>
      </c>
      <c r="BS24" s="11">
        <f t="shared" si="75"/>
        <v>0</v>
      </c>
      <c r="BT24" s="11">
        <f t="shared" si="75"/>
        <v>0</v>
      </c>
      <c r="BU24" s="11">
        <f t="shared" si="75"/>
        <v>0</v>
      </c>
      <c r="BV24" s="11">
        <f t="shared" si="75"/>
        <v>0</v>
      </c>
      <c r="BW24" s="11">
        <f t="shared" si="75"/>
        <v>0</v>
      </c>
      <c r="BX24" s="11">
        <f t="shared" si="75"/>
        <v>0</v>
      </c>
      <c r="BY24" s="11">
        <f t="shared" ref="BY24:CK24" si="76">-IF(BY22&lt;0,0,BY22*$D24)</f>
        <v>0</v>
      </c>
      <c r="BZ24" s="11">
        <f t="shared" si="76"/>
        <v>0</v>
      </c>
      <c r="CA24" s="11">
        <f t="shared" si="76"/>
        <v>0</v>
      </c>
      <c r="CB24" s="11">
        <f t="shared" si="76"/>
        <v>0</v>
      </c>
      <c r="CC24" s="11">
        <f t="shared" si="76"/>
        <v>0</v>
      </c>
      <c r="CD24" s="11">
        <f t="shared" si="76"/>
        <v>0</v>
      </c>
      <c r="CE24" s="11">
        <f t="shared" si="76"/>
        <v>0</v>
      </c>
      <c r="CF24" s="11">
        <f t="shared" si="76"/>
        <v>0</v>
      </c>
      <c r="CG24" s="11">
        <f t="shared" si="76"/>
        <v>0</v>
      </c>
      <c r="CH24" s="11">
        <f t="shared" si="76"/>
        <v>0</v>
      </c>
      <c r="CI24" s="11">
        <f t="shared" si="76"/>
        <v>0</v>
      </c>
      <c r="CJ24" s="11">
        <f t="shared" si="76"/>
        <v>0</v>
      </c>
      <c r="CK24" s="11">
        <f t="shared" si="76"/>
        <v>0</v>
      </c>
      <c r="CM24" s="11">
        <f>SUMIF($L$2:$CK$2,CM$3,$L24:$CK24)</f>
        <v>0</v>
      </c>
      <c r="CN24" s="11">
        <f>SUMIF($L$2:$CK$2,CN$3,$L24:$CK24)</f>
        <v>0</v>
      </c>
      <c r="CO24" s="11">
        <f>SUMIF($L$2:$CK$2,CO$3,$L24:$CK24)</f>
        <v>0</v>
      </c>
      <c r="CP24" s="11">
        <f>SUMIF($L$2:$CK$2,CP$3,$L24:$CK24)</f>
        <v>0</v>
      </c>
      <c r="CQ24" s="11">
        <f>SUMIF($L$2:$CK$2,CQ$3,$L24:$CK24)</f>
        <v>0</v>
      </c>
      <c r="CR24" s="11">
        <f t="shared" ref="CR24:CS24" si="77">SUMIF($L$2:$CK$2,CR$3,$L24:$CK24)</f>
        <v>0</v>
      </c>
      <c r="CS24" s="11">
        <f t="shared" si="77"/>
        <v>0</v>
      </c>
    </row>
    <row r="25" spans="1:97" x14ac:dyDescent="0.2">
      <c r="B25" s="92"/>
      <c r="C25" s="91"/>
      <c r="D25" s="9"/>
      <c r="E25" s="9"/>
    </row>
    <row r="26" spans="1:97" s="12" customFormat="1" x14ac:dyDescent="0.2">
      <c r="B26" s="88" t="s">
        <v>57</v>
      </c>
      <c r="C26" s="89" t="s">
        <v>4</v>
      </c>
      <c r="D26" s="13"/>
      <c r="E26" s="13"/>
      <c r="F26" s="93">
        <f t="shared" ref="F26:K26" si="78">F22+F24</f>
        <v>0</v>
      </c>
      <c r="G26" s="93">
        <f t="shared" si="78"/>
        <v>0</v>
      </c>
      <c r="H26" s="93">
        <f t="shared" si="78"/>
        <v>0</v>
      </c>
      <c r="I26" s="93">
        <f t="shared" si="78"/>
        <v>0</v>
      </c>
      <c r="J26" s="93">
        <f t="shared" si="78"/>
        <v>0</v>
      </c>
      <c r="K26" s="93">
        <f t="shared" si="78"/>
        <v>0</v>
      </c>
      <c r="L26" s="93">
        <f>L22+L24</f>
        <v>-191.27432033666665</v>
      </c>
      <c r="M26" s="93">
        <f t="shared" ref="M26:AW26" si="79">M22+M24</f>
        <v>-103.67437676333336</v>
      </c>
      <c r="N26" s="93">
        <f t="shared" si="79"/>
        <v>-97.796720223333324</v>
      </c>
      <c r="O26" s="93">
        <f t="shared" si="79"/>
        <v>-103.80614218333332</v>
      </c>
      <c r="P26" s="93">
        <f t="shared" si="79"/>
        <v>-105.15595466333333</v>
      </c>
      <c r="Q26" s="93">
        <f t="shared" si="79"/>
        <v>-104.05964966333333</v>
      </c>
      <c r="R26" s="93">
        <f t="shared" si="79"/>
        <v>0</v>
      </c>
      <c r="S26" s="93">
        <f t="shared" si="79"/>
        <v>0</v>
      </c>
      <c r="T26" s="93">
        <f t="shared" si="79"/>
        <v>0</v>
      </c>
      <c r="U26" s="93">
        <f t="shared" si="79"/>
        <v>0</v>
      </c>
      <c r="V26" s="93">
        <f t="shared" si="79"/>
        <v>0</v>
      </c>
      <c r="W26" s="93">
        <f t="shared" si="79"/>
        <v>0</v>
      </c>
      <c r="X26" s="93">
        <f t="shared" si="79"/>
        <v>0</v>
      </c>
      <c r="Y26" s="93">
        <f t="shared" si="79"/>
        <v>0</v>
      </c>
      <c r="Z26" s="93">
        <f t="shared" si="79"/>
        <v>0</v>
      </c>
      <c r="AA26" s="93">
        <f t="shared" si="79"/>
        <v>0</v>
      </c>
      <c r="AB26" s="93">
        <f t="shared" si="79"/>
        <v>0</v>
      </c>
      <c r="AC26" s="93">
        <f t="shared" si="79"/>
        <v>0</v>
      </c>
      <c r="AD26" s="93">
        <f t="shared" si="79"/>
        <v>-65</v>
      </c>
      <c r="AE26" s="93">
        <f t="shared" si="79"/>
        <v>-65</v>
      </c>
      <c r="AF26" s="93">
        <f t="shared" si="79"/>
        <v>-81.666666666666671</v>
      </c>
      <c r="AG26" s="93">
        <f t="shared" si="79"/>
        <v>-465</v>
      </c>
      <c r="AH26" s="93">
        <f t="shared" si="79"/>
        <v>-129.77069000000006</v>
      </c>
      <c r="AI26" s="93">
        <f t="shared" si="79"/>
        <v>-132.04138</v>
      </c>
      <c r="AJ26" s="93">
        <f t="shared" si="79"/>
        <v>-146.87471333333337</v>
      </c>
      <c r="AK26" s="93">
        <f t="shared" si="79"/>
        <v>-146.87471333333337</v>
      </c>
      <c r="AL26" s="93">
        <f t="shared" si="79"/>
        <v>-146.87471333333337</v>
      </c>
      <c r="AM26" s="93">
        <f t="shared" si="79"/>
        <v>-146.87471333333337</v>
      </c>
      <c r="AN26" s="93">
        <f t="shared" si="79"/>
        <v>-146.87471333333337</v>
      </c>
      <c r="AO26" s="93">
        <f t="shared" si="79"/>
        <v>-146.87471333333337</v>
      </c>
      <c r="AP26" s="93">
        <f t="shared" si="79"/>
        <v>-128.82885133333332</v>
      </c>
      <c r="AQ26" s="93">
        <f t="shared" si="79"/>
        <v>-128.82885133333332</v>
      </c>
      <c r="AR26" s="93">
        <f t="shared" si="79"/>
        <v>-128.82885133333332</v>
      </c>
      <c r="AS26" s="93">
        <f t="shared" si="79"/>
        <v>-128.82885133333332</v>
      </c>
      <c r="AT26" s="93">
        <f t="shared" si="79"/>
        <v>-128.82885133333332</v>
      </c>
      <c r="AU26" s="93">
        <f t="shared" si="79"/>
        <v>-128.82885133333332</v>
      </c>
      <c r="AV26" s="93">
        <f t="shared" si="79"/>
        <v>-128.82885133333332</v>
      </c>
      <c r="AW26" s="93">
        <f t="shared" si="79"/>
        <v>-128.82885133333332</v>
      </c>
      <c r="AX26" s="93">
        <f t="shared" ref="AX26:BU26" si="80">AX22+AX24</f>
        <v>-141.82885133333332</v>
      </c>
      <c r="AY26" s="93">
        <f t="shared" si="80"/>
        <v>-141.82885133333332</v>
      </c>
      <c r="AZ26" s="93">
        <f t="shared" si="80"/>
        <v>-141.82885133333332</v>
      </c>
      <c r="BA26" s="93">
        <f t="shared" si="80"/>
        <v>-141.82885133333332</v>
      </c>
      <c r="BB26" s="93">
        <f t="shared" si="80"/>
        <v>-101.32817903333324</v>
      </c>
      <c r="BC26" s="93">
        <f t="shared" si="80"/>
        <v>-101.32817903333324</v>
      </c>
      <c r="BD26" s="93">
        <f t="shared" si="80"/>
        <v>-101.32817903333324</v>
      </c>
      <c r="BE26" s="93">
        <f t="shared" si="80"/>
        <v>-101.32817903333324</v>
      </c>
      <c r="BF26" s="93">
        <f t="shared" si="80"/>
        <v>-101.32817903333324</v>
      </c>
      <c r="BG26" s="93">
        <f t="shared" si="80"/>
        <v>-101.32817903333324</v>
      </c>
      <c r="BH26" s="93">
        <f t="shared" si="80"/>
        <v>-101.32817903333324</v>
      </c>
      <c r="BI26" s="93">
        <f t="shared" si="80"/>
        <v>-101.32817903333324</v>
      </c>
      <c r="BJ26" s="93">
        <f t="shared" si="80"/>
        <v>-101.32817903333324</v>
      </c>
      <c r="BK26" s="93">
        <f t="shared" si="80"/>
        <v>-101.32817903333324</v>
      </c>
      <c r="BL26" s="93">
        <f t="shared" si="80"/>
        <v>-101.32817903333324</v>
      </c>
      <c r="BM26" s="93">
        <f t="shared" si="80"/>
        <v>-101.32817903333324</v>
      </c>
      <c r="BN26" s="93">
        <f t="shared" si="80"/>
        <v>-54.752405888333371</v>
      </c>
      <c r="BO26" s="93">
        <f t="shared" si="80"/>
        <v>-54.752405888333371</v>
      </c>
      <c r="BP26" s="93">
        <f t="shared" si="80"/>
        <v>-54.752405888333371</v>
      </c>
      <c r="BQ26" s="93">
        <f t="shared" si="80"/>
        <v>-54.752405888333371</v>
      </c>
      <c r="BR26" s="93">
        <f t="shared" si="80"/>
        <v>-54.752405888333371</v>
      </c>
      <c r="BS26" s="93">
        <f t="shared" si="80"/>
        <v>-54.752405888333371</v>
      </c>
      <c r="BT26" s="93">
        <f t="shared" si="80"/>
        <v>-54.752405888333371</v>
      </c>
      <c r="BU26" s="93">
        <f t="shared" si="80"/>
        <v>-54.752405888333371</v>
      </c>
      <c r="BV26" s="93">
        <f t="shared" ref="BV26:BX26" si="81">BV22+BV24</f>
        <v>-54.752405888333371</v>
      </c>
      <c r="BW26" s="93">
        <f t="shared" si="81"/>
        <v>-54.752405888333371</v>
      </c>
      <c r="BX26" s="93">
        <f t="shared" si="81"/>
        <v>-54.752405888333371</v>
      </c>
      <c r="BY26" s="93">
        <f t="shared" ref="BY26:CK26" si="82">BY22+BY24</f>
        <v>-54.752405888333371</v>
      </c>
      <c r="BZ26" s="93">
        <f t="shared" si="82"/>
        <v>-38.521454640833369</v>
      </c>
      <c r="CA26" s="93">
        <f t="shared" si="82"/>
        <v>-38.521454640833369</v>
      </c>
      <c r="CB26" s="93">
        <f t="shared" si="82"/>
        <v>-38.521454640833369</v>
      </c>
      <c r="CC26" s="93">
        <f t="shared" si="82"/>
        <v>-38.521454640833369</v>
      </c>
      <c r="CD26" s="93">
        <f t="shared" si="82"/>
        <v>-38.521454640833369</v>
      </c>
      <c r="CE26" s="93">
        <f t="shared" si="82"/>
        <v>-38.521454640833369</v>
      </c>
      <c r="CF26" s="93">
        <f t="shared" si="82"/>
        <v>-38.521454640833369</v>
      </c>
      <c r="CG26" s="93">
        <f t="shared" si="82"/>
        <v>-38.521454640833369</v>
      </c>
      <c r="CH26" s="93">
        <f t="shared" si="82"/>
        <v>-38.521454640833369</v>
      </c>
      <c r="CI26" s="93">
        <f t="shared" si="82"/>
        <v>-38.521454640833369</v>
      </c>
      <c r="CJ26" s="93">
        <f t="shared" si="82"/>
        <v>-38.521454640833369</v>
      </c>
      <c r="CK26" s="93">
        <f t="shared" si="82"/>
        <v>-38.521454640833369</v>
      </c>
      <c r="CM26" s="94">
        <f>CM22+CM24</f>
        <v>-705.76716383333337</v>
      </c>
      <c r="CN26" s="94">
        <f t="shared" ref="CN26:CO26" si="83">CN22+CN24</f>
        <v>0</v>
      </c>
      <c r="CO26" s="94">
        <f t="shared" si="83"/>
        <v>-1819.7270166666672</v>
      </c>
      <c r="CP26" s="94">
        <f t="shared" ref="CP26:CQ26" si="84">CP22+CP24</f>
        <v>-1597.946216000001</v>
      </c>
      <c r="CQ26" s="94">
        <f t="shared" si="84"/>
        <v>-1215.9381483999937</v>
      </c>
      <c r="CR26" s="94">
        <f t="shared" ref="CR26:CS26" si="85">CR22+CR24</f>
        <v>-657.02887066000619</v>
      </c>
      <c r="CS26" s="94">
        <f t="shared" si="85"/>
        <v>-462.25745568999753</v>
      </c>
    </row>
    <row r="27" spans="1:97" s="5" customFormat="1" x14ac:dyDescent="0.2">
      <c r="B27" s="5" t="s">
        <v>64</v>
      </c>
      <c r="C27" s="15" t="s">
        <v>59</v>
      </c>
      <c r="L27" s="16">
        <f t="shared" ref="L27:AW27" si="86">IFERROR(L26/L4,"")</f>
        <v>-10.017421743289834</v>
      </c>
      <c r="M27" s="16">
        <f t="shared" si="86"/>
        <v>-1.9506915050253231</v>
      </c>
      <c r="N27" s="16">
        <f t="shared" si="86"/>
        <v>-0.97738891379267256</v>
      </c>
      <c r="O27" s="16">
        <f t="shared" si="86"/>
        <v>-1.9925997059905618</v>
      </c>
      <c r="P27" s="16">
        <f t="shared" si="86"/>
        <v>-2.5447626514207351</v>
      </c>
      <c r="Q27" s="16">
        <f t="shared" si="86"/>
        <v>-2.0781796327991078</v>
      </c>
      <c r="R27" s="16" t="str">
        <f t="shared" si="86"/>
        <v/>
      </c>
      <c r="S27" s="16" t="str">
        <f t="shared" si="86"/>
        <v/>
      </c>
      <c r="T27" s="16" t="str">
        <f t="shared" si="86"/>
        <v/>
      </c>
      <c r="U27" s="16" t="str">
        <f t="shared" si="86"/>
        <v/>
      </c>
      <c r="V27" s="16" t="str">
        <f t="shared" si="86"/>
        <v/>
      </c>
      <c r="W27" s="16" t="str">
        <f t="shared" si="86"/>
        <v/>
      </c>
      <c r="X27" s="16" t="str">
        <f t="shared" si="86"/>
        <v/>
      </c>
      <c r="Y27" s="16" t="str">
        <f t="shared" si="86"/>
        <v/>
      </c>
      <c r="Z27" s="16" t="str">
        <f t="shared" si="86"/>
        <v/>
      </c>
      <c r="AA27" s="16" t="str">
        <f t="shared" si="86"/>
        <v/>
      </c>
      <c r="AB27" s="16" t="str">
        <f t="shared" si="86"/>
        <v/>
      </c>
      <c r="AC27" s="16" t="str">
        <f t="shared" si="86"/>
        <v/>
      </c>
      <c r="AD27" s="16" t="str">
        <f t="shared" si="86"/>
        <v/>
      </c>
      <c r="AE27" s="16" t="str">
        <f t="shared" si="86"/>
        <v/>
      </c>
      <c r="AF27" s="16" t="str">
        <f t="shared" si="86"/>
        <v/>
      </c>
      <c r="AG27" s="16" t="str">
        <f t="shared" si="86"/>
        <v/>
      </c>
      <c r="AH27" s="16">
        <f t="shared" si="86"/>
        <v>-0.17477534006734013</v>
      </c>
      <c r="AI27" s="16">
        <f t="shared" si="86"/>
        <v>-8.8916754208754209E-2</v>
      </c>
      <c r="AJ27" s="16">
        <f t="shared" si="86"/>
        <v>-9.8905530864197552E-2</v>
      </c>
      <c r="AK27" s="16">
        <f t="shared" si="86"/>
        <v>-9.8905530864197552E-2</v>
      </c>
      <c r="AL27" s="16">
        <f t="shared" si="86"/>
        <v>-9.8905530864197552E-2</v>
      </c>
      <c r="AM27" s="16">
        <f t="shared" si="86"/>
        <v>-9.8905530864197552E-2</v>
      </c>
      <c r="AN27" s="16">
        <f t="shared" si="86"/>
        <v>-9.8905530864197552E-2</v>
      </c>
      <c r="AO27" s="16">
        <f t="shared" si="86"/>
        <v>-9.8905530864197552E-2</v>
      </c>
      <c r="AP27" s="16">
        <f t="shared" si="86"/>
        <v>-7.886675931027444E-2</v>
      </c>
      <c r="AQ27" s="16">
        <f t="shared" si="86"/>
        <v>-7.886675931027444E-2</v>
      </c>
      <c r="AR27" s="16">
        <f t="shared" si="86"/>
        <v>-7.886675931027444E-2</v>
      </c>
      <c r="AS27" s="16">
        <f t="shared" si="86"/>
        <v>-7.886675931027444E-2</v>
      </c>
      <c r="AT27" s="16">
        <f t="shared" si="86"/>
        <v>-7.886675931027444E-2</v>
      </c>
      <c r="AU27" s="16">
        <f t="shared" si="86"/>
        <v>-7.886675931027444E-2</v>
      </c>
      <c r="AV27" s="16">
        <f t="shared" si="86"/>
        <v>-7.886675931027444E-2</v>
      </c>
      <c r="AW27" s="16">
        <f t="shared" si="86"/>
        <v>-7.886675931027444E-2</v>
      </c>
      <c r="AX27" s="16">
        <f t="shared" ref="AX27:BU27" si="87">IFERROR(AX26/AX4,"")</f>
        <v>-8.6825130905009665E-2</v>
      </c>
      <c r="AY27" s="16">
        <f t="shared" si="87"/>
        <v>-8.6825130905009665E-2</v>
      </c>
      <c r="AZ27" s="16">
        <f t="shared" si="87"/>
        <v>-8.6825130905009665E-2</v>
      </c>
      <c r="BA27" s="16">
        <f t="shared" si="87"/>
        <v>-8.6825130905009665E-2</v>
      </c>
      <c r="BB27" s="16">
        <f t="shared" si="87"/>
        <v>-5.3940287743486637E-2</v>
      </c>
      <c r="BC27" s="16">
        <f t="shared" si="87"/>
        <v>-5.3940287743486637E-2</v>
      </c>
      <c r="BD27" s="16">
        <f t="shared" si="87"/>
        <v>-5.3940287743486637E-2</v>
      </c>
      <c r="BE27" s="16">
        <f t="shared" si="87"/>
        <v>-5.3940287743486637E-2</v>
      </c>
      <c r="BF27" s="16">
        <f t="shared" si="87"/>
        <v>-5.3940287743486637E-2</v>
      </c>
      <c r="BG27" s="16">
        <f t="shared" si="87"/>
        <v>-5.3940287743486637E-2</v>
      </c>
      <c r="BH27" s="16">
        <f t="shared" si="87"/>
        <v>-5.3940287743486637E-2</v>
      </c>
      <c r="BI27" s="16">
        <f t="shared" si="87"/>
        <v>-5.3940287743486637E-2</v>
      </c>
      <c r="BJ27" s="16">
        <f t="shared" si="87"/>
        <v>-5.3940287743486637E-2</v>
      </c>
      <c r="BK27" s="16">
        <f t="shared" si="87"/>
        <v>-5.3940287743486637E-2</v>
      </c>
      <c r="BL27" s="16">
        <f t="shared" si="87"/>
        <v>-5.3940287743486637E-2</v>
      </c>
      <c r="BM27" s="16">
        <f t="shared" si="87"/>
        <v>-5.3940287743486637E-2</v>
      </c>
      <c r="BN27" s="16">
        <f t="shared" si="87"/>
        <v>-2.5344771950858009E-2</v>
      </c>
      <c r="BO27" s="16">
        <f t="shared" si="87"/>
        <v>-2.5344771950858009E-2</v>
      </c>
      <c r="BP27" s="16">
        <f t="shared" si="87"/>
        <v>-2.5344771950858009E-2</v>
      </c>
      <c r="BQ27" s="16">
        <f t="shared" si="87"/>
        <v>-2.5344771950858009E-2</v>
      </c>
      <c r="BR27" s="16">
        <f t="shared" si="87"/>
        <v>-2.5344771950858009E-2</v>
      </c>
      <c r="BS27" s="16">
        <f t="shared" si="87"/>
        <v>-2.5344771950858009E-2</v>
      </c>
      <c r="BT27" s="16">
        <f t="shared" si="87"/>
        <v>-2.5344771950858009E-2</v>
      </c>
      <c r="BU27" s="16">
        <f t="shared" si="87"/>
        <v>-2.5344771950858009E-2</v>
      </c>
      <c r="BV27" s="16">
        <f t="shared" ref="BV27:BX27" si="88">IFERROR(BV26/BV4,"")</f>
        <v>-2.5344771950858009E-2</v>
      </c>
      <c r="BW27" s="16">
        <f t="shared" si="88"/>
        <v>-2.5344771950858009E-2</v>
      </c>
      <c r="BX27" s="16">
        <f t="shared" si="88"/>
        <v>-2.5344771950858009E-2</v>
      </c>
      <c r="BY27" s="16">
        <f t="shared" ref="BY27:CK27" si="89">IFERROR(BY26/BY4,"")</f>
        <v>-2.5344771950858009E-2</v>
      </c>
      <c r="BZ27" s="16">
        <f t="shared" si="89"/>
        <v>-1.7056216648646795E-2</v>
      </c>
      <c r="CA27" s="16">
        <f t="shared" si="89"/>
        <v>-1.7056216648646795E-2</v>
      </c>
      <c r="CB27" s="16">
        <f t="shared" si="89"/>
        <v>-1.7056216648646795E-2</v>
      </c>
      <c r="CC27" s="16">
        <f t="shared" si="89"/>
        <v>-1.7056216648646795E-2</v>
      </c>
      <c r="CD27" s="16">
        <f t="shared" si="89"/>
        <v>-1.7056216648646795E-2</v>
      </c>
      <c r="CE27" s="16">
        <f t="shared" si="89"/>
        <v>-1.7056216648646795E-2</v>
      </c>
      <c r="CF27" s="16">
        <f t="shared" si="89"/>
        <v>-1.7056216648646795E-2</v>
      </c>
      <c r="CG27" s="16">
        <f t="shared" si="89"/>
        <v>-1.7056216648646795E-2</v>
      </c>
      <c r="CH27" s="16">
        <f t="shared" si="89"/>
        <v>-1.7056216648646795E-2</v>
      </c>
      <c r="CI27" s="16">
        <f t="shared" si="89"/>
        <v>-1.7056216648646795E-2</v>
      </c>
      <c r="CJ27" s="16">
        <f t="shared" si="89"/>
        <v>-1.7056216648646795E-2</v>
      </c>
      <c r="CK27" s="16">
        <f t="shared" si="89"/>
        <v>-1.7056216648646795E-2</v>
      </c>
      <c r="CM27" s="16">
        <f>IFERROR(CM26/CM4,"")</f>
        <v>-2.234913831903945</v>
      </c>
      <c r="CN27" s="16" t="str">
        <f>IFERROR(CN26/CN4,"")</f>
        <v/>
      </c>
      <c r="CO27" s="16">
        <f>IFERROR(CO26/CO4,"")</f>
        <v>-0.16338738645716427</v>
      </c>
      <c r="CP27" s="16">
        <f t="shared" ref="CP27:CQ27" si="90">IFERROR(CP26/CP4,"")</f>
        <v>-8.1519549841852904E-2</v>
      </c>
      <c r="CQ27" s="16">
        <f t="shared" si="90"/>
        <v>-5.3940287743486401E-2</v>
      </c>
      <c r="CR27" s="16">
        <f t="shared" ref="CR27:CS27" si="91">IFERROR(CR26/CR4,"")</f>
        <v>-2.5344771950858238E-2</v>
      </c>
      <c r="CS27" s="16">
        <f t="shared" si="91"/>
        <v>-1.7056216648646687E-2</v>
      </c>
    </row>
    <row r="31" spans="1:97" x14ac:dyDescent="0.2">
      <c r="A31" s="19"/>
      <c r="B31" s="20" t="s">
        <v>89</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row>
    <row r="33" spans="2:99" x14ac:dyDescent="0.2">
      <c r="B33" s="12" t="s">
        <v>65</v>
      </c>
      <c r="F33" s="188" t="s">
        <v>284</v>
      </c>
      <c r="G33" s="188" t="s">
        <v>284</v>
      </c>
      <c r="H33" s="188" t="s">
        <v>284</v>
      </c>
      <c r="I33" s="188" t="s">
        <v>284</v>
      </c>
      <c r="J33" s="188" t="s">
        <v>284</v>
      </c>
      <c r="K33" s="188" t="s">
        <v>284</v>
      </c>
      <c r="L33" s="188" t="s">
        <v>284</v>
      </c>
      <c r="M33" s="188" t="s">
        <v>284</v>
      </c>
      <c r="N33" s="188" t="s">
        <v>284</v>
      </c>
      <c r="O33" s="188" t="s">
        <v>284</v>
      </c>
      <c r="P33" s="188" t="s">
        <v>284</v>
      </c>
      <c r="Q33" s="188" t="s">
        <v>284</v>
      </c>
      <c r="R33" s="3">
        <v>1</v>
      </c>
      <c r="S33" s="3">
        <f>R33+1</f>
        <v>2</v>
      </c>
      <c r="T33" s="3">
        <f t="shared" ref="T33:BX33" si="92">S33+1</f>
        <v>3</v>
      </c>
      <c r="U33" s="3">
        <f t="shared" si="92"/>
        <v>4</v>
      </c>
      <c r="V33" s="3">
        <f t="shared" si="92"/>
        <v>5</v>
      </c>
      <c r="W33" s="3">
        <f t="shared" si="92"/>
        <v>6</v>
      </c>
      <c r="X33" s="3">
        <f t="shared" si="92"/>
        <v>7</v>
      </c>
      <c r="Y33" s="3">
        <f t="shared" si="92"/>
        <v>8</v>
      </c>
      <c r="Z33" s="3">
        <f t="shared" si="92"/>
        <v>9</v>
      </c>
      <c r="AA33" s="3">
        <f t="shared" si="92"/>
        <v>10</v>
      </c>
      <c r="AB33" s="3">
        <f t="shared" si="92"/>
        <v>11</v>
      </c>
      <c r="AC33" s="3">
        <f t="shared" si="92"/>
        <v>12</v>
      </c>
      <c r="AD33" s="3">
        <f t="shared" si="92"/>
        <v>13</v>
      </c>
      <c r="AE33" s="3">
        <f t="shared" si="92"/>
        <v>14</v>
      </c>
      <c r="AF33" s="3">
        <f t="shared" si="92"/>
        <v>15</v>
      </c>
      <c r="AG33" s="3">
        <f t="shared" si="92"/>
        <v>16</v>
      </c>
      <c r="AH33" s="3">
        <f t="shared" si="92"/>
        <v>17</v>
      </c>
      <c r="AI33" s="3">
        <f t="shared" si="92"/>
        <v>18</v>
      </c>
      <c r="AJ33" s="3">
        <f t="shared" si="92"/>
        <v>19</v>
      </c>
      <c r="AK33" s="3">
        <f t="shared" si="92"/>
        <v>20</v>
      </c>
      <c r="AL33" s="3">
        <f t="shared" si="92"/>
        <v>21</v>
      </c>
      <c r="AM33" s="3">
        <f t="shared" si="92"/>
        <v>22</v>
      </c>
      <c r="AN33" s="3">
        <f t="shared" si="92"/>
        <v>23</v>
      </c>
      <c r="AO33" s="3">
        <f t="shared" si="92"/>
        <v>24</v>
      </c>
      <c r="AP33" s="3">
        <f t="shared" si="92"/>
        <v>25</v>
      </c>
      <c r="AQ33" s="3">
        <f t="shared" si="92"/>
        <v>26</v>
      </c>
      <c r="AR33" s="3">
        <f t="shared" si="92"/>
        <v>27</v>
      </c>
      <c r="AS33" s="3">
        <f t="shared" si="92"/>
        <v>28</v>
      </c>
      <c r="AT33" s="3">
        <f t="shared" si="92"/>
        <v>29</v>
      </c>
      <c r="AU33" s="3">
        <f t="shared" si="92"/>
        <v>30</v>
      </c>
      <c r="AV33" s="3">
        <f t="shared" si="92"/>
        <v>31</v>
      </c>
      <c r="AW33" s="3">
        <f t="shared" si="92"/>
        <v>32</v>
      </c>
      <c r="AX33" s="3">
        <f t="shared" si="92"/>
        <v>33</v>
      </c>
      <c r="AY33" s="3">
        <f t="shared" si="92"/>
        <v>34</v>
      </c>
      <c r="AZ33" s="3">
        <f t="shared" si="92"/>
        <v>35</v>
      </c>
      <c r="BA33" s="3">
        <f t="shared" si="92"/>
        <v>36</v>
      </c>
      <c r="BB33" s="3">
        <f t="shared" si="92"/>
        <v>37</v>
      </c>
      <c r="BC33" s="3">
        <f t="shared" si="92"/>
        <v>38</v>
      </c>
      <c r="BD33" s="3">
        <f t="shared" si="92"/>
        <v>39</v>
      </c>
      <c r="BE33" s="3">
        <f t="shared" si="92"/>
        <v>40</v>
      </c>
      <c r="BF33" s="3">
        <f t="shared" si="92"/>
        <v>41</v>
      </c>
      <c r="BG33" s="3">
        <f t="shared" si="92"/>
        <v>42</v>
      </c>
      <c r="BH33" s="3">
        <f t="shared" si="92"/>
        <v>43</v>
      </c>
      <c r="BI33" s="3">
        <f t="shared" si="92"/>
        <v>44</v>
      </c>
      <c r="BJ33" s="3">
        <f t="shared" si="92"/>
        <v>45</v>
      </c>
      <c r="BK33" s="3">
        <f t="shared" si="92"/>
        <v>46</v>
      </c>
      <c r="BL33" s="3">
        <f t="shared" si="92"/>
        <v>47</v>
      </c>
      <c r="BM33" s="3">
        <f t="shared" si="92"/>
        <v>48</v>
      </c>
      <c r="BN33" s="3">
        <f t="shared" si="92"/>
        <v>49</v>
      </c>
      <c r="BO33" s="3">
        <f t="shared" si="92"/>
        <v>50</v>
      </c>
      <c r="BP33" s="3">
        <f t="shared" si="92"/>
        <v>51</v>
      </c>
      <c r="BQ33" s="3">
        <f t="shared" si="92"/>
        <v>52</v>
      </c>
      <c r="BR33" s="3">
        <f t="shared" si="92"/>
        <v>53</v>
      </c>
      <c r="BS33" s="3">
        <f t="shared" si="92"/>
        <v>54</v>
      </c>
      <c r="BT33" s="3">
        <f t="shared" si="92"/>
        <v>55</v>
      </c>
      <c r="BU33" s="3">
        <f t="shared" si="92"/>
        <v>56</v>
      </c>
      <c r="BV33" s="3">
        <f t="shared" si="92"/>
        <v>57</v>
      </c>
      <c r="BW33" s="3">
        <f t="shared" si="92"/>
        <v>58</v>
      </c>
      <c r="BX33" s="3">
        <f t="shared" si="92"/>
        <v>59</v>
      </c>
      <c r="BY33" s="3">
        <f t="shared" ref="BY33" si="93">BX33+1</f>
        <v>60</v>
      </c>
      <c r="BZ33" s="3">
        <f t="shared" ref="BZ33" si="94">BY33+1</f>
        <v>61</v>
      </c>
      <c r="CA33" s="3">
        <f t="shared" ref="CA33" si="95">BZ33+1</f>
        <v>62</v>
      </c>
      <c r="CB33" s="3">
        <f t="shared" ref="CB33" si="96">CA33+1</f>
        <v>63</v>
      </c>
      <c r="CC33" s="3">
        <f t="shared" ref="CC33" si="97">CB33+1</f>
        <v>64</v>
      </c>
      <c r="CD33" s="3">
        <f t="shared" ref="CD33" si="98">CC33+1</f>
        <v>65</v>
      </c>
      <c r="CE33" s="3">
        <f t="shared" ref="CE33" si="99">CD33+1</f>
        <v>66</v>
      </c>
      <c r="CF33" s="3">
        <f t="shared" ref="CF33" si="100">CE33+1</f>
        <v>67</v>
      </c>
      <c r="CG33" s="3">
        <f t="shared" ref="CG33" si="101">CF33+1</f>
        <v>68</v>
      </c>
      <c r="CH33" s="3">
        <f t="shared" ref="CH33" si="102">CG33+1</f>
        <v>69</v>
      </c>
      <c r="CI33" s="3">
        <f t="shared" ref="CI33" si="103">CH33+1</f>
        <v>70</v>
      </c>
      <c r="CJ33" s="3">
        <f t="shared" ref="CJ33" si="104">CI33+1</f>
        <v>71</v>
      </c>
      <c r="CK33" s="3">
        <f t="shared" ref="CK33" si="105">CJ33+1</f>
        <v>72</v>
      </c>
    </row>
    <row r="34" spans="2:99" x14ac:dyDescent="0.2">
      <c r="B34" s="225" t="s">
        <v>1</v>
      </c>
      <c r="C34" s="200" t="s">
        <v>2</v>
      </c>
      <c r="D34" s="200" t="s">
        <v>417</v>
      </c>
      <c r="F34" s="201">
        <f t="shared" ref="F34:K34" si="106">F3</f>
        <v>45292</v>
      </c>
      <c r="G34" s="201">
        <f t="shared" si="106"/>
        <v>45323</v>
      </c>
      <c r="H34" s="201">
        <f t="shared" si="106"/>
        <v>45352</v>
      </c>
      <c r="I34" s="201">
        <f t="shared" si="106"/>
        <v>45383</v>
      </c>
      <c r="J34" s="201">
        <f t="shared" si="106"/>
        <v>45413</v>
      </c>
      <c r="K34" s="201">
        <f t="shared" si="106"/>
        <v>45444</v>
      </c>
      <c r="L34" s="201">
        <f>L3</f>
        <v>45474</v>
      </c>
      <c r="M34" s="201">
        <f t="shared" ref="M34:BU34" si="107">M3</f>
        <v>45505</v>
      </c>
      <c r="N34" s="201">
        <f t="shared" si="107"/>
        <v>45536</v>
      </c>
      <c r="O34" s="201">
        <f t="shared" si="107"/>
        <v>45566</v>
      </c>
      <c r="P34" s="201">
        <f t="shared" si="107"/>
        <v>45597</v>
      </c>
      <c r="Q34" s="201">
        <f t="shared" si="107"/>
        <v>45627</v>
      </c>
      <c r="R34" s="201">
        <f t="shared" si="107"/>
        <v>45658</v>
      </c>
      <c r="S34" s="201">
        <f t="shared" si="107"/>
        <v>45689</v>
      </c>
      <c r="T34" s="201">
        <f t="shared" si="107"/>
        <v>45717</v>
      </c>
      <c r="U34" s="201">
        <f t="shared" si="107"/>
        <v>45748</v>
      </c>
      <c r="V34" s="201">
        <f t="shared" si="107"/>
        <v>45778</v>
      </c>
      <c r="W34" s="201">
        <f t="shared" si="107"/>
        <v>45809</v>
      </c>
      <c r="X34" s="201">
        <f t="shared" si="107"/>
        <v>45839</v>
      </c>
      <c r="Y34" s="201">
        <f t="shared" si="107"/>
        <v>45870</v>
      </c>
      <c r="Z34" s="201">
        <f t="shared" si="107"/>
        <v>45901</v>
      </c>
      <c r="AA34" s="201">
        <f t="shared" si="107"/>
        <v>45931</v>
      </c>
      <c r="AB34" s="201">
        <f t="shared" si="107"/>
        <v>45962</v>
      </c>
      <c r="AC34" s="201">
        <f t="shared" si="107"/>
        <v>45992</v>
      </c>
      <c r="AD34" s="201">
        <f t="shared" si="107"/>
        <v>46023</v>
      </c>
      <c r="AE34" s="201">
        <f t="shared" si="107"/>
        <v>46054</v>
      </c>
      <c r="AF34" s="201">
        <f t="shared" si="107"/>
        <v>46082</v>
      </c>
      <c r="AG34" s="201">
        <f t="shared" si="107"/>
        <v>46113</v>
      </c>
      <c r="AH34" s="201">
        <f t="shared" si="107"/>
        <v>46143</v>
      </c>
      <c r="AI34" s="201">
        <f t="shared" si="107"/>
        <v>46174</v>
      </c>
      <c r="AJ34" s="201">
        <f t="shared" si="107"/>
        <v>46204</v>
      </c>
      <c r="AK34" s="201">
        <f t="shared" si="107"/>
        <v>46235</v>
      </c>
      <c r="AL34" s="201">
        <f t="shared" si="107"/>
        <v>46266</v>
      </c>
      <c r="AM34" s="201">
        <f t="shared" si="107"/>
        <v>46296</v>
      </c>
      <c r="AN34" s="201">
        <f t="shared" si="107"/>
        <v>46327</v>
      </c>
      <c r="AO34" s="201">
        <f t="shared" si="107"/>
        <v>46357</v>
      </c>
      <c r="AP34" s="201">
        <f t="shared" si="107"/>
        <v>46388</v>
      </c>
      <c r="AQ34" s="201">
        <f t="shared" si="107"/>
        <v>46419</v>
      </c>
      <c r="AR34" s="201">
        <f t="shared" si="107"/>
        <v>46447</v>
      </c>
      <c r="AS34" s="201">
        <f t="shared" si="107"/>
        <v>46478</v>
      </c>
      <c r="AT34" s="201">
        <f t="shared" si="107"/>
        <v>46508</v>
      </c>
      <c r="AU34" s="201">
        <f t="shared" si="107"/>
        <v>46539</v>
      </c>
      <c r="AV34" s="201">
        <f t="shared" si="107"/>
        <v>46569</v>
      </c>
      <c r="AW34" s="201">
        <f t="shared" si="107"/>
        <v>46600</v>
      </c>
      <c r="AX34" s="201">
        <f t="shared" si="107"/>
        <v>46631</v>
      </c>
      <c r="AY34" s="201">
        <f t="shared" si="107"/>
        <v>46661</v>
      </c>
      <c r="AZ34" s="201">
        <f t="shared" si="107"/>
        <v>46692</v>
      </c>
      <c r="BA34" s="201">
        <f t="shared" si="107"/>
        <v>46722</v>
      </c>
      <c r="BB34" s="201">
        <f t="shared" si="107"/>
        <v>46753</v>
      </c>
      <c r="BC34" s="201">
        <f t="shared" si="107"/>
        <v>46784</v>
      </c>
      <c r="BD34" s="201">
        <f t="shared" si="107"/>
        <v>46813</v>
      </c>
      <c r="BE34" s="201">
        <f t="shared" si="107"/>
        <v>46844</v>
      </c>
      <c r="BF34" s="201">
        <f t="shared" si="107"/>
        <v>46874</v>
      </c>
      <c r="BG34" s="201">
        <f t="shared" si="107"/>
        <v>46905</v>
      </c>
      <c r="BH34" s="201">
        <f t="shared" si="107"/>
        <v>46935</v>
      </c>
      <c r="BI34" s="201">
        <f t="shared" si="107"/>
        <v>46966</v>
      </c>
      <c r="BJ34" s="201">
        <f t="shared" si="107"/>
        <v>46997</v>
      </c>
      <c r="BK34" s="201">
        <f t="shared" si="107"/>
        <v>47027</v>
      </c>
      <c r="BL34" s="201">
        <f t="shared" si="107"/>
        <v>47058</v>
      </c>
      <c r="BM34" s="201">
        <f t="shared" si="107"/>
        <v>47088</v>
      </c>
      <c r="BN34" s="201">
        <f t="shared" si="107"/>
        <v>47119</v>
      </c>
      <c r="BO34" s="201">
        <f t="shared" si="107"/>
        <v>47150</v>
      </c>
      <c r="BP34" s="201">
        <f t="shared" si="107"/>
        <v>47178</v>
      </c>
      <c r="BQ34" s="201">
        <f t="shared" si="107"/>
        <v>47209</v>
      </c>
      <c r="BR34" s="201">
        <f t="shared" si="107"/>
        <v>47239</v>
      </c>
      <c r="BS34" s="201">
        <f t="shared" si="107"/>
        <v>47270</v>
      </c>
      <c r="BT34" s="201">
        <f t="shared" si="107"/>
        <v>47300</v>
      </c>
      <c r="BU34" s="201">
        <f t="shared" si="107"/>
        <v>47331</v>
      </c>
      <c r="BV34" s="201">
        <f t="shared" ref="BV34:BX34" si="108">BV3</f>
        <v>47362</v>
      </c>
      <c r="BW34" s="201">
        <f t="shared" si="108"/>
        <v>47392</v>
      </c>
      <c r="BX34" s="201">
        <f t="shared" si="108"/>
        <v>47423</v>
      </c>
      <c r="BY34" s="201">
        <f t="shared" ref="BY34:CK34" si="109">BY3</f>
        <v>47453</v>
      </c>
      <c r="BZ34" s="201">
        <f t="shared" si="109"/>
        <v>47484</v>
      </c>
      <c r="CA34" s="201">
        <f t="shared" si="109"/>
        <v>47515</v>
      </c>
      <c r="CB34" s="201">
        <f t="shared" si="109"/>
        <v>47543</v>
      </c>
      <c r="CC34" s="201">
        <f t="shared" si="109"/>
        <v>47574</v>
      </c>
      <c r="CD34" s="201">
        <f t="shared" si="109"/>
        <v>47604</v>
      </c>
      <c r="CE34" s="201">
        <f t="shared" si="109"/>
        <v>47635</v>
      </c>
      <c r="CF34" s="201">
        <f t="shared" si="109"/>
        <v>47665</v>
      </c>
      <c r="CG34" s="201">
        <f t="shared" si="109"/>
        <v>47696</v>
      </c>
      <c r="CH34" s="201">
        <f t="shared" si="109"/>
        <v>47727</v>
      </c>
      <c r="CI34" s="201">
        <f t="shared" si="109"/>
        <v>47757</v>
      </c>
      <c r="CJ34" s="201">
        <f t="shared" si="109"/>
        <v>47788</v>
      </c>
      <c r="CK34" s="201">
        <f t="shared" si="109"/>
        <v>47818</v>
      </c>
      <c r="CM34" s="202">
        <v>2024</v>
      </c>
      <c r="CN34" s="202">
        <f>CM34+1</f>
        <v>2025</v>
      </c>
      <c r="CO34" s="202">
        <f t="shared" ref="CO34" si="110">CN34+1</f>
        <v>2026</v>
      </c>
      <c r="CP34" s="202">
        <f t="shared" ref="CP34" si="111">CO34+1</f>
        <v>2027</v>
      </c>
      <c r="CQ34" s="202">
        <f t="shared" ref="CQ34" si="112">CP34+1</f>
        <v>2028</v>
      </c>
      <c r="CR34" s="202">
        <f t="shared" ref="CR34" si="113">CQ34+1</f>
        <v>2029</v>
      </c>
      <c r="CS34" s="202">
        <f t="shared" ref="CS34" si="114">CR34+1</f>
        <v>2030</v>
      </c>
    </row>
    <row r="35" spans="2:99" x14ac:dyDescent="0.2">
      <c r="B35" s="92" t="s">
        <v>3</v>
      </c>
      <c r="C35" s="97" t="s">
        <v>4</v>
      </c>
      <c r="D35" s="92">
        <v>0.66</v>
      </c>
      <c r="F35" s="10"/>
      <c r="G35" s="10"/>
      <c r="H35" s="10"/>
      <c r="I35" s="10"/>
      <c r="J35" s="10"/>
      <c r="K35" s="10"/>
      <c r="L35" s="10">
        <v>22.913</v>
      </c>
      <c r="M35" s="10">
        <v>63.777000000000001</v>
      </c>
      <c r="N35" s="10">
        <v>120.071</v>
      </c>
      <c r="O35" s="10">
        <v>62.515000000000001</v>
      </c>
      <c r="P35" s="10">
        <v>49.587000000000003</v>
      </c>
      <c r="Q35" s="10">
        <v>60.087000000000003</v>
      </c>
      <c r="R35" s="10"/>
      <c r="S35" s="10"/>
      <c r="T35" s="10"/>
      <c r="U35" s="10"/>
      <c r="V35" s="10"/>
      <c r="W35" s="10"/>
      <c r="X35" s="10"/>
      <c r="Y35" s="10"/>
      <c r="Z35" s="10"/>
      <c r="AA35" s="10"/>
      <c r="AB35" s="10"/>
      <c r="AC35" s="10"/>
      <c r="AD35" s="10">
        <f>$D35*1350*AD41</f>
        <v>0</v>
      </c>
      <c r="AE35" s="10">
        <f t="shared" ref="AE35:AO35" si="115">$D35*1350*AE41</f>
        <v>0</v>
      </c>
      <c r="AF35" s="10">
        <f>$D35*1350*AF41</f>
        <v>0</v>
      </c>
      <c r="AG35" s="10">
        <f t="shared" si="115"/>
        <v>0</v>
      </c>
      <c r="AH35" s="10">
        <f t="shared" si="115"/>
        <v>891</v>
      </c>
      <c r="AI35" s="10">
        <f t="shared" si="115"/>
        <v>1782</v>
      </c>
      <c r="AJ35" s="10">
        <f t="shared" si="115"/>
        <v>1782</v>
      </c>
      <c r="AK35" s="10">
        <f t="shared" si="115"/>
        <v>1782</v>
      </c>
      <c r="AL35" s="10">
        <f t="shared" si="115"/>
        <v>1782</v>
      </c>
      <c r="AM35" s="10">
        <f t="shared" si="115"/>
        <v>1782</v>
      </c>
      <c r="AN35" s="10">
        <f t="shared" si="115"/>
        <v>1782</v>
      </c>
      <c r="AO35" s="10">
        <f t="shared" si="115"/>
        <v>1782</v>
      </c>
      <c r="AP35" s="10">
        <f>$D35*(1+AP40)*1350*AP41</f>
        <v>1960.2000000000003</v>
      </c>
      <c r="AQ35" s="10">
        <f t="shared" ref="AQ35:BA35" si="116">$D35*(1+AQ40)*1350*AQ41</f>
        <v>1960.2000000000003</v>
      </c>
      <c r="AR35" s="10">
        <f t="shared" si="116"/>
        <v>1960.2000000000003</v>
      </c>
      <c r="AS35" s="10">
        <f t="shared" si="116"/>
        <v>1960.2000000000003</v>
      </c>
      <c r="AT35" s="10">
        <f t="shared" si="116"/>
        <v>1960.2000000000003</v>
      </c>
      <c r="AU35" s="10">
        <f t="shared" si="116"/>
        <v>1960.2000000000003</v>
      </c>
      <c r="AV35" s="10">
        <f t="shared" si="116"/>
        <v>1960.2000000000003</v>
      </c>
      <c r="AW35" s="10">
        <f t="shared" si="116"/>
        <v>1960.2000000000003</v>
      </c>
      <c r="AX35" s="10">
        <f t="shared" si="116"/>
        <v>1960.2000000000003</v>
      </c>
      <c r="AY35" s="10">
        <f t="shared" si="116"/>
        <v>1960.2000000000003</v>
      </c>
      <c r="AZ35" s="10">
        <f t="shared" si="116"/>
        <v>1960.2000000000003</v>
      </c>
      <c r="BA35" s="10">
        <f t="shared" si="116"/>
        <v>1960.2000000000003</v>
      </c>
      <c r="BB35" s="10">
        <f>$D35*(1+BB40)*(1+AP40)*1350*BB41</f>
        <v>2254.23</v>
      </c>
      <c r="BC35" s="10">
        <f t="shared" ref="BC35:BM35" si="117">$D35*(1+BC40)*(1+AQ40)*1350*BC41</f>
        <v>2254.23</v>
      </c>
      <c r="BD35" s="10">
        <f t="shared" si="117"/>
        <v>2254.23</v>
      </c>
      <c r="BE35" s="10">
        <f t="shared" si="117"/>
        <v>2254.23</v>
      </c>
      <c r="BF35" s="10">
        <f t="shared" si="117"/>
        <v>2254.23</v>
      </c>
      <c r="BG35" s="10">
        <f t="shared" si="117"/>
        <v>2254.23</v>
      </c>
      <c r="BH35" s="10">
        <f t="shared" si="117"/>
        <v>2254.23</v>
      </c>
      <c r="BI35" s="10">
        <f t="shared" si="117"/>
        <v>2254.23</v>
      </c>
      <c r="BJ35" s="10">
        <f t="shared" si="117"/>
        <v>2254.23</v>
      </c>
      <c r="BK35" s="10">
        <f t="shared" si="117"/>
        <v>2254.23</v>
      </c>
      <c r="BL35" s="10">
        <f t="shared" si="117"/>
        <v>2254.23</v>
      </c>
      <c r="BM35" s="10">
        <f t="shared" si="117"/>
        <v>2254.23</v>
      </c>
      <c r="BN35" s="10">
        <f>$D35*(1+BN40)*(1+BB40)*(1+AP40)*1350*BN41</f>
        <v>2592.3644999999997</v>
      </c>
      <c r="BO35" s="10">
        <f t="shared" ref="BO35:BX35" si="118">$D35*(1+BO40)*(1+BC40)*(1+AQ40)*1350*BO41</f>
        <v>2592.3644999999997</v>
      </c>
      <c r="BP35" s="10">
        <f t="shared" si="118"/>
        <v>2592.3644999999997</v>
      </c>
      <c r="BQ35" s="10">
        <f t="shared" si="118"/>
        <v>2592.3644999999997</v>
      </c>
      <c r="BR35" s="10">
        <f t="shared" si="118"/>
        <v>2592.3644999999997</v>
      </c>
      <c r="BS35" s="10">
        <f t="shared" si="118"/>
        <v>2592.3644999999997</v>
      </c>
      <c r="BT35" s="10">
        <f t="shared" si="118"/>
        <v>2592.3644999999997</v>
      </c>
      <c r="BU35" s="10">
        <f t="shared" si="118"/>
        <v>2592.3644999999997</v>
      </c>
      <c r="BV35" s="10">
        <f t="shared" si="118"/>
        <v>2592.3644999999997</v>
      </c>
      <c r="BW35" s="10">
        <f t="shared" si="118"/>
        <v>2592.3644999999997</v>
      </c>
      <c r="BX35" s="10">
        <f t="shared" si="118"/>
        <v>2592.3644999999997</v>
      </c>
      <c r="BY35" s="10">
        <f t="shared" ref="BY35" si="119">$D35*(1+BY40)*(1+BM40)*(1+BA40)*1350*BY41</f>
        <v>2592.3644999999997</v>
      </c>
      <c r="BZ35" s="10">
        <f t="shared" ref="BZ35" si="120">$D35*(1+BZ40)*(1+BN40)*(1+BB40)*1350*BZ41</f>
        <v>2710.1992499999992</v>
      </c>
      <c r="CA35" s="10">
        <f>$D35*(1+CA40)*(1+BO40)*(1+BC40)*1350*CA41</f>
        <v>2710.1992499999992</v>
      </c>
      <c r="CB35" s="10">
        <f t="shared" ref="CB35" si="121">$D35*(1+CB40)*(1+BP40)*(1+BD40)*1350*CB41</f>
        <v>2710.1992499999992</v>
      </c>
      <c r="CC35" s="10">
        <f t="shared" ref="CC35" si="122">$D35*(1+CC40)*(1+BQ40)*(1+BE40)*1350*CC41</f>
        <v>2710.1992499999992</v>
      </c>
      <c r="CD35" s="10">
        <f t="shared" ref="CD35" si="123">$D35*(1+CD40)*(1+BR40)*(1+BF40)*1350*CD41</f>
        <v>2710.1992499999992</v>
      </c>
      <c r="CE35" s="10">
        <f t="shared" ref="CE35" si="124">$D35*(1+CE40)*(1+BS40)*(1+BG40)*1350*CE41</f>
        <v>2710.1992499999992</v>
      </c>
      <c r="CF35" s="10">
        <f t="shared" ref="CF35" si="125">$D35*(1+CF40)*(1+BT40)*(1+BH40)*1350*CF41</f>
        <v>2710.1992499999992</v>
      </c>
      <c r="CG35" s="10">
        <f t="shared" ref="CG35" si="126">$D35*(1+CG40)*(1+BU40)*(1+BI40)*1350*CG41</f>
        <v>2710.1992499999992</v>
      </c>
      <c r="CH35" s="10">
        <f t="shared" ref="CH35" si="127">$D35*(1+CH40)*(1+BV40)*(1+BJ40)*1350*CH41</f>
        <v>2710.1992499999992</v>
      </c>
      <c r="CI35" s="10">
        <f t="shared" ref="CI35" si="128">$D35*(1+CI40)*(1+BW40)*(1+BK40)*1350*CI41</f>
        <v>2710.1992499999992</v>
      </c>
      <c r="CJ35" s="10">
        <f t="shared" ref="CJ35" si="129">$D35*(1+CJ40)*(1+BX40)*(1+BL40)*1350*CJ41</f>
        <v>2710.1992499999992</v>
      </c>
      <c r="CK35" s="10">
        <f t="shared" ref="CK35" si="130">$D35*(1+CK40)*(1+BY40)*(1+BM40)*1350*CK41</f>
        <v>2710.1992499999992</v>
      </c>
      <c r="CM35" s="10">
        <f>SUMIF($L$2:$CK$2,CM$3,$L35:$CK35)</f>
        <v>378.95</v>
      </c>
      <c r="CN35" s="10">
        <f>SUMIF($L$2:$CK$2,CN$3,$L35:$CK35)</f>
        <v>0</v>
      </c>
      <c r="CO35" s="10">
        <f>SUMIF($L$2:$CK$2,CO$3,$L35:$CK35)</f>
        <v>13365</v>
      </c>
      <c r="CP35" s="10">
        <f>SUMIF($L$2:$CK$2,CP$3,$L35:$CK35)</f>
        <v>23522.400000000005</v>
      </c>
      <c r="CQ35" s="10">
        <f>SUMIF($L$2:$CK$2,CQ$3,$L35:$CK35)</f>
        <v>27050.76</v>
      </c>
      <c r="CR35" s="10">
        <f t="shared" ref="CR35" si="131">SUMIF($L$2:$CK$2,CR$3,$L35:$CK35)</f>
        <v>31108.373999999996</v>
      </c>
      <c r="CS35" s="10">
        <f>SUMIF($L$2:$CK$2,CS$3,$L35:$CK35)</f>
        <v>32522.390999999985</v>
      </c>
    </row>
    <row r="36" spans="2:99" x14ac:dyDescent="0.2">
      <c r="B36" s="190" t="s">
        <v>317</v>
      </c>
      <c r="C36" s="204" t="s">
        <v>59</v>
      </c>
      <c r="D36" s="92"/>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M36" s="10"/>
      <c r="CN36" s="205">
        <f>CN35/CM35-1</f>
        <v>-1</v>
      </c>
      <c r="CO36" s="205"/>
      <c r="CP36" s="205">
        <f t="shared" ref="CP36:CQ36" si="132">CP35/CO35-1</f>
        <v>0.76000000000000045</v>
      </c>
      <c r="CQ36" s="205">
        <f t="shared" si="132"/>
        <v>0.14999999999999969</v>
      </c>
      <c r="CR36" s="205">
        <f t="shared" ref="CR36" si="133">CR35/CQ35-1</f>
        <v>0.14999999999999991</v>
      </c>
      <c r="CS36" s="205">
        <f t="shared" ref="CS36" si="134">CS35/CR35-1</f>
        <v>4.5454545454545192E-2</v>
      </c>
    </row>
    <row r="37" spans="2:99" x14ac:dyDescent="0.2">
      <c r="B37" s="92" t="s">
        <v>5</v>
      </c>
      <c r="C37" s="97" t="s">
        <v>4</v>
      </c>
      <c r="D37" s="92"/>
      <c r="F37" s="10"/>
      <c r="G37" s="10"/>
      <c r="H37" s="10"/>
      <c r="I37" s="10"/>
      <c r="J37" s="10"/>
      <c r="K37" s="10"/>
      <c r="L37" s="10"/>
      <c r="M37" s="10"/>
      <c r="N37" s="10"/>
      <c r="O37" s="10">
        <v>0</v>
      </c>
      <c r="P37" s="10">
        <v>0</v>
      </c>
      <c r="Q37" s="10">
        <v>0</v>
      </c>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M37" s="10">
        <f>SUMIF($L$2:$CK$2,CM$3,$L37:$CK37)</f>
        <v>0</v>
      </c>
      <c r="CN37" s="10">
        <f>SUMIF($L$2:$CK$2,CN$3,$L37:$CK37)</f>
        <v>0</v>
      </c>
      <c r="CO37" s="10">
        <f>SUMIF($L$2:$CK$2,CO$3,$L37:$CK37)</f>
        <v>0</v>
      </c>
      <c r="CP37" s="10">
        <f>SUMIF($L$2:$CK$2,CP$3,$L37:$CK37)</f>
        <v>0</v>
      </c>
      <c r="CQ37" s="10">
        <f>SUMIF($L$2:$CK$2,CQ$3,$L37:$CK37)</f>
        <v>0</v>
      </c>
      <c r="CR37" s="10">
        <f t="shared" ref="CR37:CS37" si="135">SUMIF($L$2:$CK$2,CR$3,$L37:$CK37)</f>
        <v>0</v>
      </c>
      <c r="CS37" s="10">
        <f t="shared" si="135"/>
        <v>0</v>
      </c>
    </row>
    <row r="38" spans="2:99" x14ac:dyDescent="0.2">
      <c r="B38" s="190" t="s">
        <v>317</v>
      </c>
      <c r="C38" s="204" t="s">
        <v>59</v>
      </c>
      <c r="D38" s="92"/>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M38" s="10"/>
      <c r="CN38" s="205"/>
      <c r="CO38" s="205" t="e">
        <f>CO37/CN37-1</f>
        <v>#DIV/0!</v>
      </c>
      <c r="CP38" s="205" t="e">
        <f t="shared" ref="CP38" si="136">CP37/CO37-1</f>
        <v>#DIV/0!</v>
      </c>
      <c r="CQ38" s="205" t="e">
        <f t="shared" ref="CQ38" si="137">CQ37/CP37-1</f>
        <v>#DIV/0!</v>
      </c>
      <c r="CR38" s="205" t="e">
        <f t="shared" ref="CR38" si="138">CR37/CQ37-1</f>
        <v>#DIV/0!</v>
      </c>
      <c r="CS38" s="205" t="e">
        <f t="shared" ref="CS38" si="139">CS37/CR37-1</f>
        <v>#DIV/0!</v>
      </c>
    </row>
    <row r="39" spans="2:99" x14ac:dyDescent="0.2">
      <c r="B39" s="20" t="s">
        <v>6</v>
      </c>
      <c r="C39" s="23" t="s">
        <v>4</v>
      </c>
      <c r="D39" s="23"/>
      <c r="F39" s="24">
        <f t="shared" ref="F39:AK39" si="140">F35+F37</f>
        <v>0</v>
      </c>
      <c r="G39" s="24">
        <f t="shared" si="140"/>
        <v>0</v>
      </c>
      <c r="H39" s="24">
        <f t="shared" si="140"/>
        <v>0</v>
      </c>
      <c r="I39" s="24">
        <f t="shared" si="140"/>
        <v>0</v>
      </c>
      <c r="J39" s="24">
        <f t="shared" si="140"/>
        <v>0</v>
      </c>
      <c r="K39" s="24">
        <f t="shared" si="140"/>
        <v>0</v>
      </c>
      <c r="L39" s="24">
        <f t="shared" si="140"/>
        <v>22.913</v>
      </c>
      <c r="M39" s="24">
        <f t="shared" si="140"/>
        <v>63.777000000000001</v>
      </c>
      <c r="N39" s="24">
        <f t="shared" si="140"/>
        <v>120.071</v>
      </c>
      <c r="O39" s="24">
        <f t="shared" si="140"/>
        <v>62.515000000000001</v>
      </c>
      <c r="P39" s="24">
        <f t="shared" si="140"/>
        <v>49.587000000000003</v>
      </c>
      <c r="Q39" s="24">
        <f t="shared" si="140"/>
        <v>60.087000000000003</v>
      </c>
      <c r="R39" s="24">
        <f t="shared" si="140"/>
        <v>0</v>
      </c>
      <c r="S39" s="24">
        <f t="shared" si="140"/>
        <v>0</v>
      </c>
      <c r="T39" s="24">
        <f t="shared" si="140"/>
        <v>0</v>
      </c>
      <c r="U39" s="24">
        <f t="shared" si="140"/>
        <v>0</v>
      </c>
      <c r="V39" s="24">
        <f t="shared" si="140"/>
        <v>0</v>
      </c>
      <c r="W39" s="24">
        <f t="shared" si="140"/>
        <v>0</v>
      </c>
      <c r="X39" s="24">
        <f t="shared" si="140"/>
        <v>0</v>
      </c>
      <c r="Y39" s="24">
        <f t="shared" si="140"/>
        <v>0</v>
      </c>
      <c r="Z39" s="24">
        <f t="shared" si="140"/>
        <v>0</v>
      </c>
      <c r="AA39" s="24">
        <f t="shared" si="140"/>
        <v>0</v>
      </c>
      <c r="AB39" s="24">
        <f t="shared" si="140"/>
        <v>0</v>
      </c>
      <c r="AC39" s="24">
        <f t="shared" si="140"/>
        <v>0</v>
      </c>
      <c r="AD39" s="24">
        <f t="shared" si="140"/>
        <v>0</v>
      </c>
      <c r="AE39" s="24">
        <f t="shared" si="140"/>
        <v>0</v>
      </c>
      <c r="AF39" s="24">
        <f t="shared" si="140"/>
        <v>0</v>
      </c>
      <c r="AG39" s="24">
        <f t="shared" si="140"/>
        <v>0</v>
      </c>
      <c r="AH39" s="24">
        <f t="shared" si="140"/>
        <v>891</v>
      </c>
      <c r="AI39" s="24">
        <f t="shared" si="140"/>
        <v>1782</v>
      </c>
      <c r="AJ39" s="24">
        <f t="shared" si="140"/>
        <v>1782</v>
      </c>
      <c r="AK39" s="24">
        <f t="shared" si="140"/>
        <v>1782</v>
      </c>
      <c r="AL39" s="24">
        <f t="shared" ref="AL39:BQ39" si="141">AL35+AL37</f>
        <v>1782</v>
      </c>
      <c r="AM39" s="24">
        <f t="shared" si="141"/>
        <v>1782</v>
      </c>
      <c r="AN39" s="24">
        <f t="shared" si="141"/>
        <v>1782</v>
      </c>
      <c r="AO39" s="24">
        <f t="shared" si="141"/>
        <v>1782</v>
      </c>
      <c r="AP39" s="24">
        <f t="shared" si="141"/>
        <v>1960.2000000000003</v>
      </c>
      <c r="AQ39" s="24">
        <f t="shared" si="141"/>
        <v>1960.2000000000003</v>
      </c>
      <c r="AR39" s="24">
        <f t="shared" si="141"/>
        <v>1960.2000000000003</v>
      </c>
      <c r="AS39" s="24">
        <f t="shared" si="141"/>
        <v>1960.2000000000003</v>
      </c>
      <c r="AT39" s="24">
        <f t="shared" si="141"/>
        <v>1960.2000000000003</v>
      </c>
      <c r="AU39" s="24">
        <f t="shared" si="141"/>
        <v>1960.2000000000003</v>
      </c>
      <c r="AV39" s="24">
        <f t="shared" si="141"/>
        <v>1960.2000000000003</v>
      </c>
      <c r="AW39" s="24">
        <f t="shared" si="141"/>
        <v>1960.2000000000003</v>
      </c>
      <c r="AX39" s="24">
        <f t="shared" si="141"/>
        <v>1960.2000000000003</v>
      </c>
      <c r="AY39" s="24">
        <f t="shared" si="141"/>
        <v>1960.2000000000003</v>
      </c>
      <c r="AZ39" s="24">
        <f t="shared" si="141"/>
        <v>1960.2000000000003</v>
      </c>
      <c r="BA39" s="24">
        <f t="shared" si="141"/>
        <v>1960.2000000000003</v>
      </c>
      <c r="BB39" s="24">
        <f t="shared" si="141"/>
        <v>2254.23</v>
      </c>
      <c r="BC39" s="24">
        <f t="shared" si="141"/>
        <v>2254.23</v>
      </c>
      <c r="BD39" s="24">
        <f t="shared" si="141"/>
        <v>2254.23</v>
      </c>
      <c r="BE39" s="24">
        <f t="shared" si="141"/>
        <v>2254.23</v>
      </c>
      <c r="BF39" s="24">
        <f t="shared" si="141"/>
        <v>2254.23</v>
      </c>
      <c r="BG39" s="24">
        <f t="shared" si="141"/>
        <v>2254.23</v>
      </c>
      <c r="BH39" s="24">
        <f t="shared" si="141"/>
        <v>2254.23</v>
      </c>
      <c r="BI39" s="24">
        <f t="shared" si="141"/>
        <v>2254.23</v>
      </c>
      <c r="BJ39" s="24">
        <f t="shared" si="141"/>
        <v>2254.23</v>
      </c>
      <c r="BK39" s="24">
        <f t="shared" si="141"/>
        <v>2254.23</v>
      </c>
      <c r="BL39" s="24">
        <f t="shared" si="141"/>
        <v>2254.23</v>
      </c>
      <c r="BM39" s="24">
        <f t="shared" si="141"/>
        <v>2254.23</v>
      </c>
      <c r="BN39" s="24">
        <f t="shared" si="141"/>
        <v>2592.3644999999997</v>
      </c>
      <c r="BO39" s="24">
        <f t="shared" si="141"/>
        <v>2592.3644999999997</v>
      </c>
      <c r="BP39" s="24">
        <f t="shared" si="141"/>
        <v>2592.3644999999997</v>
      </c>
      <c r="BQ39" s="24">
        <f t="shared" si="141"/>
        <v>2592.3644999999997</v>
      </c>
      <c r="BR39" s="24">
        <f t="shared" ref="BR39:BX39" si="142">BR35+BR37</f>
        <v>2592.3644999999997</v>
      </c>
      <c r="BS39" s="24">
        <f t="shared" si="142"/>
        <v>2592.3644999999997</v>
      </c>
      <c r="BT39" s="24">
        <f t="shared" si="142"/>
        <v>2592.3644999999997</v>
      </c>
      <c r="BU39" s="24">
        <f t="shared" si="142"/>
        <v>2592.3644999999997</v>
      </c>
      <c r="BV39" s="24">
        <f t="shared" si="142"/>
        <v>2592.3644999999997</v>
      </c>
      <c r="BW39" s="24">
        <f t="shared" si="142"/>
        <v>2592.3644999999997</v>
      </c>
      <c r="BX39" s="24">
        <f t="shared" si="142"/>
        <v>2592.3644999999997</v>
      </c>
      <c r="BY39" s="24">
        <f t="shared" ref="BY39:CK39" si="143">BY35+BY37</f>
        <v>2592.3644999999997</v>
      </c>
      <c r="BZ39" s="24">
        <f t="shared" si="143"/>
        <v>2710.1992499999992</v>
      </c>
      <c r="CA39" s="24">
        <f t="shared" si="143"/>
        <v>2710.1992499999992</v>
      </c>
      <c r="CB39" s="24">
        <f t="shared" si="143"/>
        <v>2710.1992499999992</v>
      </c>
      <c r="CC39" s="24">
        <f t="shared" si="143"/>
        <v>2710.1992499999992</v>
      </c>
      <c r="CD39" s="24">
        <f t="shared" si="143"/>
        <v>2710.1992499999992</v>
      </c>
      <c r="CE39" s="24">
        <f t="shared" si="143"/>
        <v>2710.1992499999992</v>
      </c>
      <c r="CF39" s="24">
        <f t="shared" si="143"/>
        <v>2710.1992499999992</v>
      </c>
      <c r="CG39" s="24">
        <f t="shared" si="143"/>
        <v>2710.1992499999992</v>
      </c>
      <c r="CH39" s="24">
        <f t="shared" si="143"/>
        <v>2710.1992499999992</v>
      </c>
      <c r="CI39" s="24">
        <f t="shared" si="143"/>
        <v>2710.1992499999992</v>
      </c>
      <c r="CJ39" s="24">
        <f t="shared" si="143"/>
        <v>2710.1992499999992</v>
      </c>
      <c r="CK39" s="24">
        <f t="shared" si="143"/>
        <v>2710.1992499999992</v>
      </c>
      <c r="CM39" s="24">
        <f>SUMIF($L$2:$CK$2,CM$3,$L39:$CK39)</f>
        <v>378.95</v>
      </c>
      <c r="CN39" s="24">
        <f>SUMIF($L$2:$CK$2,CN$3,$L39:$CK39)</f>
        <v>0</v>
      </c>
      <c r="CO39" s="24">
        <f>SUMIF($L$2:$CK$2,CO$3,$L39:$CK39)</f>
        <v>13365</v>
      </c>
      <c r="CP39" s="24">
        <f>SUMIF($L$2:$CK$2,CP$3,$L39:$CK39)</f>
        <v>23522.400000000005</v>
      </c>
      <c r="CQ39" s="24">
        <f>SUMIF($L$2:$CK$2,CQ$3,$L39:$CK39)</f>
        <v>27050.76</v>
      </c>
      <c r="CR39" s="24">
        <f t="shared" ref="CR39:CS39" si="144">SUMIF($L$2:$CK$2,CR$3,$L39:$CK39)</f>
        <v>31108.373999999996</v>
      </c>
      <c r="CS39" s="24">
        <f t="shared" si="144"/>
        <v>32522.390999999985</v>
      </c>
    </row>
    <row r="40" spans="2:99" s="27" customFormat="1" x14ac:dyDescent="0.2">
      <c r="B40" s="207" t="s">
        <v>318</v>
      </c>
      <c r="L40" s="28"/>
      <c r="M40" s="28"/>
      <c r="N40" s="28"/>
      <c r="O40" s="28"/>
      <c r="P40" s="2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v>0.1</v>
      </c>
      <c r="AQ40" s="208">
        <f t="shared" ref="AQ40:BX40" si="145">AP40</f>
        <v>0.1</v>
      </c>
      <c r="AR40" s="208">
        <f t="shared" si="145"/>
        <v>0.1</v>
      </c>
      <c r="AS40" s="208">
        <f t="shared" si="145"/>
        <v>0.1</v>
      </c>
      <c r="AT40" s="208">
        <f t="shared" si="145"/>
        <v>0.1</v>
      </c>
      <c r="AU40" s="208">
        <f t="shared" si="145"/>
        <v>0.1</v>
      </c>
      <c r="AV40" s="208">
        <f t="shared" si="145"/>
        <v>0.1</v>
      </c>
      <c r="AW40" s="208">
        <f t="shared" si="145"/>
        <v>0.1</v>
      </c>
      <c r="AX40" s="208">
        <f t="shared" si="145"/>
        <v>0.1</v>
      </c>
      <c r="AY40" s="208">
        <f t="shared" si="145"/>
        <v>0.1</v>
      </c>
      <c r="AZ40" s="208">
        <f t="shared" si="145"/>
        <v>0.1</v>
      </c>
      <c r="BA40" s="208">
        <f t="shared" si="145"/>
        <v>0.1</v>
      </c>
      <c r="BB40" s="209">
        <v>0.15</v>
      </c>
      <c r="BC40" s="208">
        <f t="shared" si="145"/>
        <v>0.15</v>
      </c>
      <c r="BD40" s="208">
        <f t="shared" si="145"/>
        <v>0.15</v>
      </c>
      <c r="BE40" s="208">
        <f t="shared" si="145"/>
        <v>0.15</v>
      </c>
      <c r="BF40" s="208">
        <f t="shared" si="145"/>
        <v>0.15</v>
      </c>
      <c r="BG40" s="208">
        <f t="shared" si="145"/>
        <v>0.15</v>
      </c>
      <c r="BH40" s="208">
        <f t="shared" si="145"/>
        <v>0.15</v>
      </c>
      <c r="BI40" s="208">
        <f t="shared" si="145"/>
        <v>0.15</v>
      </c>
      <c r="BJ40" s="208">
        <f t="shared" si="145"/>
        <v>0.15</v>
      </c>
      <c r="BK40" s="208">
        <f t="shared" si="145"/>
        <v>0.15</v>
      </c>
      <c r="BL40" s="208">
        <f t="shared" si="145"/>
        <v>0.15</v>
      </c>
      <c r="BM40" s="208">
        <f t="shared" si="145"/>
        <v>0.15</v>
      </c>
      <c r="BN40" s="208">
        <f t="shared" si="145"/>
        <v>0.15</v>
      </c>
      <c r="BO40" s="208">
        <f t="shared" si="145"/>
        <v>0.15</v>
      </c>
      <c r="BP40" s="208">
        <f t="shared" si="145"/>
        <v>0.15</v>
      </c>
      <c r="BQ40" s="208">
        <f t="shared" si="145"/>
        <v>0.15</v>
      </c>
      <c r="BR40" s="208">
        <f t="shared" si="145"/>
        <v>0.15</v>
      </c>
      <c r="BS40" s="208">
        <f t="shared" si="145"/>
        <v>0.15</v>
      </c>
      <c r="BT40" s="208">
        <f t="shared" si="145"/>
        <v>0.15</v>
      </c>
      <c r="BU40" s="208">
        <f t="shared" si="145"/>
        <v>0.15</v>
      </c>
      <c r="BV40" s="208">
        <f t="shared" si="145"/>
        <v>0.15</v>
      </c>
      <c r="BW40" s="208">
        <f t="shared" si="145"/>
        <v>0.15</v>
      </c>
      <c r="BX40" s="208">
        <f t="shared" si="145"/>
        <v>0.15</v>
      </c>
      <c r="BY40" s="208">
        <f t="shared" ref="BY40:BY41" si="146">BX40</f>
        <v>0.15</v>
      </c>
      <c r="BZ40" s="208">
        <f t="shared" ref="BZ40:BZ41" si="147">BY40</f>
        <v>0.15</v>
      </c>
      <c r="CA40" s="208">
        <f t="shared" ref="CA40:CA41" si="148">BZ40</f>
        <v>0.15</v>
      </c>
      <c r="CB40" s="208">
        <f t="shared" ref="CB40:CB41" si="149">CA40</f>
        <v>0.15</v>
      </c>
      <c r="CC40" s="208">
        <f t="shared" ref="CC40:CC41" si="150">CB40</f>
        <v>0.15</v>
      </c>
      <c r="CD40" s="208">
        <f t="shared" ref="CD40:CD41" si="151">CC40</f>
        <v>0.15</v>
      </c>
      <c r="CE40" s="208">
        <f t="shared" ref="CE40:CE41" si="152">CD40</f>
        <v>0.15</v>
      </c>
      <c r="CF40" s="208">
        <f t="shared" ref="CF40:CF41" si="153">CE40</f>
        <v>0.15</v>
      </c>
      <c r="CG40" s="208">
        <f t="shared" ref="CG40:CG41" si="154">CF40</f>
        <v>0.15</v>
      </c>
      <c r="CH40" s="208">
        <f t="shared" ref="CH40:CH41" si="155">CG40</f>
        <v>0.15</v>
      </c>
      <c r="CI40" s="208">
        <f t="shared" ref="CI40:CI41" si="156">CH40</f>
        <v>0.15</v>
      </c>
      <c r="CJ40" s="208">
        <f t="shared" ref="CJ40:CJ41" si="157">CI40</f>
        <v>0.15</v>
      </c>
      <c r="CK40" s="208">
        <f t="shared" ref="CK40:CK41" si="158">CJ40</f>
        <v>0.15</v>
      </c>
      <c r="CP40" s="208"/>
      <c r="CQ40" s="208"/>
      <c r="CR40" s="208"/>
      <c r="CS40" s="208"/>
      <c r="CT40" s="208"/>
      <c r="CU40" s="208"/>
    </row>
    <row r="41" spans="2:99" x14ac:dyDescent="0.2">
      <c r="B41" s="207" t="s">
        <v>416</v>
      </c>
      <c r="AD41" s="207">
        <v>0</v>
      </c>
      <c r="AE41" s="207">
        <v>0</v>
      </c>
      <c r="AF41" s="207">
        <v>0</v>
      </c>
      <c r="AG41" s="207">
        <v>0</v>
      </c>
      <c r="AH41" s="207">
        <v>1</v>
      </c>
      <c r="AI41" s="207">
        <v>2</v>
      </c>
      <c r="AJ41" s="207">
        <f t="shared" ref="AJ41:BX41" si="159">AI41</f>
        <v>2</v>
      </c>
      <c r="AK41" s="207">
        <f t="shared" si="159"/>
        <v>2</v>
      </c>
      <c r="AL41" s="207">
        <f t="shared" si="159"/>
        <v>2</v>
      </c>
      <c r="AM41" s="207">
        <f t="shared" si="159"/>
        <v>2</v>
      </c>
      <c r="AN41" s="207">
        <f t="shared" si="159"/>
        <v>2</v>
      </c>
      <c r="AO41" s="207">
        <f t="shared" si="159"/>
        <v>2</v>
      </c>
      <c r="AP41" s="207">
        <f t="shared" si="159"/>
        <v>2</v>
      </c>
      <c r="AQ41" s="207">
        <f t="shared" si="159"/>
        <v>2</v>
      </c>
      <c r="AR41" s="207">
        <f t="shared" si="159"/>
        <v>2</v>
      </c>
      <c r="AS41" s="207">
        <f t="shared" si="159"/>
        <v>2</v>
      </c>
      <c r="AT41" s="207">
        <f t="shared" si="159"/>
        <v>2</v>
      </c>
      <c r="AU41" s="207">
        <f t="shared" si="159"/>
        <v>2</v>
      </c>
      <c r="AV41" s="207">
        <f t="shared" si="159"/>
        <v>2</v>
      </c>
      <c r="AW41" s="207">
        <f t="shared" si="159"/>
        <v>2</v>
      </c>
      <c r="AX41" s="207">
        <f t="shared" si="159"/>
        <v>2</v>
      </c>
      <c r="AY41" s="207">
        <f t="shared" si="159"/>
        <v>2</v>
      </c>
      <c r="AZ41" s="207">
        <f t="shared" si="159"/>
        <v>2</v>
      </c>
      <c r="BA41" s="207">
        <f t="shared" si="159"/>
        <v>2</v>
      </c>
      <c r="BB41" s="207">
        <f t="shared" si="159"/>
        <v>2</v>
      </c>
      <c r="BC41" s="207">
        <f t="shared" si="159"/>
        <v>2</v>
      </c>
      <c r="BD41" s="207">
        <f t="shared" si="159"/>
        <v>2</v>
      </c>
      <c r="BE41" s="207">
        <f t="shared" si="159"/>
        <v>2</v>
      </c>
      <c r="BF41" s="207">
        <f t="shared" si="159"/>
        <v>2</v>
      </c>
      <c r="BG41" s="207">
        <f t="shared" si="159"/>
        <v>2</v>
      </c>
      <c r="BH41" s="207">
        <f t="shared" si="159"/>
        <v>2</v>
      </c>
      <c r="BI41" s="207">
        <f t="shared" si="159"/>
        <v>2</v>
      </c>
      <c r="BJ41" s="207">
        <f t="shared" si="159"/>
        <v>2</v>
      </c>
      <c r="BK41" s="207">
        <f t="shared" si="159"/>
        <v>2</v>
      </c>
      <c r="BL41" s="207">
        <f t="shared" si="159"/>
        <v>2</v>
      </c>
      <c r="BM41" s="207">
        <f t="shared" si="159"/>
        <v>2</v>
      </c>
      <c r="BN41" s="207">
        <f t="shared" si="159"/>
        <v>2</v>
      </c>
      <c r="BO41" s="207">
        <f t="shared" si="159"/>
        <v>2</v>
      </c>
      <c r="BP41" s="207">
        <f t="shared" si="159"/>
        <v>2</v>
      </c>
      <c r="BQ41" s="207">
        <f t="shared" si="159"/>
        <v>2</v>
      </c>
      <c r="BR41" s="207">
        <f t="shared" si="159"/>
        <v>2</v>
      </c>
      <c r="BS41" s="207">
        <f t="shared" si="159"/>
        <v>2</v>
      </c>
      <c r="BT41" s="207">
        <f t="shared" si="159"/>
        <v>2</v>
      </c>
      <c r="BU41" s="207">
        <f t="shared" si="159"/>
        <v>2</v>
      </c>
      <c r="BV41" s="207">
        <f t="shared" si="159"/>
        <v>2</v>
      </c>
      <c r="BW41" s="207">
        <f t="shared" si="159"/>
        <v>2</v>
      </c>
      <c r="BX41" s="207">
        <f t="shared" si="159"/>
        <v>2</v>
      </c>
      <c r="BY41" s="207">
        <f t="shared" si="146"/>
        <v>2</v>
      </c>
      <c r="BZ41" s="207">
        <f t="shared" si="147"/>
        <v>2</v>
      </c>
      <c r="CA41" s="207">
        <f t="shared" si="148"/>
        <v>2</v>
      </c>
      <c r="CB41" s="207">
        <f t="shared" si="149"/>
        <v>2</v>
      </c>
      <c r="CC41" s="207">
        <f t="shared" si="150"/>
        <v>2</v>
      </c>
      <c r="CD41" s="207">
        <f t="shared" si="151"/>
        <v>2</v>
      </c>
      <c r="CE41" s="207">
        <f t="shared" si="152"/>
        <v>2</v>
      </c>
      <c r="CF41" s="207">
        <f t="shared" si="153"/>
        <v>2</v>
      </c>
      <c r="CG41" s="207">
        <f t="shared" si="154"/>
        <v>2</v>
      </c>
      <c r="CH41" s="207">
        <f t="shared" si="155"/>
        <v>2</v>
      </c>
      <c r="CI41" s="207">
        <f t="shared" si="156"/>
        <v>2</v>
      </c>
      <c r="CJ41" s="207">
        <f t="shared" si="157"/>
        <v>2</v>
      </c>
      <c r="CK41" s="207">
        <f t="shared" si="158"/>
        <v>2</v>
      </c>
    </row>
    <row r="42" spans="2:99" x14ac:dyDescent="0.2">
      <c r="B42" s="12" t="s">
        <v>66</v>
      </c>
    </row>
    <row r="43" spans="2:99" x14ac:dyDescent="0.2">
      <c r="B43" s="200" t="s">
        <v>1</v>
      </c>
      <c r="C43" s="200" t="s">
        <v>2</v>
      </c>
      <c r="D43" s="200" t="s">
        <v>38</v>
      </c>
      <c r="F43" s="201">
        <f t="shared" ref="F43:AK43" si="160">F34</f>
        <v>45292</v>
      </c>
      <c r="G43" s="201">
        <f t="shared" si="160"/>
        <v>45323</v>
      </c>
      <c r="H43" s="201">
        <f t="shared" si="160"/>
        <v>45352</v>
      </c>
      <c r="I43" s="201">
        <f t="shared" si="160"/>
        <v>45383</v>
      </c>
      <c r="J43" s="201">
        <f t="shared" si="160"/>
        <v>45413</v>
      </c>
      <c r="K43" s="201">
        <f t="shared" si="160"/>
        <v>45444</v>
      </c>
      <c r="L43" s="201">
        <f t="shared" si="160"/>
        <v>45474</v>
      </c>
      <c r="M43" s="201">
        <f t="shared" si="160"/>
        <v>45505</v>
      </c>
      <c r="N43" s="201">
        <f t="shared" si="160"/>
        <v>45536</v>
      </c>
      <c r="O43" s="201">
        <f t="shared" si="160"/>
        <v>45566</v>
      </c>
      <c r="P43" s="201">
        <f t="shared" si="160"/>
        <v>45597</v>
      </c>
      <c r="Q43" s="201">
        <f t="shared" si="160"/>
        <v>45627</v>
      </c>
      <c r="R43" s="201">
        <f t="shared" si="160"/>
        <v>45658</v>
      </c>
      <c r="S43" s="201">
        <f t="shared" si="160"/>
        <v>45689</v>
      </c>
      <c r="T43" s="201">
        <f t="shared" si="160"/>
        <v>45717</v>
      </c>
      <c r="U43" s="201">
        <f t="shared" si="160"/>
        <v>45748</v>
      </c>
      <c r="V43" s="201">
        <f t="shared" si="160"/>
        <v>45778</v>
      </c>
      <c r="W43" s="201">
        <f t="shared" si="160"/>
        <v>45809</v>
      </c>
      <c r="X43" s="201">
        <f t="shared" si="160"/>
        <v>45839</v>
      </c>
      <c r="Y43" s="201">
        <f t="shared" si="160"/>
        <v>45870</v>
      </c>
      <c r="Z43" s="201">
        <f t="shared" si="160"/>
        <v>45901</v>
      </c>
      <c r="AA43" s="201">
        <f t="shared" si="160"/>
        <v>45931</v>
      </c>
      <c r="AB43" s="201">
        <f t="shared" si="160"/>
        <v>45962</v>
      </c>
      <c r="AC43" s="201">
        <f t="shared" si="160"/>
        <v>45992</v>
      </c>
      <c r="AD43" s="201">
        <f t="shared" si="160"/>
        <v>46023</v>
      </c>
      <c r="AE43" s="201">
        <f t="shared" si="160"/>
        <v>46054</v>
      </c>
      <c r="AF43" s="201">
        <f t="shared" si="160"/>
        <v>46082</v>
      </c>
      <c r="AG43" s="201">
        <f t="shared" si="160"/>
        <v>46113</v>
      </c>
      <c r="AH43" s="201">
        <f t="shared" si="160"/>
        <v>46143</v>
      </c>
      <c r="AI43" s="201">
        <f t="shared" si="160"/>
        <v>46174</v>
      </c>
      <c r="AJ43" s="201">
        <f t="shared" si="160"/>
        <v>46204</v>
      </c>
      <c r="AK43" s="201">
        <f t="shared" si="160"/>
        <v>46235</v>
      </c>
      <c r="AL43" s="201">
        <f t="shared" ref="AL43:BQ43" si="161">AL34</f>
        <v>46266</v>
      </c>
      <c r="AM43" s="201">
        <f t="shared" si="161"/>
        <v>46296</v>
      </c>
      <c r="AN43" s="201">
        <f t="shared" si="161"/>
        <v>46327</v>
      </c>
      <c r="AO43" s="201">
        <f t="shared" si="161"/>
        <v>46357</v>
      </c>
      <c r="AP43" s="201">
        <f t="shared" si="161"/>
        <v>46388</v>
      </c>
      <c r="AQ43" s="201">
        <f t="shared" si="161"/>
        <v>46419</v>
      </c>
      <c r="AR43" s="201">
        <f t="shared" si="161"/>
        <v>46447</v>
      </c>
      <c r="AS43" s="201">
        <f t="shared" si="161"/>
        <v>46478</v>
      </c>
      <c r="AT43" s="201">
        <f t="shared" si="161"/>
        <v>46508</v>
      </c>
      <c r="AU43" s="201">
        <f t="shared" si="161"/>
        <v>46539</v>
      </c>
      <c r="AV43" s="201">
        <f t="shared" si="161"/>
        <v>46569</v>
      </c>
      <c r="AW43" s="201">
        <f t="shared" si="161"/>
        <v>46600</v>
      </c>
      <c r="AX43" s="201">
        <f t="shared" si="161"/>
        <v>46631</v>
      </c>
      <c r="AY43" s="201">
        <f t="shared" si="161"/>
        <v>46661</v>
      </c>
      <c r="AZ43" s="201">
        <f t="shared" si="161"/>
        <v>46692</v>
      </c>
      <c r="BA43" s="201">
        <f t="shared" si="161"/>
        <v>46722</v>
      </c>
      <c r="BB43" s="201">
        <f t="shared" si="161"/>
        <v>46753</v>
      </c>
      <c r="BC43" s="201">
        <f t="shared" si="161"/>
        <v>46784</v>
      </c>
      <c r="BD43" s="201">
        <f t="shared" si="161"/>
        <v>46813</v>
      </c>
      <c r="BE43" s="201">
        <f t="shared" si="161"/>
        <v>46844</v>
      </c>
      <c r="BF43" s="201">
        <f t="shared" si="161"/>
        <v>46874</v>
      </c>
      <c r="BG43" s="201">
        <f t="shared" si="161"/>
        <v>46905</v>
      </c>
      <c r="BH43" s="201">
        <f t="shared" si="161"/>
        <v>46935</v>
      </c>
      <c r="BI43" s="201">
        <f t="shared" si="161"/>
        <v>46966</v>
      </c>
      <c r="BJ43" s="201">
        <f t="shared" si="161"/>
        <v>46997</v>
      </c>
      <c r="BK43" s="201">
        <f t="shared" si="161"/>
        <v>47027</v>
      </c>
      <c r="BL43" s="201">
        <f t="shared" si="161"/>
        <v>47058</v>
      </c>
      <c r="BM43" s="201">
        <f t="shared" si="161"/>
        <v>47088</v>
      </c>
      <c r="BN43" s="201">
        <f t="shared" si="161"/>
        <v>47119</v>
      </c>
      <c r="BO43" s="201">
        <f t="shared" si="161"/>
        <v>47150</v>
      </c>
      <c r="BP43" s="201">
        <f t="shared" si="161"/>
        <v>47178</v>
      </c>
      <c r="BQ43" s="201">
        <f t="shared" si="161"/>
        <v>47209</v>
      </c>
      <c r="BR43" s="201">
        <f t="shared" ref="BR43:BX43" si="162">BR34</f>
        <v>47239</v>
      </c>
      <c r="BS43" s="201">
        <f t="shared" si="162"/>
        <v>47270</v>
      </c>
      <c r="BT43" s="201">
        <f t="shared" si="162"/>
        <v>47300</v>
      </c>
      <c r="BU43" s="201">
        <f t="shared" si="162"/>
        <v>47331</v>
      </c>
      <c r="BV43" s="201">
        <f t="shared" si="162"/>
        <v>47362</v>
      </c>
      <c r="BW43" s="201">
        <f t="shared" si="162"/>
        <v>47392</v>
      </c>
      <c r="BX43" s="201">
        <f t="shared" si="162"/>
        <v>47423</v>
      </c>
      <c r="BY43" s="201">
        <f t="shared" ref="BY43:CK43" si="163">BY34</f>
        <v>47453</v>
      </c>
      <c r="BZ43" s="201">
        <f t="shared" si="163"/>
        <v>47484</v>
      </c>
      <c r="CA43" s="201">
        <f t="shared" si="163"/>
        <v>47515</v>
      </c>
      <c r="CB43" s="201">
        <f t="shared" si="163"/>
        <v>47543</v>
      </c>
      <c r="CC43" s="201">
        <f t="shared" si="163"/>
        <v>47574</v>
      </c>
      <c r="CD43" s="201">
        <f t="shared" si="163"/>
        <v>47604</v>
      </c>
      <c r="CE43" s="201">
        <f t="shared" si="163"/>
        <v>47635</v>
      </c>
      <c r="CF43" s="201">
        <f t="shared" si="163"/>
        <v>47665</v>
      </c>
      <c r="CG43" s="201">
        <f t="shared" si="163"/>
        <v>47696</v>
      </c>
      <c r="CH43" s="201">
        <f t="shared" si="163"/>
        <v>47727</v>
      </c>
      <c r="CI43" s="201">
        <f t="shared" si="163"/>
        <v>47757</v>
      </c>
      <c r="CJ43" s="201">
        <f t="shared" si="163"/>
        <v>47788</v>
      </c>
      <c r="CK43" s="201">
        <f t="shared" si="163"/>
        <v>47818</v>
      </c>
      <c r="CM43" s="202">
        <v>2024</v>
      </c>
      <c r="CN43" s="202">
        <f>CM43+1</f>
        <v>2025</v>
      </c>
      <c r="CO43" s="202">
        <f t="shared" ref="CO43" si="164">CN43+1</f>
        <v>2026</v>
      </c>
      <c r="CP43" s="202">
        <f t="shared" ref="CP43" si="165">CO43+1</f>
        <v>2027</v>
      </c>
      <c r="CQ43" s="202">
        <f t="shared" ref="CQ43" si="166">CP43+1</f>
        <v>2028</v>
      </c>
      <c r="CR43" s="202">
        <f t="shared" ref="CR43" si="167">CQ43+1</f>
        <v>2029</v>
      </c>
      <c r="CS43" s="202">
        <f t="shared" ref="CS43" si="168">CR43+1</f>
        <v>2030</v>
      </c>
    </row>
    <row r="44" spans="2:99" x14ac:dyDescent="0.2">
      <c r="B44" s="96" t="s">
        <v>7</v>
      </c>
      <c r="C44" s="96"/>
      <c r="D44" s="96"/>
      <c r="F44" s="21">
        <f t="shared" ref="F44:K44" si="169">SUM(F45:F46)</f>
        <v>0</v>
      </c>
      <c r="G44" s="21">
        <f t="shared" si="169"/>
        <v>0</v>
      </c>
      <c r="H44" s="21">
        <f t="shared" si="169"/>
        <v>0</v>
      </c>
      <c r="I44" s="21">
        <f t="shared" si="169"/>
        <v>0</v>
      </c>
      <c r="J44" s="21">
        <f t="shared" si="169"/>
        <v>0</v>
      </c>
      <c r="K44" s="21">
        <f t="shared" si="169"/>
        <v>0</v>
      </c>
      <c r="L44" s="21">
        <f t="shared" ref="L44:AW44" si="170">SUM(L45:L46)</f>
        <v>35.80997</v>
      </c>
      <c r="M44" s="21">
        <f t="shared" si="170"/>
        <v>64.006129999999999</v>
      </c>
      <c r="N44" s="21">
        <f t="shared" si="170"/>
        <v>102.84898999999999</v>
      </c>
      <c r="O44" s="21">
        <f t="shared" si="170"/>
        <v>63.135349999999995</v>
      </c>
      <c r="P44" s="21">
        <f t="shared" si="170"/>
        <v>54.215029999999999</v>
      </c>
      <c r="Q44" s="21">
        <f t="shared" si="170"/>
        <v>61.460029999999996</v>
      </c>
      <c r="R44" s="21">
        <f t="shared" si="170"/>
        <v>0</v>
      </c>
      <c r="S44" s="21">
        <f t="shared" si="170"/>
        <v>0</v>
      </c>
      <c r="T44" s="21">
        <f t="shared" si="170"/>
        <v>0</v>
      </c>
      <c r="U44" s="21">
        <f t="shared" si="170"/>
        <v>0</v>
      </c>
      <c r="V44" s="21">
        <f t="shared" si="170"/>
        <v>0</v>
      </c>
      <c r="W44" s="21">
        <f t="shared" si="170"/>
        <v>0</v>
      </c>
      <c r="X44" s="21">
        <f t="shared" si="170"/>
        <v>0</v>
      </c>
      <c r="Y44" s="21">
        <f t="shared" si="170"/>
        <v>0</v>
      </c>
      <c r="Z44" s="21">
        <f t="shared" si="170"/>
        <v>0</v>
      </c>
      <c r="AA44" s="21">
        <f t="shared" si="170"/>
        <v>0</v>
      </c>
      <c r="AB44" s="21">
        <f t="shared" si="170"/>
        <v>0</v>
      </c>
      <c r="AC44" s="21">
        <f t="shared" si="170"/>
        <v>0</v>
      </c>
      <c r="AD44" s="21">
        <f t="shared" si="170"/>
        <v>0</v>
      </c>
      <c r="AE44" s="21">
        <f t="shared" si="170"/>
        <v>0</v>
      </c>
      <c r="AF44" s="21">
        <f t="shared" si="170"/>
        <v>20</v>
      </c>
      <c r="AG44" s="21">
        <f t="shared" si="170"/>
        <v>425</v>
      </c>
      <c r="AH44" s="21">
        <f t="shared" si="170"/>
        <v>599.15</v>
      </c>
      <c r="AI44" s="21">
        <f t="shared" si="170"/>
        <v>1178.3</v>
      </c>
      <c r="AJ44" s="21">
        <f t="shared" si="170"/>
        <v>1178.3</v>
      </c>
      <c r="AK44" s="21">
        <f t="shared" si="170"/>
        <v>1178.3</v>
      </c>
      <c r="AL44" s="21">
        <f t="shared" si="170"/>
        <v>1178.3</v>
      </c>
      <c r="AM44" s="21">
        <f t="shared" si="170"/>
        <v>1178.3</v>
      </c>
      <c r="AN44" s="21">
        <f t="shared" si="170"/>
        <v>1178.3</v>
      </c>
      <c r="AO44" s="21">
        <f t="shared" si="170"/>
        <v>1178.3</v>
      </c>
      <c r="AP44" s="21">
        <f t="shared" si="170"/>
        <v>1294.1300000000001</v>
      </c>
      <c r="AQ44" s="21">
        <f t="shared" si="170"/>
        <v>1294.1300000000001</v>
      </c>
      <c r="AR44" s="21">
        <f t="shared" si="170"/>
        <v>1294.1300000000001</v>
      </c>
      <c r="AS44" s="21">
        <f t="shared" si="170"/>
        <v>1294.1300000000001</v>
      </c>
      <c r="AT44" s="21">
        <f t="shared" si="170"/>
        <v>1294.1300000000001</v>
      </c>
      <c r="AU44" s="21">
        <f t="shared" si="170"/>
        <v>1294.1300000000001</v>
      </c>
      <c r="AV44" s="21">
        <f t="shared" si="170"/>
        <v>1294.1300000000001</v>
      </c>
      <c r="AW44" s="21">
        <f t="shared" si="170"/>
        <v>1294.1300000000001</v>
      </c>
      <c r="AX44" s="21">
        <f t="shared" ref="AX44" si="171">SUM(AX45:AX46)</f>
        <v>1294.1300000000001</v>
      </c>
      <c r="AY44" s="21">
        <f t="shared" ref="AY44" si="172">SUM(AY45:AY46)</f>
        <v>1294.1300000000001</v>
      </c>
      <c r="AZ44" s="21">
        <f t="shared" ref="AZ44" si="173">SUM(AZ45:AZ46)</f>
        <v>1294.1300000000001</v>
      </c>
      <c r="BA44" s="21">
        <f t="shared" ref="BA44" si="174">SUM(BA45:BA46)</f>
        <v>1294.1300000000001</v>
      </c>
      <c r="BB44" s="21">
        <f t="shared" ref="BB44" si="175">SUM(BB45:BB46)</f>
        <v>1485.2495000000001</v>
      </c>
      <c r="BC44" s="21">
        <f t="shared" ref="BC44" si="176">SUM(BC45:BC46)</f>
        <v>1485.2495000000001</v>
      </c>
      <c r="BD44" s="21">
        <f t="shared" ref="BD44" si="177">SUM(BD45:BD46)</f>
        <v>1485.2495000000001</v>
      </c>
      <c r="BE44" s="21">
        <f t="shared" ref="BE44" si="178">SUM(BE45:BE46)</f>
        <v>1485.2495000000001</v>
      </c>
      <c r="BF44" s="21">
        <f t="shared" ref="BF44" si="179">SUM(BF45:BF46)</f>
        <v>1485.2495000000001</v>
      </c>
      <c r="BG44" s="21">
        <f t="shared" ref="BG44" si="180">SUM(BG45:BG46)</f>
        <v>1485.2495000000001</v>
      </c>
      <c r="BH44" s="21">
        <f t="shared" ref="BH44" si="181">SUM(BH45:BH46)</f>
        <v>1485.2495000000001</v>
      </c>
      <c r="BI44" s="21">
        <f t="shared" ref="BI44" si="182">SUM(BI45:BI46)</f>
        <v>1485.2495000000001</v>
      </c>
      <c r="BJ44" s="21">
        <f t="shared" ref="BJ44" si="183">SUM(BJ45:BJ46)</f>
        <v>1485.2495000000001</v>
      </c>
      <c r="BK44" s="21">
        <f t="shared" ref="BK44" si="184">SUM(BK45:BK46)</f>
        <v>1485.2495000000001</v>
      </c>
      <c r="BL44" s="21">
        <f t="shared" ref="BL44" si="185">SUM(BL45:BL46)</f>
        <v>1485.2495000000001</v>
      </c>
      <c r="BM44" s="21">
        <f t="shared" ref="BM44" si="186">SUM(BM45:BM46)</f>
        <v>1485.2495000000001</v>
      </c>
      <c r="BN44" s="21">
        <f t="shared" ref="BN44" si="187">SUM(BN45:BN46)</f>
        <v>1705.0369249999999</v>
      </c>
      <c r="BO44" s="21">
        <f t="shared" ref="BO44" si="188">SUM(BO45:BO46)</f>
        <v>1705.0369249999999</v>
      </c>
      <c r="BP44" s="21">
        <f t="shared" ref="BP44" si="189">SUM(BP45:BP46)</f>
        <v>1705.0369249999999</v>
      </c>
      <c r="BQ44" s="21">
        <f t="shared" ref="BQ44" si="190">SUM(BQ45:BQ46)</f>
        <v>1705.0369249999999</v>
      </c>
      <c r="BR44" s="21">
        <f t="shared" ref="BR44" si="191">SUM(BR45:BR46)</f>
        <v>1705.0369249999999</v>
      </c>
      <c r="BS44" s="21">
        <f t="shared" ref="BS44" si="192">SUM(BS45:BS46)</f>
        <v>1705.0369249999999</v>
      </c>
      <c r="BT44" s="21">
        <f t="shared" ref="BT44" si="193">SUM(BT45:BT46)</f>
        <v>1705.0369249999999</v>
      </c>
      <c r="BU44" s="21">
        <f t="shared" ref="BU44:BX44" si="194">SUM(BU45:BU46)</f>
        <v>1705.0369249999999</v>
      </c>
      <c r="BV44" s="21">
        <f t="shared" si="194"/>
        <v>1705.0369249999999</v>
      </c>
      <c r="BW44" s="21">
        <f t="shared" si="194"/>
        <v>1705.0369249999999</v>
      </c>
      <c r="BX44" s="21">
        <f t="shared" si="194"/>
        <v>1705.0369249999999</v>
      </c>
      <c r="BY44" s="21">
        <f t="shared" ref="BY44:CK44" si="195">SUM(BY45:BY46)</f>
        <v>1705.0369249999999</v>
      </c>
      <c r="BZ44" s="21">
        <f t="shared" si="195"/>
        <v>1781.6295124999995</v>
      </c>
      <c r="CA44" s="21">
        <f t="shared" si="195"/>
        <v>1781.6295124999995</v>
      </c>
      <c r="CB44" s="21">
        <f t="shared" si="195"/>
        <v>1781.6295124999995</v>
      </c>
      <c r="CC44" s="21">
        <f t="shared" si="195"/>
        <v>1781.6295124999995</v>
      </c>
      <c r="CD44" s="21">
        <f t="shared" si="195"/>
        <v>1781.6295124999995</v>
      </c>
      <c r="CE44" s="21">
        <f t="shared" si="195"/>
        <v>1781.6295124999995</v>
      </c>
      <c r="CF44" s="21">
        <f t="shared" si="195"/>
        <v>1781.6295124999995</v>
      </c>
      <c r="CG44" s="21">
        <f t="shared" si="195"/>
        <v>1781.6295124999995</v>
      </c>
      <c r="CH44" s="21">
        <f t="shared" si="195"/>
        <v>1781.6295124999995</v>
      </c>
      <c r="CI44" s="21">
        <f t="shared" si="195"/>
        <v>1781.6295124999995</v>
      </c>
      <c r="CJ44" s="21">
        <f t="shared" si="195"/>
        <v>1781.6295124999995</v>
      </c>
      <c r="CK44" s="21">
        <f t="shared" si="195"/>
        <v>1781.6295124999995</v>
      </c>
      <c r="CM44" s="21">
        <f t="shared" ref="CM44:CQ53" si="196">SUMIF($L$2:$CK$2,CM$3,$L44:$CK44)</f>
        <v>381.47550000000001</v>
      </c>
      <c r="CN44" s="21">
        <f t="shared" si="196"/>
        <v>0</v>
      </c>
      <c r="CO44" s="21">
        <f t="shared" si="196"/>
        <v>9292.25</v>
      </c>
      <c r="CP44" s="21">
        <f t="shared" si="196"/>
        <v>15529.560000000005</v>
      </c>
      <c r="CQ44" s="21">
        <f t="shared" si="196"/>
        <v>17822.994000000002</v>
      </c>
      <c r="CR44" s="21">
        <f t="shared" ref="CR44:CS59" si="197">SUMIF($L$2:$CK$2,CR$3,$L44:$CK44)</f>
        <v>20460.4431</v>
      </c>
      <c r="CS44" s="21">
        <f t="shared" si="197"/>
        <v>21379.554149999993</v>
      </c>
    </row>
    <row r="45" spans="2:99" outlineLevel="1" x14ac:dyDescent="0.2">
      <c r="B45" s="95" t="s">
        <v>8</v>
      </c>
      <c r="C45" s="92" t="s">
        <v>39</v>
      </c>
      <c r="D45" s="103">
        <v>0.65</v>
      </c>
      <c r="F45" s="22"/>
      <c r="G45" s="22"/>
      <c r="H45" s="22"/>
      <c r="I45" s="22"/>
      <c r="J45" s="22"/>
      <c r="K45" s="22"/>
      <c r="L45" s="22">
        <f t="shared" ref="L45:N45" si="198">L$39*0.69</f>
        <v>15.809969999999998</v>
      </c>
      <c r="M45" s="22">
        <f t="shared" si="198"/>
        <v>44.006129999999999</v>
      </c>
      <c r="N45" s="22">
        <f t="shared" si="198"/>
        <v>82.848989999999986</v>
      </c>
      <c r="O45" s="22">
        <f>O$39*0.69</f>
        <v>43.135349999999995</v>
      </c>
      <c r="P45" s="22">
        <f t="shared" ref="P45:AC45" si="199">P$39*0.69</f>
        <v>34.215029999999999</v>
      </c>
      <c r="Q45" s="22">
        <f t="shared" si="199"/>
        <v>41.460029999999996</v>
      </c>
      <c r="R45" s="22">
        <f t="shared" si="199"/>
        <v>0</v>
      </c>
      <c r="S45" s="22">
        <f t="shared" si="199"/>
        <v>0</v>
      </c>
      <c r="T45" s="22">
        <f t="shared" si="199"/>
        <v>0</v>
      </c>
      <c r="U45" s="22">
        <f t="shared" si="199"/>
        <v>0</v>
      </c>
      <c r="V45" s="22">
        <f t="shared" si="199"/>
        <v>0</v>
      </c>
      <c r="W45" s="22">
        <f t="shared" si="199"/>
        <v>0</v>
      </c>
      <c r="X45" s="22">
        <f t="shared" si="199"/>
        <v>0</v>
      </c>
      <c r="Y45" s="22">
        <f t="shared" si="199"/>
        <v>0</v>
      </c>
      <c r="Z45" s="22">
        <f t="shared" si="199"/>
        <v>0</v>
      </c>
      <c r="AA45" s="22">
        <f t="shared" si="199"/>
        <v>0</v>
      </c>
      <c r="AB45" s="22">
        <f t="shared" si="199"/>
        <v>0</v>
      </c>
      <c r="AC45" s="22">
        <f t="shared" si="199"/>
        <v>0</v>
      </c>
      <c r="AD45" s="22">
        <f t="shared" ref="AD45:CK45" si="200">AD$39*$D45</f>
        <v>0</v>
      </c>
      <c r="AE45" s="226"/>
      <c r="AF45" s="22"/>
      <c r="AG45" s="226">
        <v>405</v>
      </c>
      <c r="AH45" s="22">
        <f t="shared" si="200"/>
        <v>579.15</v>
      </c>
      <c r="AI45" s="22">
        <f t="shared" si="200"/>
        <v>1158.3</v>
      </c>
      <c r="AJ45" s="22">
        <f t="shared" si="200"/>
        <v>1158.3</v>
      </c>
      <c r="AK45" s="22">
        <f t="shared" si="200"/>
        <v>1158.3</v>
      </c>
      <c r="AL45" s="22">
        <f t="shared" si="200"/>
        <v>1158.3</v>
      </c>
      <c r="AM45" s="22">
        <f t="shared" si="200"/>
        <v>1158.3</v>
      </c>
      <c r="AN45" s="22">
        <f t="shared" si="200"/>
        <v>1158.3</v>
      </c>
      <c r="AO45" s="22">
        <f t="shared" si="200"/>
        <v>1158.3</v>
      </c>
      <c r="AP45" s="22">
        <f t="shared" si="200"/>
        <v>1274.1300000000001</v>
      </c>
      <c r="AQ45" s="22">
        <f t="shared" si="200"/>
        <v>1274.1300000000001</v>
      </c>
      <c r="AR45" s="22">
        <f t="shared" si="200"/>
        <v>1274.1300000000001</v>
      </c>
      <c r="AS45" s="22">
        <f t="shared" si="200"/>
        <v>1274.1300000000001</v>
      </c>
      <c r="AT45" s="22">
        <f t="shared" si="200"/>
        <v>1274.1300000000001</v>
      </c>
      <c r="AU45" s="22">
        <f t="shared" si="200"/>
        <v>1274.1300000000001</v>
      </c>
      <c r="AV45" s="22">
        <f t="shared" si="200"/>
        <v>1274.1300000000001</v>
      </c>
      <c r="AW45" s="22">
        <f t="shared" si="200"/>
        <v>1274.1300000000001</v>
      </c>
      <c r="AX45" s="22">
        <f t="shared" si="200"/>
        <v>1274.1300000000001</v>
      </c>
      <c r="AY45" s="22">
        <f t="shared" si="200"/>
        <v>1274.1300000000001</v>
      </c>
      <c r="AZ45" s="22">
        <f t="shared" si="200"/>
        <v>1274.1300000000001</v>
      </c>
      <c r="BA45" s="22">
        <f t="shared" si="200"/>
        <v>1274.1300000000001</v>
      </c>
      <c r="BB45" s="22">
        <f t="shared" si="200"/>
        <v>1465.2495000000001</v>
      </c>
      <c r="BC45" s="22">
        <f t="shared" si="200"/>
        <v>1465.2495000000001</v>
      </c>
      <c r="BD45" s="22">
        <f t="shared" si="200"/>
        <v>1465.2495000000001</v>
      </c>
      <c r="BE45" s="22">
        <f t="shared" si="200"/>
        <v>1465.2495000000001</v>
      </c>
      <c r="BF45" s="22">
        <f t="shared" si="200"/>
        <v>1465.2495000000001</v>
      </c>
      <c r="BG45" s="22">
        <f t="shared" si="200"/>
        <v>1465.2495000000001</v>
      </c>
      <c r="BH45" s="22">
        <f t="shared" si="200"/>
        <v>1465.2495000000001</v>
      </c>
      <c r="BI45" s="22">
        <f t="shared" si="200"/>
        <v>1465.2495000000001</v>
      </c>
      <c r="BJ45" s="22">
        <f t="shared" si="200"/>
        <v>1465.2495000000001</v>
      </c>
      <c r="BK45" s="22">
        <f t="shared" si="200"/>
        <v>1465.2495000000001</v>
      </c>
      <c r="BL45" s="22">
        <f t="shared" si="200"/>
        <v>1465.2495000000001</v>
      </c>
      <c r="BM45" s="22">
        <f t="shared" si="200"/>
        <v>1465.2495000000001</v>
      </c>
      <c r="BN45" s="22">
        <f t="shared" si="200"/>
        <v>1685.0369249999999</v>
      </c>
      <c r="BO45" s="22">
        <f t="shared" si="200"/>
        <v>1685.0369249999999</v>
      </c>
      <c r="BP45" s="22">
        <f t="shared" si="200"/>
        <v>1685.0369249999999</v>
      </c>
      <c r="BQ45" s="22">
        <f t="shared" si="200"/>
        <v>1685.0369249999999</v>
      </c>
      <c r="BR45" s="22">
        <f t="shared" si="200"/>
        <v>1685.0369249999999</v>
      </c>
      <c r="BS45" s="22">
        <f t="shared" si="200"/>
        <v>1685.0369249999999</v>
      </c>
      <c r="BT45" s="22">
        <f t="shared" si="200"/>
        <v>1685.0369249999999</v>
      </c>
      <c r="BU45" s="22">
        <f t="shared" si="200"/>
        <v>1685.0369249999999</v>
      </c>
      <c r="BV45" s="22">
        <f t="shared" si="200"/>
        <v>1685.0369249999999</v>
      </c>
      <c r="BW45" s="22">
        <f t="shared" si="200"/>
        <v>1685.0369249999999</v>
      </c>
      <c r="BX45" s="22">
        <f t="shared" si="200"/>
        <v>1685.0369249999999</v>
      </c>
      <c r="BY45" s="22">
        <f t="shared" si="200"/>
        <v>1685.0369249999999</v>
      </c>
      <c r="BZ45" s="22">
        <f t="shared" si="200"/>
        <v>1761.6295124999995</v>
      </c>
      <c r="CA45" s="22">
        <f t="shared" si="200"/>
        <v>1761.6295124999995</v>
      </c>
      <c r="CB45" s="22">
        <f t="shared" si="200"/>
        <v>1761.6295124999995</v>
      </c>
      <c r="CC45" s="22">
        <f t="shared" si="200"/>
        <v>1761.6295124999995</v>
      </c>
      <c r="CD45" s="22">
        <f t="shared" si="200"/>
        <v>1761.6295124999995</v>
      </c>
      <c r="CE45" s="22">
        <f t="shared" si="200"/>
        <v>1761.6295124999995</v>
      </c>
      <c r="CF45" s="22">
        <f t="shared" si="200"/>
        <v>1761.6295124999995</v>
      </c>
      <c r="CG45" s="22">
        <f t="shared" si="200"/>
        <v>1761.6295124999995</v>
      </c>
      <c r="CH45" s="22">
        <f t="shared" si="200"/>
        <v>1761.6295124999995</v>
      </c>
      <c r="CI45" s="22">
        <f t="shared" si="200"/>
        <v>1761.6295124999995</v>
      </c>
      <c r="CJ45" s="22">
        <f t="shared" si="200"/>
        <v>1761.6295124999995</v>
      </c>
      <c r="CK45" s="22">
        <f t="shared" si="200"/>
        <v>1761.6295124999995</v>
      </c>
      <c r="CM45" s="10">
        <f t="shared" si="196"/>
        <v>261.47550000000001</v>
      </c>
      <c r="CN45" s="10">
        <f t="shared" si="196"/>
        <v>0</v>
      </c>
      <c r="CO45" s="10">
        <f t="shared" si="196"/>
        <v>9092.25</v>
      </c>
      <c r="CP45" s="10">
        <f t="shared" si="196"/>
        <v>15289.560000000005</v>
      </c>
      <c r="CQ45" s="10">
        <f t="shared" si="196"/>
        <v>17582.994000000002</v>
      </c>
      <c r="CR45" s="10">
        <f t="shared" si="197"/>
        <v>20220.4431</v>
      </c>
      <c r="CS45" s="10">
        <f t="shared" si="197"/>
        <v>21139.554149999993</v>
      </c>
    </row>
    <row r="46" spans="2:99" outlineLevel="1" x14ac:dyDescent="0.2">
      <c r="B46" s="95" t="s">
        <v>46</v>
      </c>
      <c r="C46" s="95" t="s">
        <v>4</v>
      </c>
      <c r="D46" s="92">
        <v>20</v>
      </c>
      <c r="F46" s="22"/>
      <c r="G46" s="22"/>
      <c r="H46" s="22"/>
      <c r="I46" s="22"/>
      <c r="J46" s="22"/>
      <c r="K46" s="22"/>
      <c r="L46" s="22">
        <f t="shared" ref="L46:N46" si="201">$D$46</f>
        <v>20</v>
      </c>
      <c r="M46" s="22">
        <f t="shared" si="201"/>
        <v>20</v>
      </c>
      <c r="N46" s="22">
        <f t="shared" si="201"/>
        <v>20</v>
      </c>
      <c r="O46" s="22">
        <f t="shared" ref="O46:Q46" si="202">$D$46</f>
        <v>20</v>
      </c>
      <c r="P46" s="22">
        <f t="shared" si="202"/>
        <v>20</v>
      </c>
      <c r="Q46" s="22">
        <f t="shared" si="202"/>
        <v>20</v>
      </c>
      <c r="R46" s="22"/>
      <c r="S46" s="22"/>
      <c r="T46" s="22"/>
      <c r="U46" s="22"/>
      <c r="V46" s="22"/>
      <c r="W46" s="22"/>
      <c r="X46" s="22"/>
      <c r="Y46" s="22"/>
      <c r="Z46" s="22"/>
      <c r="AA46" s="22"/>
      <c r="AB46" s="22"/>
      <c r="AC46" s="22"/>
      <c r="AD46" s="22"/>
      <c r="AE46" s="22"/>
      <c r="AF46" s="22">
        <f t="shared" ref="AF46:CK46" si="203">$D$46</f>
        <v>20</v>
      </c>
      <c r="AG46" s="22">
        <f t="shared" si="203"/>
        <v>20</v>
      </c>
      <c r="AH46" s="22">
        <f t="shared" si="203"/>
        <v>20</v>
      </c>
      <c r="AI46" s="22">
        <f t="shared" si="203"/>
        <v>20</v>
      </c>
      <c r="AJ46" s="22">
        <f t="shared" si="203"/>
        <v>20</v>
      </c>
      <c r="AK46" s="22">
        <f t="shared" si="203"/>
        <v>20</v>
      </c>
      <c r="AL46" s="22">
        <f t="shared" si="203"/>
        <v>20</v>
      </c>
      <c r="AM46" s="22">
        <f t="shared" si="203"/>
        <v>20</v>
      </c>
      <c r="AN46" s="22">
        <f t="shared" si="203"/>
        <v>20</v>
      </c>
      <c r="AO46" s="22">
        <f t="shared" si="203"/>
        <v>20</v>
      </c>
      <c r="AP46" s="22">
        <f t="shared" si="203"/>
        <v>20</v>
      </c>
      <c r="AQ46" s="22">
        <f t="shared" si="203"/>
        <v>20</v>
      </c>
      <c r="AR46" s="22">
        <f t="shared" si="203"/>
        <v>20</v>
      </c>
      <c r="AS46" s="22">
        <f t="shared" si="203"/>
        <v>20</v>
      </c>
      <c r="AT46" s="22">
        <f t="shared" si="203"/>
        <v>20</v>
      </c>
      <c r="AU46" s="22">
        <f t="shared" si="203"/>
        <v>20</v>
      </c>
      <c r="AV46" s="22">
        <f t="shared" si="203"/>
        <v>20</v>
      </c>
      <c r="AW46" s="22">
        <f t="shared" si="203"/>
        <v>20</v>
      </c>
      <c r="AX46" s="22">
        <f t="shared" si="203"/>
        <v>20</v>
      </c>
      <c r="AY46" s="22">
        <f t="shared" si="203"/>
        <v>20</v>
      </c>
      <c r="AZ46" s="22">
        <f t="shared" si="203"/>
        <v>20</v>
      </c>
      <c r="BA46" s="22">
        <f t="shared" si="203"/>
        <v>20</v>
      </c>
      <c r="BB46" s="22">
        <f t="shared" si="203"/>
        <v>20</v>
      </c>
      <c r="BC46" s="22">
        <f t="shared" si="203"/>
        <v>20</v>
      </c>
      <c r="BD46" s="22">
        <f t="shared" si="203"/>
        <v>20</v>
      </c>
      <c r="BE46" s="22">
        <f t="shared" si="203"/>
        <v>20</v>
      </c>
      <c r="BF46" s="22">
        <f t="shared" si="203"/>
        <v>20</v>
      </c>
      <c r="BG46" s="22">
        <f t="shared" si="203"/>
        <v>20</v>
      </c>
      <c r="BH46" s="22">
        <f t="shared" si="203"/>
        <v>20</v>
      </c>
      <c r="BI46" s="22">
        <f t="shared" si="203"/>
        <v>20</v>
      </c>
      <c r="BJ46" s="22">
        <f t="shared" si="203"/>
        <v>20</v>
      </c>
      <c r="BK46" s="22">
        <f t="shared" si="203"/>
        <v>20</v>
      </c>
      <c r="BL46" s="22">
        <f t="shared" si="203"/>
        <v>20</v>
      </c>
      <c r="BM46" s="22">
        <f t="shared" si="203"/>
        <v>20</v>
      </c>
      <c r="BN46" s="22">
        <f t="shared" si="203"/>
        <v>20</v>
      </c>
      <c r="BO46" s="22">
        <f t="shared" si="203"/>
        <v>20</v>
      </c>
      <c r="BP46" s="22">
        <f t="shared" si="203"/>
        <v>20</v>
      </c>
      <c r="BQ46" s="22">
        <f t="shared" si="203"/>
        <v>20</v>
      </c>
      <c r="BR46" s="22">
        <f t="shared" si="203"/>
        <v>20</v>
      </c>
      <c r="BS46" s="22">
        <f t="shared" si="203"/>
        <v>20</v>
      </c>
      <c r="BT46" s="22">
        <f t="shared" si="203"/>
        <v>20</v>
      </c>
      <c r="BU46" s="22">
        <f t="shared" si="203"/>
        <v>20</v>
      </c>
      <c r="BV46" s="22">
        <f t="shared" si="203"/>
        <v>20</v>
      </c>
      <c r="BW46" s="22">
        <f t="shared" si="203"/>
        <v>20</v>
      </c>
      <c r="BX46" s="22">
        <f t="shared" si="203"/>
        <v>20</v>
      </c>
      <c r="BY46" s="22">
        <f t="shared" si="203"/>
        <v>20</v>
      </c>
      <c r="BZ46" s="22">
        <f t="shared" si="203"/>
        <v>20</v>
      </c>
      <c r="CA46" s="22">
        <f t="shared" si="203"/>
        <v>20</v>
      </c>
      <c r="CB46" s="22">
        <f t="shared" si="203"/>
        <v>20</v>
      </c>
      <c r="CC46" s="22">
        <f t="shared" si="203"/>
        <v>20</v>
      </c>
      <c r="CD46" s="22">
        <f t="shared" si="203"/>
        <v>20</v>
      </c>
      <c r="CE46" s="22">
        <f t="shared" si="203"/>
        <v>20</v>
      </c>
      <c r="CF46" s="22">
        <f t="shared" si="203"/>
        <v>20</v>
      </c>
      <c r="CG46" s="22">
        <f t="shared" si="203"/>
        <v>20</v>
      </c>
      <c r="CH46" s="22">
        <f t="shared" si="203"/>
        <v>20</v>
      </c>
      <c r="CI46" s="22">
        <f t="shared" si="203"/>
        <v>20</v>
      </c>
      <c r="CJ46" s="22">
        <f t="shared" si="203"/>
        <v>20</v>
      </c>
      <c r="CK46" s="22">
        <f t="shared" si="203"/>
        <v>20</v>
      </c>
      <c r="CM46" s="10">
        <f t="shared" si="196"/>
        <v>120</v>
      </c>
      <c r="CN46" s="10">
        <f t="shared" si="196"/>
        <v>0</v>
      </c>
      <c r="CO46" s="10">
        <f t="shared" si="196"/>
        <v>200</v>
      </c>
      <c r="CP46" s="10">
        <f t="shared" si="196"/>
        <v>240</v>
      </c>
      <c r="CQ46" s="10">
        <f t="shared" si="196"/>
        <v>240</v>
      </c>
      <c r="CR46" s="10">
        <f t="shared" si="197"/>
        <v>240</v>
      </c>
      <c r="CS46" s="10">
        <f t="shared" si="197"/>
        <v>240</v>
      </c>
    </row>
    <row r="47" spans="2:99" x14ac:dyDescent="0.2">
      <c r="B47" s="96" t="s">
        <v>10</v>
      </c>
      <c r="C47" s="96"/>
      <c r="D47" s="96"/>
      <c r="F47" s="21">
        <f t="shared" ref="F47:K47" si="204">F48+F51+F55+F61</f>
        <v>0</v>
      </c>
      <c r="G47" s="21">
        <f t="shared" si="204"/>
        <v>0</v>
      </c>
      <c r="H47" s="21">
        <f t="shared" si="204"/>
        <v>0</v>
      </c>
      <c r="I47" s="21">
        <f t="shared" si="204"/>
        <v>0</v>
      </c>
      <c r="J47" s="21">
        <f t="shared" si="204"/>
        <v>0</v>
      </c>
      <c r="K47" s="21">
        <f t="shared" si="204"/>
        <v>0</v>
      </c>
      <c r="L47" s="21">
        <f t="shared" ref="L47:AQ47" si="205">L48+L51+L55+L61</f>
        <v>152.29129999999998</v>
      </c>
      <c r="M47" s="21">
        <f t="shared" si="205"/>
        <v>56.377700000000004</v>
      </c>
      <c r="N47" s="21">
        <f t="shared" si="205"/>
        <v>62.007099999999994</v>
      </c>
      <c r="O47" s="21">
        <f t="shared" si="205"/>
        <v>56.251499999999993</v>
      </c>
      <c r="P47" s="21">
        <f t="shared" si="205"/>
        <v>54.958699999999993</v>
      </c>
      <c r="Q47" s="21">
        <f t="shared" si="205"/>
        <v>56.008700000000005</v>
      </c>
      <c r="R47" s="21">
        <f t="shared" si="205"/>
        <v>0</v>
      </c>
      <c r="S47" s="21">
        <f t="shared" si="205"/>
        <v>0</v>
      </c>
      <c r="T47" s="21">
        <f t="shared" si="205"/>
        <v>0</v>
      </c>
      <c r="U47" s="21">
        <f t="shared" si="205"/>
        <v>0</v>
      </c>
      <c r="V47" s="21">
        <f t="shared" si="205"/>
        <v>0</v>
      </c>
      <c r="W47" s="21">
        <f t="shared" si="205"/>
        <v>0</v>
      </c>
      <c r="X47" s="21">
        <f t="shared" si="205"/>
        <v>0</v>
      </c>
      <c r="Y47" s="21">
        <f t="shared" si="205"/>
        <v>0</v>
      </c>
      <c r="Z47" s="21">
        <f t="shared" si="205"/>
        <v>0</v>
      </c>
      <c r="AA47" s="21">
        <f t="shared" si="205"/>
        <v>0</v>
      </c>
      <c r="AB47" s="21">
        <f t="shared" si="205"/>
        <v>0</v>
      </c>
      <c r="AC47" s="21">
        <f t="shared" si="205"/>
        <v>0</v>
      </c>
      <c r="AD47" s="21">
        <f t="shared" si="205"/>
        <v>0</v>
      </c>
      <c r="AE47" s="21">
        <f t="shared" si="205"/>
        <v>0</v>
      </c>
      <c r="AF47" s="21">
        <f t="shared" si="205"/>
        <v>0</v>
      </c>
      <c r="AG47" s="21">
        <f t="shared" si="205"/>
        <v>55</v>
      </c>
      <c r="AH47" s="21">
        <f t="shared" si="205"/>
        <v>294.10000000000002</v>
      </c>
      <c r="AI47" s="21">
        <f t="shared" si="205"/>
        <v>533.20000000000005</v>
      </c>
      <c r="AJ47" s="21">
        <f t="shared" si="205"/>
        <v>543.20000000000005</v>
      </c>
      <c r="AK47" s="21">
        <f t="shared" si="205"/>
        <v>543.20000000000005</v>
      </c>
      <c r="AL47" s="21">
        <f t="shared" si="205"/>
        <v>543.20000000000005</v>
      </c>
      <c r="AM47" s="21">
        <f t="shared" si="205"/>
        <v>543.20000000000005</v>
      </c>
      <c r="AN47" s="21">
        <f t="shared" si="205"/>
        <v>543.20000000000005</v>
      </c>
      <c r="AO47" s="21">
        <f t="shared" si="205"/>
        <v>543.20000000000005</v>
      </c>
      <c r="AP47" s="21">
        <f t="shared" si="205"/>
        <v>561.02</v>
      </c>
      <c r="AQ47" s="21">
        <f t="shared" si="205"/>
        <v>561.02</v>
      </c>
      <c r="AR47" s="21">
        <f t="shared" ref="AR47:BU47" si="206">AR48+AR51+AR55+AR61</f>
        <v>561.02</v>
      </c>
      <c r="AS47" s="21">
        <f t="shared" si="206"/>
        <v>561.02</v>
      </c>
      <c r="AT47" s="21">
        <f t="shared" si="206"/>
        <v>561.02</v>
      </c>
      <c r="AU47" s="21">
        <f t="shared" si="206"/>
        <v>561.02</v>
      </c>
      <c r="AV47" s="21">
        <f t="shared" si="206"/>
        <v>561.02</v>
      </c>
      <c r="AW47" s="21">
        <f t="shared" si="206"/>
        <v>561.02</v>
      </c>
      <c r="AX47" s="21">
        <f t="shared" si="206"/>
        <v>561.02</v>
      </c>
      <c r="AY47" s="21">
        <f t="shared" si="206"/>
        <v>561.02</v>
      </c>
      <c r="AZ47" s="21">
        <f t="shared" si="206"/>
        <v>561.02</v>
      </c>
      <c r="BA47" s="21">
        <f t="shared" si="206"/>
        <v>561.02</v>
      </c>
      <c r="BB47" s="21">
        <f t="shared" si="206"/>
        <v>590.423</v>
      </c>
      <c r="BC47" s="21">
        <f t="shared" si="206"/>
        <v>590.423</v>
      </c>
      <c r="BD47" s="21">
        <f t="shared" si="206"/>
        <v>590.423</v>
      </c>
      <c r="BE47" s="21">
        <f t="shared" si="206"/>
        <v>590.423</v>
      </c>
      <c r="BF47" s="21">
        <f t="shared" si="206"/>
        <v>590.423</v>
      </c>
      <c r="BG47" s="21">
        <f t="shared" si="206"/>
        <v>590.423</v>
      </c>
      <c r="BH47" s="21">
        <f t="shared" si="206"/>
        <v>590.423</v>
      </c>
      <c r="BI47" s="21">
        <f t="shared" si="206"/>
        <v>590.423</v>
      </c>
      <c r="BJ47" s="21">
        <f t="shared" si="206"/>
        <v>590.423</v>
      </c>
      <c r="BK47" s="21">
        <f t="shared" si="206"/>
        <v>590.423</v>
      </c>
      <c r="BL47" s="21">
        <f t="shared" si="206"/>
        <v>590.423</v>
      </c>
      <c r="BM47" s="21">
        <f t="shared" si="206"/>
        <v>590.423</v>
      </c>
      <c r="BN47" s="21">
        <f t="shared" si="206"/>
        <v>624.23644999999999</v>
      </c>
      <c r="BO47" s="21">
        <f t="shared" si="206"/>
        <v>624.23644999999999</v>
      </c>
      <c r="BP47" s="21">
        <f t="shared" si="206"/>
        <v>624.23644999999999</v>
      </c>
      <c r="BQ47" s="21">
        <f t="shared" si="206"/>
        <v>624.23644999999999</v>
      </c>
      <c r="BR47" s="21">
        <f t="shared" si="206"/>
        <v>624.23644999999999</v>
      </c>
      <c r="BS47" s="21">
        <f t="shared" si="206"/>
        <v>624.23644999999999</v>
      </c>
      <c r="BT47" s="21">
        <f t="shared" si="206"/>
        <v>624.23644999999999</v>
      </c>
      <c r="BU47" s="21">
        <f t="shared" si="206"/>
        <v>624.23644999999999</v>
      </c>
      <c r="BV47" s="21">
        <f t="shared" ref="BV47:BX47" si="207">BV48+BV51+BV55+BV61</f>
        <v>624.23644999999999</v>
      </c>
      <c r="BW47" s="21">
        <f t="shared" si="207"/>
        <v>624.23644999999999</v>
      </c>
      <c r="BX47" s="21">
        <f t="shared" si="207"/>
        <v>624.23644999999999</v>
      </c>
      <c r="BY47" s="21">
        <f t="shared" ref="BY47:CK47" si="208">BY48+BY51+BY55+BY61</f>
        <v>624.23644999999999</v>
      </c>
      <c r="BZ47" s="21">
        <f t="shared" si="208"/>
        <v>636.01992500000006</v>
      </c>
      <c r="CA47" s="21">
        <f t="shared" si="208"/>
        <v>636.01992500000006</v>
      </c>
      <c r="CB47" s="21">
        <f t="shared" si="208"/>
        <v>636.01992500000006</v>
      </c>
      <c r="CC47" s="21">
        <f t="shared" si="208"/>
        <v>636.01992500000006</v>
      </c>
      <c r="CD47" s="21">
        <f t="shared" si="208"/>
        <v>636.01992500000006</v>
      </c>
      <c r="CE47" s="21">
        <f t="shared" si="208"/>
        <v>636.01992500000006</v>
      </c>
      <c r="CF47" s="21">
        <f t="shared" si="208"/>
        <v>636.01992500000006</v>
      </c>
      <c r="CG47" s="21">
        <f t="shared" si="208"/>
        <v>636.01992500000006</v>
      </c>
      <c r="CH47" s="21">
        <f t="shared" si="208"/>
        <v>636.01992500000006</v>
      </c>
      <c r="CI47" s="21">
        <f t="shared" si="208"/>
        <v>636.01992500000006</v>
      </c>
      <c r="CJ47" s="21">
        <f t="shared" si="208"/>
        <v>636.01992500000006</v>
      </c>
      <c r="CK47" s="21">
        <f t="shared" si="208"/>
        <v>636.01992500000006</v>
      </c>
      <c r="CM47" s="21">
        <f t="shared" si="196"/>
        <v>437.89499999999998</v>
      </c>
      <c r="CN47" s="21">
        <f t="shared" si="196"/>
        <v>0</v>
      </c>
      <c r="CO47" s="21">
        <f t="shared" si="196"/>
        <v>4141.5</v>
      </c>
      <c r="CP47" s="21">
        <f t="shared" si="196"/>
        <v>6732.2400000000016</v>
      </c>
      <c r="CQ47" s="21">
        <f t="shared" si="196"/>
        <v>7085.0759999999982</v>
      </c>
      <c r="CR47" s="21">
        <f t="shared" si="197"/>
        <v>7490.8374000000013</v>
      </c>
      <c r="CS47" s="21">
        <f t="shared" si="197"/>
        <v>7632.2391000000025</v>
      </c>
    </row>
    <row r="48" spans="2:99" outlineLevel="1" x14ac:dyDescent="0.2">
      <c r="B48" s="88" t="s">
        <v>16</v>
      </c>
      <c r="C48" s="88"/>
      <c r="D48" s="92"/>
      <c r="F48" s="94">
        <f t="shared" ref="F48:K48" si="209">SUM(F49:F50)</f>
        <v>0</v>
      </c>
      <c r="G48" s="94">
        <f t="shared" si="209"/>
        <v>0</v>
      </c>
      <c r="H48" s="94">
        <f t="shared" si="209"/>
        <v>0</v>
      </c>
      <c r="I48" s="94">
        <f t="shared" si="209"/>
        <v>0</v>
      </c>
      <c r="J48" s="94">
        <f t="shared" si="209"/>
        <v>0</v>
      </c>
      <c r="K48" s="94">
        <f t="shared" si="209"/>
        <v>0</v>
      </c>
      <c r="L48" s="94">
        <f t="shared" ref="L48:AQ48" si="210">SUM(L49:L50)</f>
        <v>150</v>
      </c>
      <c r="M48" s="94">
        <f t="shared" si="210"/>
        <v>50</v>
      </c>
      <c r="N48" s="94">
        <f t="shared" si="210"/>
        <v>50</v>
      </c>
      <c r="O48" s="94">
        <f t="shared" si="210"/>
        <v>50</v>
      </c>
      <c r="P48" s="94">
        <f t="shared" si="210"/>
        <v>50</v>
      </c>
      <c r="Q48" s="94">
        <f t="shared" si="210"/>
        <v>50</v>
      </c>
      <c r="R48" s="94">
        <f t="shared" si="210"/>
        <v>0</v>
      </c>
      <c r="S48" s="94">
        <f t="shared" si="210"/>
        <v>0</v>
      </c>
      <c r="T48" s="94">
        <f t="shared" si="210"/>
        <v>0</v>
      </c>
      <c r="U48" s="94">
        <f t="shared" si="210"/>
        <v>0</v>
      </c>
      <c r="V48" s="94">
        <f t="shared" si="210"/>
        <v>0</v>
      </c>
      <c r="W48" s="94">
        <f t="shared" si="210"/>
        <v>0</v>
      </c>
      <c r="X48" s="94">
        <f t="shared" si="210"/>
        <v>0</v>
      </c>
      <c r="Y48" s="94">
        <f t="shared" si="210"/>
        <v>0</v>
      </c>
      <c r="Z48" s="94">
        <f t="shared" si="210"/>
        <v>0</v>
      </c>
      <c r="AA48" s="94">
        <f t="shared" si="210"/>
        <v>0</v>
      </c>
      <c r="AB48" s="94">
        <f t="shared" si="210"/>
        <v>0</v>
      </c>
      <c r="AC48" s="94">
        <f t="shared" si="210"/>
        <v>0</v>
      </c>
      <c r="AD48" s="94">
        <f t="shared" si="210"/>
        <v>0</v>
      </c>
      <c r="AE48" s="94">
        <f t="shared" si="210"/>
        <v>0</v>
      </c>
      <c r="AF48" s="94">
        <f t="shared" si="210"/>
        <v>0</v>
      </c>
      <c r="AG48" s="94">
        <f t="shared" si="210"/>
        <v>55</v>
      </c>
      <c r="AH48" s="94">
        <f t="shared" si="210"/>
        <v>55</v>
      </c>
      <c r="AI48" s="94">
        <f t="shared" si="210"/>
        <v>55</v>
      </c>
      <c r="AJ48" s="94">
        <f t="shared" si="210"/>
        <v>65</v>
      </c>
      <c r="AK48" s="94">
        <f t="shared" si="210"/>
        <v>65</v>
      </c>
      <c r="AL48" s="94">
        <f t="shared" si="210"/>
        <v>65</v>
      </c>
      <c r="AM48" s="94">
        <f t="shared" si="210"/>
        <v>65</v>
      </c>
      <c r="AN48" s="94">
        <f t="shared" si="210"/>
        <v>65</v>
      </c>
      <c r="AO48" s="94">
        <f t="shared" si="210"/>
        <v>65</v>
      </c>
      <c r="AP48" s="94">
        <f t="shared" si="210"/>
        <v>65</v>
      </c>
      <c r="AQ48" s="94">
        <f t="shared" si="210"/>
        <v>65</v>
      </c>
      <c r="AR48" s="94">
        <f t="shared" ref="AR48:BU48" si="211">SUM(AR49:AR50)</f>
        <v>65</v>
      </c>
      <c r="AS48" s="94">
        <f t="shared" si="211"/>
        <v>65</v>
      </c>
      <c r="AT48" s="94">
        <f t="shared" si="211"/>
        <v>65</v>
      </c>
      <c r="AU48" s="94">
        <f t="shared" si="211"/>
        <v>65</v>
      </c>
      <c r="AV48" s="94">
        <f t="shared" si="211"/>
        <v>65</v>
      </c>
      <c r="AW48" s="94">
        <f t="shared" si="211"/>
        <v>65</v>
      </c>
      <c r="AX48" s="94">
        <f t="shared" si="211"/>
        <v>65</v>
      </c>
      <c r="AY48" s="94">
        <f t="shared" si="211"/>
        <v>65</v>
      </c>
      <c r="AZ48" s="94">
        <f t="shared" si="211"/>
        <v>65</v>
      </c>
      <c r="BA48" s="94">
        <f t="shared" si="211"/>
        <v>65</v>
      </c>
      <c r="BB48" s="94">
        <f t="shared" si="211"/>
        <v>65</v>
      </c>
      <c r="BC48" s="94">
        <f t="shared" si="211"/>
        <v>65</v>
      </c>
      <c r="BD48" s="94">
        <f t="shared" si="211"/>
        <v>65</v>
      </c>
      <c r="BE48" s="94">
        <f t="shared" si="211"/>
        <v>65</v>
      </c>
      <c r="BF48" s="94">
        <f t="shared" si="211"/>
        <v>65</v>
      </c>
      <c r="BG48" s="94">
        <f t="shared" si="211"/>
        <v>65</v>
      </c>
      <c r="BH48" s="94">
        <f t="shared" si="211"/>
        <v>65</v>
      </c>
      <c r="BI48" s="94">
        <f t="shared" si="211"/>
        <v>65</v>
      </c>
      <c r="BJ48" s="94">
        <f t="shared" si="211"/>
        <v>65</v>
      </c>
      <c r="BK48" s="94">
        <f t="shared" si="211"/>
        <v>65</v>
      </c>
      <c r="BL48" s="94">
        <f t="shared" si="211"/>
        <v>65</v>
      </c>
      <c r="BM48" s="94">
        <f t="shared" si="211"/>
        <v>65</v>
      </c>
      <c r="BN48" s="94">
        <f t="shared" si="211"/>
        <v>65</v>
      </c>
      <c r="BO48" s="94">
        <f t="shared" si="211"/>
        <v>65</v>
      </c>
      <c r="BP48" s="94">
        <f t="shared" si="211"/>
        <v>65</v>
      </c>
      <c r="BQ48" s="94">
        <f t="shared" si="211"/>
        <v>65</v>
      </c>
      <c r="BR48" s="94">
        <f t="shared" si="211"/>
        <v>65</v>
      </c>
      <c r="BS48" s="94">
        <f t="shared" si="211"/>
        <v>65</v>
      </c>
      <c r="BT48" s="94">
        <f t="shared" si="211"/>
        <v>65</v>
      </c>
      <c r="BU48" s="94">
        <f t="shared" si="211"/>
        <v>65</v>
      </c>
      <c r="BV48" s="94">
        <f t="shared" ref="BV48:BX48" si="212">SUM(BV49:BV50)</f>
        <v>65</v>
      </c>
      <c r="BW48" s="94">
        <f t="shared" si="212"/>
        <v>65</v>
      </c>
      <c r="BX48" s="94">
        <f t="shared" si="212"/>
        <v>65</v>
      </c>
      <c r="BY48" s="94">
        <f t="shared" ref="BY48:CK48" si="213">SUM(BY49:BY50)</f>
        <v>65</v>
      </c>
      <c r="BZ48" s="94">
        <f t="shared" si="213"/>
        <v>65</v>
      </c>
      <c r="CA48" s="94">
        <f t="shared" si="213"/>
        <v>65</v>
      </c>
      <c r="CB48" s="94">
        <f t="shared" si="213"/>
        <v>65</v>
      </c>
      <c r="CC48" s="94">
        <f t="shared" si="213"/>
        <v>65</v>
      </c>
      <c r="CD48" s="94">
        <f t="shared" si="213"/>
        <v>65</v>
      </c>
      <c r="CE48" s="94">
        <f t="shared" si="213"/>
        <v>65</v>
      </c>
      <c r="CF48" s="94">
        <f t="shared" si="213"/>
        <v>65</v>
      </c>
      <c r="CG48" s="94">
        <f t="shared" si="213"/>
        <v>65</v>
      </c>
      <c r="CH48" s="94">
        <f t="shared" si="213"/>
        <v>65</v>
      </c>
      <c r="CI48" s="94">
        <f t="shared" si="213"/>
        <v>65</v>
      </c>
      <c r="CJ48" s="94">
        <f t="shared" si="213"/>
        <v>65</v>
      </c>
      <c r="CK48" s="94">
        <f t="shared" si="213"/>
        <v>65</v>
      </c>
      <c r="CM48" s="94">
        <f t="shared" si="196"/>
        <v>400</v>
      </c>
      <c r="CN48" s="94">
        <f t="shared" si="196"/>
        <v>0</v>
      </c>
      <c r="CO48" s="94">
        <f t="shared" si="196"/>
        <v>555</v>
      </c>
      <c r="CP48" s="94">
        <f t="shared" si="196"/>
        <v>780</v>
      </c>
      <c r="CQ48" s="94">
        <f t="shared" si="196"/>
        <v>780</v>
      </c>
      <c r="CR48" s="94">
        <f t="shared" si="197"/>
        <v>780</v>
      </c>
      <c r="CS48" s="94">
        <f t="shared" si="197"/>
        <v>780</v>
      </c>
    </row>
    <row r="49" spans="2:97" outlineLevel="2" x14ac:dyDescent="0.2">
      <c r="B49" s="95" t="s">
        <v>12</v>
      </c>
      <c r="C49" s="95" t="s">
        <v>4</v>
      </c>
      <c r="D49" s="92"/>
      <c r="L49" s="227">
        <v>100</v>
      </c>
      <c r="CM49" s="10">
        <f t="shared" si="196"/>
        <v>100</v>
      </c>
      <c r="CN49" s="10">
        <f t="shared" si="196"/>
        <v>0</v>
      </c>
      <c r="CO49" s="10">
        <f t="shared" si="196"/>
        <v>0</v>
      </c>
      <c r="CP49" s="10">
        <f t="shared" si="196"/>
        <v>0</v>
      </c>
      <c r="CQ49" s="10">
        <f t="shared" si="196"/>
        <v>0</v>
      </c>
      <c r="CR49" s="10">
        <f t="shared" si="197"/>
        <v>0</v>
      </c>
      <c r="CS49" s="10">
        <f t="shared" si="197"/>
        <v>0</v>
      </c>
    </row>
    <row r="50" spans="2:97" outlineLevel="2" x14ac:dyDescent="0.2">
      <c r="B50" s="95" t="s">
        <v>14</v>
      </c>
      <c r="C50" s="95" t="s">
        <v>4</v>
      </c>
      <c r="D50" s="104"/>
      <c r="F50" s="22"/>
      <c r="G50" s="22"/>
      <c r="H50" s="22"/>
      <c r="I50" s="22"/>
      <c r="J50" s="22"/>
      <c r="K50" s="22"/>
      <c r="L50" s="22">
        <v>50</v>
      </c>
      <c r="M50" s="22">
        <v>50</v>
      </c>
      <c r="N50" s="22">
        <v>50</v>
      </c>
      <c r="O50" s="22">
        <v>50</v>
      </c>
      <c r="P50" s="22">
        <v>50</v>
      </c>
      <c r="Q50" s="22">
        <v>50</v>
      </c>
      <c r="R50" s="22"/>
      <c r="S50" s="22"/>
      <c r="T50" s="22"/>
      <c r="U50" s="22"/>
      <c r="V50" s="22"/>
      <c r="W50" s="22"/>
      <c r="X50" s="22"/>
      <c r="Y50" s="22"/>
      <c r="Z50" s="22"/>
      <c r="AA50" s="22"/>
      <c r="AB50" s="22"/>
      <c r="AC50" s="22"/>
      <c r="AD50" s="22">
        <f t="shared" ref="AD50:AW50" si="214">AC50</f>
        <v>0</v>
      </c>
      <c r="AE50" s="226"/>
      <c r="AF50" s="22"/>
      <c r="AG50" s="226">
        <v>55</v>
      </c>
      <c r="AH50" s="22">
        <f t="shared" si="214"/>
        <v>55</v>
      </c>
      <c r="AI50" s="22">
        <f t="shared" si="214"/>
        <v>55</v>
      </c>
      <c r="AJ50" s="226">
        <v>65</v>
      </c>
      <c r="AK50" s="22">
        <f t="shared" si="214"/>
        <v>65</v>
      </c>
      <c r="AL50" s="22">
        <f t="shared" si="214"/>
        <v>65</v>
      </c>
      <c r="AM50" s="22">
        <f t="shared" si="214"/>
        <v>65</v>
      </c>
      <c r="AN50" s="22">
        <f t="shared" si="214"/>
        <v>65</v>
      </c>
      <c r="AO50" s="22">
        <f t="shared" si="214"/>
        <v>65</v>
      </c>
      <c r="AP50" s="22">
        <f t="shared" si="214"/>
        <v>65</v>
      </c>
      <c r="AQ50" s="22">
        <f t="shared" si="214"/>
        <v>65</v>
      </c>
      <c r="AR50" s="22">
        <f t="shared" si="214"/>
        <v>65</v>
      </c>
      <c r="AS50" s="22">
        <f t="shared" si="214"/>
        <v>65</v>
      </c>
      <c r="AT50" s="22">
        <f t="shared" si="214"/>
        <v>65</v>
      </c>
      <c r="AU50" s="22">
        <f t="shared" si="214"/>
        <v>65</v>
      </c>
      <c r="AV50" s="22">
        <f t="shared" si="214"/>
        <v>65</v>
      </c>
      <c r="AW50" s="22">
        <f t="shared" si="214"/>
        <v>65</v>
      </c>
      <c r="AX50" s="22">
        <f t="shared" ref="AX50" si="215">AW50</f>
        <v>65</v>
      </c>
      <c r="AY50" s="22">
        <f t="shared" ref="AY50" si="216">AX50</f>
        <v>65</v>
      </c>
      <c r="AZ50" s="22">
        <f t="shared" ref="AZ50" si="217">AY50</f>
        <v>65</v>
      </c>
      <c r="BA50" s="22">
        <f t="shared" ref="BA50" si="218">AZ50</f>
        <v>65</v>
      </c>
      <c r="BB50" s="22">
        <f t="shared" ref="BB50" si="219">BA50</f>
        <v>65</v>
      </c>
      <c r="BC50" s="22">
        <f t="shared" ref="BC50" si="220">BB50</f>
        <v>65</v>
      </c>
      <c r="BD50" s="22">
        <f t="shared" ref="BD50" si="221">BC50</f>
        <v>65</v>
      </c>
      <c r="BE50" s="22">
        <f t="shared" ref="BE50" si="222">BD50</f>
        <v>65</v>
      </c>
      <c r="BF50" s="22">
        <f t="shared" ref="BF50" si="223">BE50</f>
        <v>65</v>
      </c>
      <c r="BG50" s="22">
        <f t="shared" ref="BG50" si="224">BF50</f>
        <v>65</v>
      </c>
      <c r="BH50" s="22">
        <f t="shared" ref="BH50" si="225">BG50</f>
        <v>65</v>
      </c>
      <c r="BI50" s="22">
        <f t="shared" ref="BI50" si="226">BH50</f>
        <v>65</v>
      </c>
      <c r="BJ50" s="22">
        <f t="shared" ref="BJ50" si="227">BI50</f>
        <v>65</v>
      </c>
      <c r="BK50" s="22">
        <f t="shared" ref="BK50" si="228">BJ50</f>
        <v>65</v>
      </c>
      <c r="BL50" s="22">
        <f t="shared" ref="BL50" si="229">BK50</f>
        <v>65</v>
      </c>
      <c r="BM50" s="22">
        <f t="shared" ref="BM50" si="230">BL50</f>
        <v>65</v>
      </c>
      <c r="BN50" s="22">
        <f t="shared" ref="BN50" si="231">BM50</f>
        <v>65</v>
      </c>
      <c r="BO50" s="22">
        <f t="shared" ref="BO50" si="232">BN50</f>
        <v>65</v>
      </c>
      <c r="BP50" s="22">
        <f t="shared" ref="BP50" si="233">BO50</f>
        <v>65</v>
      </c>
      <c r="BQ50" s="22">
        <f t="shared" ref="BQ50" si="234">BP50</f>
        <v>65</v>
      </c>
      <c r="BR50" s="22">
        <f t="shared" ref="BR50" si="235">BQ50</f>
        <v>65</v>
      </c>
      <c r="BS50" s="22">
        <f t="shared" ref="BS50" si="236">BR50</f>
        <v>65</v>
      </c>
      <c r="BT50" s="22">
        <f t="shared" ref="BT50" si="237">BS50</f>
        <v>65</v>
      </c>
      <c r="BU50" s="22">
        <f t="shared" ref="BU50" si="238">BT50</f>
        <v>65</v>
      </c>
      <c r="BV50" s="22">
        <f t="shared" ref="BV50" si="239">BU50</f>
        <v>65</v>
      </c>
      <c r="BW50" s="22">
        <f t="shared" ref="BW50" si="240">BV50</f>
        <v>65</v>
      </c>
      <c r="BX50" s="22">
        <f t="shared" ref="BX50" si="241">BW50</f>
        <v>65</v>
      </c>
      <c r="BY50" s="22">
        <f t="shared" ref="BY50" si="242">BX50</f>
        <v>65</v>
      </c>
      <c r="BZ50" s="22">
        <f t="shared" ref="BZ50" si="243">BY50</f>
        <v>65</v>
      </c>
      <c r="CA50" s="22">
        <f t="shared" ref="CA50" si="244">BZ50</f>
        <v>65</v>
      </c>
      <c r="CB50" s="22">
        <f t="shared" ref="CB50" si="245">CA50</f>
        <v>65</v>
      </c>
      <c r="CC50" s="22">
        <f t="shared" ref="CC50" si="246">CB50</f>
        <v>65</v>
      </c>
      <c r="CD50" s="22">
        <f t="shared" ref="CD50" si="247">CC50</f>
        <v>65</v>
      </c>
      <c r="CE50" s="22">
        <f t="shared" ref="CE50" si="248">CD50</f>
        <v>65</v>
      </c>
      <c r="CF50" s="22">
        <f t="shared" ref="CF50" si="249">CE50</f>
        <v>65</v>
      </c>
      <c r="CG50" s="22">
        <f t="shared" ref="CG50" si="250">CF50</f>
        <v>65</v>
      </c>
      <c r="CH50" s="22">
        <f t="shared" ref="CH50" si="251">CG50</f>
        <v>65</v>
      </c>
      <c r="CI50" s="22">
        <f t="shared" ref="CI50" si="252">CH50</f>
        <v>65</v>
      </c>
      <c r="CJ50" s="22">
        <f t="shared" ref="CJ50" si="253">CI50</f>
        <v>65</v>
      </c>
      <c r="CK50" s="22">
        <f t="shared" ref="CK50" si="254">CJ50</f>
        <v>65</v>
      </c>
      <c r="CM50" s="10">
        <f t="shared" si="196"/>
        <v>300</v>
      </c>
      <c r="CN50" s="10">
        <f t="shared" si="196"/>
        <v>0</v>
      </c>
      <c r="CO50" s="10">
        <f t="shared" si="196"/>
        <v>555</v>
      </c>
      <c r="CP50" s="10">
        <f t="shared" si="196"/>
        <v>780</v>
      </c>
      <c r="CQ50" s="10">
        <f t="shared" si="196"/>
        <v>780</v>
      </c>
      <c r="CR50" s="10">
        <f t="shared" si="197"/>
        <v>780</v>
      </c>
      <c r="CS50" s="10">
        <f t="shared" si="197"/>
        <v>780</v>
      </c>
    </row>
    <row r="51" spans="2:97" outlineLevel="1" x14ac:dyDescent="0.2">
      <c r="B51" s="88" t="s">
        <v>17</v>
      </c>
      <c r="C51" s="92"/>
      <c r="D51" s="92"/>
      <c r="F51" s="94">
        <f t="shared" ref="F51:K51" si="255">SUM(F52:F54)</f>
        <v>0</v>
      </c>
      <c r="G51" s="94">
        <f t="shared" si="255"/>
        <v>0</v>
      </c>
      <c r="H51" s="94">
        <f t="shared" si="255"/>
        <v>0</v>
      </c>
      <c r="I51" s="94">
        <f t="shared" si="255"/>
        <v>0</v>
      </c>
      <c r="J51" s="94">
        <f t="shared" si="255"/>
        <v>0</v>
      </c>
      <c r="K51" s="94">
        <f t="shared" si="255"/>
        <v>0</v>
      </c>
      <c r="L51" s="94">
        <f>SUM(L52:L54)</f>
        <v>1.1456500000000001</v>
      </c>
      <c r="M51" s="94">
        <f t="shared" ref="M51:AW51" si="256">SUM(M52:M54)</f>
        <v>3.1888500000000004</v>
      </c>
      <c r="N51" s="94">
        <f t="shared" si="256"/>
        <v>6.0035499999999997</v>
      </c>
      <c r="O51" s="94">
        <f t="shared" si="256"/>
        <v>3.12575</v>
      </c>
      <c r="P51" s="94">
        <f t="shared" si="256"/>
        <v>2.4793500000000002</v>
      </c>
      <c r="Q51" s="94">
        <f t="shared" si="256"/>
        <v>3.0043500000000001</v>
      </c>
      <c r="R51" s="94">
        <f t="shared" si="256"/>
        <v>0</v>
      </c>
      <c r="S51" s="94">
        <f t="shared" si="256"/>
        <v>0</v>
      </c>
      <c r="T51" s="94">
        <f t="shared" si="256"/>
        <v>0</v>
      </c>
      <c r="U51" s="94">
        <f t="shared" si="256"/>
        <v>0</v>
      </c>
      <c r="V51" s="94">
        <f t="shared" si="256"/>
        <v>0</v>
      </c>
      <c r="W51" s="94">
        <f t="shared" si="256"/>
        <v>0</v>
      </c>
      <c r="X51" s="94">
        <f t="shared" si="256"/>
        <v>0</v>
      </c>
      <c r="Y51" s="94">
        <f t="shared" si="256"/>
        <v>0</v>
      </c>
      <c r="Z51" s="94">
        <f t="shared" si="256"/>
        <v>0</v>
      </c>
      <c r="AA51" s="94">
        <f t="shared" si="256"/>
        <v>0</v>
      </c>
      <c r="AB51" s="94">
        <f t="shared" si="256"/>
        <v>0</v>
      </c>
      <c r="AC51" s="94">
        <f t="shared" si="256"/>
        <v>0</v>
      </c>
      <c r="AD51" s="94">
        <f t="shared" si="256"/>
        <v>0</v>
      </c>
      <c r="AE51" s="94">
        <f t="shared" si="256"/>
        <v>0</v>
      </c>
      <c r="AF51" s="94">
        <f t="shared" si="256"/>
        <v>0</v>
      </c>
      <c r="AG51" s="94">
        <f t="shared" si="256"/>
        <v>0</v>
      </c>
      <c r="AH51" s="94">
        <f t="shared" si="256"/>
        <v>44.55</v>
      </c>
      <c r="AI51" s="94">
        <f t="shared" si="256"/>
        <v>89.1</v>
      </c>
      <c r="AJ51" s="94">
        <f t="shared" si="256"/>
        <v>89.1</v>
      </c>
      <c r="AK51" s="94">
        <f t="shared" si="256"/>
        <v>89.1</v>
      </c>
      <c r="AL51" s="94">
        <f t="shared" si="256"/>
        <v>89.1</v>
      </c>
      <c r="AM51" s="94">
        <f t="shared" si="256"/>
        <v>89.1</v>
      </c>
      <c r="AN51" s="94">
        <f t="shared" si="256"/>
        <v>89.1</v>
      </c>
      <c r="AO51" s="94">
        <f t="shared" si="256"/>
        <v>89.1</v>
      </c>
      <c r="AP51" s="94">
        <f t="shared" si="256"/>
        <v>98.010000000000019</v>
      </c>
      <c r="AQ51" s="94">
        <f t="shared" si="256"/>
        <v>98.010000000000019</v>
      </c>
      <c r="AR51" s="94">
        <f t="shared" si="256"/>
        <v>98.010000000000019</v>
      </c>
      <c r="AS51" s="94">
        <f t="shared" si="256"/>
        <v>98.010000000000019</v>
      </c>
      <c r="AT51" s="94">
        <f t="shared" si="256"/>
        <v>98.010000000000019</v>
      </c>
      <c r="AU51" s="94">
        <f t="shared" si="256"/>
        <v>98.010000000000019</v>
      </c>
      <c r="AV51" s="94">
        <f t="shared" si="256"/>
        <v>98.010000000000019</v>
      </c>
      <c r="AW51" s="94">
        <f t="shared" si="256"/>
        <v>98.010000000000019</v>
      </c>
      <c r="AX51" s="94">
        <f t="shared" ref="AX51:BU51" si="257">SUM(AX52:AX54)</f>
        <v>98.010000000000019</v>
      </c>
      <c r="AY51" s="94">
        <f t="shared" si="257"/>
        <v>98.010000000000019</v>
      </c>
      <c r="AZ51" s="94">
        <f t="shared" si="257"/>
        <v>98.010000000000019</v>
      </c>
      <c r="BA51" s="94">
        <f t="shared" si="257"/>
        <v>98.010000000000019</v>
      </c>
      <c r="BB51" s="94">
        <f t="shared" si="257"/>
        <v>112.7115</v>
      </c>
      <c r="BC51" s="94">
        <f t="shared" si="257"/>
        <v>112.7115</v>
      </c>
      <c r="BD51" s="94">
        <f t="shared" si="257"/>
        <v>112.7115</v>
      </c>
      <c r="BE51" s="94">
        <f t="shared" si="257"/>
        <v>112.7115</v>
      </c>
      <c r="BF51" s="94">
        <f t="shared" si="257"/>
        <v>112.7115</v>
      </c>
      <c r="BG51" s="94">
        <f t="shared" si="257"/>
        <v>112.7115</v>
      </c>
      <c r="BH51" s="94">
        <f t="shared" si="257"/>
        <v>112.7115</v>
      </c>
      <c r="BI51" s="94">
        <f t="shared" si="257"/>
        <v>112.7115</v>
      </c>
      <c r="BJ51" s="94">
        <f t="shared" si="257"/>
        <v>112.7115</v>
      </c>
      <c r="BK51" s="94">
        <f t="shared" si="257"/>
        <v>112.7115</v>
      </c>
      <c r="BL51" s="94">
        <f t="shared" si="257"/>
        <v>112.7115</v>
      </c>
      <c r="BM51" s="94">
        <f t="shared" si="257"/>
        <v>112.7115</v>
      </c>
      <c r="BN51" s="94">
        <f t="shared" si="257"/>
        <v>129.618225</v>
      </c>
      <c r="BO51" s="94">
        <f t="shared" si="257"/>
        <v>129.618225</v>
      </c>
      <c r="BP51" s="94">
        <f t="shared" si="257"/>
        <v>129.618225</v>
      </c>
      <c r="BQ51" s="94">
        <f t="shared" si="257"/>
        <v>129.618225</v>
      </c>
      <c r="BR51" s="94">
        <f t="shared" si="257"/>
        <v>129.618225</v>
      </c>
      <c r="BS51" s="94">
        <f t="shared" si="257"/>
        <v>129.618225</v>
      </c>
      <c r="BT51" s="94">
        <f t="shared" si="257"/>
        <v>129.618225</v>
      </c>
      <c r="BU51" s="94">
        <f t="shared" si="257"/>
        <v>129.618225</v>
      </c>
      <c r="BV51" s="94">
        <f t="shared" ref="BV51:BX51" si="258">SUM(BV52:BV54)</f>
        <v>129.618225</v>
      </c>
      <c r="BW51" s="94">
        <f t="shared" si="258"/>
        <v>129.618225</v>
      </c>
      <c r="BX51" s="94">
        <f t="shared" si="258"/>
        <v>129.618225</v>
      </c>
      <c r="BY51" s="94">
        <f t="shared" ref="BY51:CK51" si="259">SUM(BY52:BY54)</f>
        <v>129.618225</v>
      </c>
      <c r="BZ51" s="94">
        <f t="shared" si="259"/>
        <v>135.50996249999997</v>
      </c>
      <c r="CA51" s="94">
        <f t="shared" si="259"/>
        <v>135.50996249999997</v>
      </c>
      <c r="CB51" s="94">
        <f t="shared" si="259"/>
        <v>135.50996249999997</v>
      </c>
      <c r="CC51" s="94">
        <f t="shared" si="259"/>
        <v>135.50996249999997</v>
      </c>
      <c r="CD51" s="94">
        <f t="shared" si="259"/>
        <v>135.50996249999997</v>
      </c>
      <c r="CE51" s="94">
        <f t="shared" si="259"/>
        <v>135.50996249999997</v>
      </c>
      <c r="CF51" s="94">
        <f t="shared" si="259"/>
        <v>135.50996249999997</v>
      </c>
      <c r="CG51" s="94">
        <f t="shared" si="259"/>
        <v>135.50996249999997</v>
      </c>
      <c r="CH51" s="94">
        <f t="shared" si="259"/>
        <v>135.50996249999997</v>
      </c>
      <c r="CI51" s="94">
        <f t="shared" si="259"/>
        <v>135.50996249999997</v>
      </c>
      <c r="CJ51" s="94">
        <f t="shared" si="259"/>
        <v>135.50996249999997</v>
      </c>
      <c r="CK51" s="94">
        <f t="shared" si="259"/>
        <v>135.50996249999997</v>
      </c>
      <c r="CM51" s="94">
        <f t="shared" si="196"/>
        <v>18.947499999999998</v>
      </c>
      <c r="CN51" s="94">
        <f t="shared" si="196"/>
        <v>0</v>
      </c>
      <c r="CO51" s="94">
        <f t="shared" si="196"/>
        <v>668.25</v>
      </c>
      <c r="CP51" s="94">
        <f t="shared" si="196"/>
        <v>1176.1200000000001</v>
      </c>
      <c r="CQ51" s="94">
        <f t="shared" si="196"/>
        <v>1352.538</v>
      </c>
      <c r="CR51" s="94">
        <f t="shared" si="197"/>
        <v>1555.4186999999995</v>
      </c>
      <c r="CS51" s="94">
        <f t="shared" si="197"/>
        <v>1626.1195500000001</v>
      </c>
    </row>
    <row r="52" spans="2:97" outlineLevel="2" x14ac:dyDescent="0.2">
      <c r="B52" s="95" t="s">
        <v>40</v>
      </c>
      <c r="C52" s="92" t="s">
        <v>39</v>
      </c>
      <c r="D52" s="104">
        <v>0.04</v>
      </c>
      <c r="F52" s="22"/>
      <c r="G52" s="22"/>
      <c r="H52" s="22"/>
      <c r="I52" s="22"/>
      <c r="J52" s="22"/>
      <c r="K52" s="22"/>
      <c r="L52" s="22">
        <f t="shared" ref="L52:N53" si="260">L$39*$D52</f>
        <v>0.91652</v>
      </c>
      <c r="M52" s="22">
        <f t="shared" si="260"/>
        <v>2.5510800000000002</v>
      </c>
      <c r="N52" s="22">
        <f t="shared" si="260"/>
        <v>4.8028399999999998</v>
      </c>
      <c r="O52" s="22">
        <f t="shared" ref="O52:S53" si="261">O$39*$D52</f>
        <v>2.5005999999999999</v>
      </c>
      <c r="P52" s="22">
        <f t="shared" si="261"/>
        <v>1.9834800000000001</v>
      </c>
      <c r="Q52" s="22">
        <f t="shared" si="261"/>
        <v>2.4034800000000001</v>
      </c>
      <c r="R52" s="22">
        <f t="shared" si="261"/>
        <v>0</v>
      </c>
      <c r="S52" s="22">
        <f t="shared" si="261"/>
        <v>0</v>
      </c>
      <c r="T52" s="22">
        <f t="shared" ref="T52:CK53" si="262">T$39*$D52</f>
        <v>0</v>
      </c>
      <c r="U52" s="22">
        <f t="shared" si="262"/>
        <v>0</v>
      </c>
      <c r="V52" s="22">
        <f t="shared" si="262"/>
        <v>0</v>
      </c>
      <c r="W52" s="22">
        <f t="shared" si="262"/>
        <v>0</v>
      </c>
      <c r="X52" s="22">
        <f t="shared" si="262"/>
        <v>0</v>
      </c>
      <c r="Y52" s="22">
        <f t="shared" si="262"/>
        <v>0</v>
      </c>
      <c r="Z52" s="22">
        <f t="shared" si="262"/>
        <v>0</v>
      </c>
      <c r="AA52" s="22">
        <f t="shared" si="262"/>
        <v>0</v>
      </c>
      <c r="AB52" s="22">
        <f t="shared" si="262"/>
        <v>0</v>
      </c>
      <c r="AC52" s="22">
        <f t="shared" si="262"/>
        <v>0</v>
      </c>
      <c r="AD52" s="22">
        <f t="shared" si="262"/>
        <v>0</v>
      </c>
      <c r="AE52" s="22">
        <f t="shared" si="262"/>
        <v>0</v>
      </c>
      <c r="AF52" s="22">
        <f t="shared" si="262"/>
        <v>0</v>
      </c>
      <c r="AG52" s="22">
        <f t="shared" si="262"/>
        <v>0</v>
      </c>
      <c r="AH52" s="22">
        <f t="shared" si="262"/>
        <v>35.64</v>
      </c>
      <c r="AI52" s="22">
        <f t="shared" si="262"/>
        <v>71.28</v>
      </c>
      <c r="AJ52" s="22">
        <f t="shared" si="262"/>
        <v>71.28</v>
      </c>
      <c r="AK52" s="22">
        <f t="shared" si="262"/>
        <v>71.28</v>
      </c>
      <c r="AL52" s="22">
        <f t="shared" si="262"/>
        <v>71.28</v>
      </c>
      <c r="AM52" s="22">
        <f t="shared" si="262"/>
        <v>71.28</v>
      </c>
      <c r="AN52" s="22">
        <f t="shared" si="262"/>
        <v>71.28</v>
      </c>
      <c r="AO52" s="22">
        <f t="shared" si="262"/>
        <v>71.28</v>
      </c>
      <c r="AP52" s="22">
        <f t="shared" si="262"/>
        <v>78.408000000000015</v>
      </c>
      <c r="AQ52" s="22">
        <f t="shared" si="262"/>
        <v>78.408000000000015</v>
      </c>
      <c r="AR52" s="22">
        <f t="shared" si="262"/>
        <v>78.408000000000015</v>
      </c>
      <c r="AS52" s="22">
        <f t="shared" si="262"/>
        <v>78.408000000000015</v>
      </c>
      <c r="AT52" s="22">
        <f t="shared" si="262"/>
        <v>78.408000000000015</v>
      </c>
      <c r="AU52" s="22">
        <f t="shared" si="262"/>
        <v>78.408000000000015</v>
      </c>
      <c r="AV52" s="22">
        <f t="shared" si="262"/>
        <v>78.408000000000015</v>
      </c>
      <c r="AW52" s="22">
        <f t="shared" si="262"/>
        <v>78.408000000000015</v>
      </c>
      <c r="AX52" s="22">
        <f t="shared" si="262"/>
        <v>78.408000000000015</v>
      </c>
      <c r="AY52" s="22">
        <f t="shared" si="262"/>
        <v>78.408000000000015</v>
      </c>
      <c r="AZ52" s="22">
        <f t="shared" si="262"/>
        <v>78.408000000000015</v>
      </c>
      <c r="BA52" s="22">
        <f t="shared" si="262"/>
        <v>78.408000000000015</v>
      </c>
      <c r="BB52" s="22">
        <f t="shared" si="262"/>
        <v>90.169200000000004</v>
      </c>
      <c r="BC52" s="22">
        <f t="shared" si="262"/>
        <v>90.169200000000004</v>
      </c>
      <c r="BD52" s="22">
        <f t="shared" si="262"/>
        <v>90.169200000000004</v>
      </c>
      <c r="BE52" s="22">
        <f t="shared" si="262"/>
        <v>90.169200000000004</v>
      </c>
      <c r="BF52" s="22">
        <f t="shared" si="262"/>
        <v>90.169200000000004</v>
      </c>
      <c r="BG52" s="22">
        <f t="shared" si="262"/>
        <v>90.169200000000004</v>
      </c>
      <c r="BH52" s="22">
        <f t="shared" si="262"/>
        <v>90.169200000000004</v>
      </c>
      <c r="BI52" s="22">
        <f t="shared" si="262"/>
        <v>90.169200000000004</v>
      </c>
      <c r="BJ52" s="22">
        <f t="shared" si="262"/>
        <v>90.169200000000004</v>
      </c>
      <c r="BK52" s="22">
        <f t="shared" si="262"/>
        <v>90.169200000000004</v>
      </c>
      <c r="BL52" s="22">
        <f t="shared" si="262"/>
        <v>90.169200000000004</v>
      </c>
      <c r="BM52" s="22">
        <f t="shared" si="262"/>
        <v>90.169200000000004</v>
      </c>
      <c r="BN52" s="22">
        <f t="shared" si="262"/>
        <v>103.69457999999999</v>
      </c>
      <c r="BO52" s="22">
        <f t="shared" si="262"/>
        <v>103.69457999999999</v>
      </c>
      <c r="BP52" s="22">
        <f t="shared" si="262"/>
        <v>103.69457999999999</v>
      </c>
      <c r="BQ52" s="22">
        <f t="shared" si="262"/>
        <v>103.69457999999999</v>
      </c>
      <c r="BR52" s="22">
        <f t="shared" si="262"/>
        <v>103.69457999999999</v>
      </c>
      <c r="BS52" s="22">
        <f t="shared" si="262"/>
        <v>103.69457999999999</v>
      </c>
      <c r="BT52" s="22">
        <f t="shared" si="262"/>
        <v>103.69457999999999</v>
      </c>
      <c r="BU52" s="22">
        <f t="shared" si="262"/>
        <v>103.69457999999999</v>
      </c>
      <c r="BV52" s="22">
        <f t="shared" si="262"/>
        <v>103.69457999999999</v>
      </c>
      <c r="BW52" s="22">
        <f t="shared" si="262"/>
        <v>103.69457999999999</v>
      </c>
      <c r="BX52" s="22">
        <f t="shared" si="262"/>
        <v>103.69457999999999</v>
      </c>
      <c r="BY52" s="22">
        <f t="shared" si="262"/>
        <v>103.69457999999999</v>
      </c>
      <c r="BZ52" s="22">
        <f t="shared" si="262"/>
        <v>108.40796999999998</v>
      </c>
      <c r="CA52" s="22">
        <f t="shared" si="262"/>
        <v>108.40796999999998</v>
      </c>
      <c r="CB52" s="22">
        <f t="shared" si="262"/>
        <v>108.40796999999998</v>
      </c>
      <c r="CC52" s="22">
        <f t="shared" si="262"/>
        <v>108.40796999999998</v>
      </c>
      <c r="CD52" s="22">
        <f t="shared" si="262"/>
        <v>108.40796999999998</v>
      </c>
      <c r="CE52" s="22">
        <f t="shared" si="262"/>
        <v>108.40796999999998</v>
      </c>
      <c r="CF52" s="22">
        <f t="shared" si="262"/>
        <v>108.40796999999998</v>
      </c>
      <c r="CG52" s="22">
        <f t="shared" si="262"/>
        <v>108.40796999999998</v>
      </c>
      <c r="CH52" s="22">
        <f t="shared" si="262"/>
        <v>108.40796999999998</v>
      </c>
      <c r="CI52" s="22">
        <f t="shared" si="262"/>
        <v>108.40796999999998</v>
      </c>
      <c r="CJ52" s="22">
        <f t="shared" si="262"/>
        <v>108.40796999999998</v>
      </c>
      <c r="CK52" s="22">
        <f t="shared" si="262"/>
        <v>108.40796999999998</v>
      </c>
      <c r="CM52" s="10">
        <f t="shared" si="196"/>
        <v>15.158000000000001</v>
      </c>
      <c r="CN52" s="10">
        <f t="shared" si="196"/>
        <v>0</v>
      </c>
      <c r="CO52" s="10">
        <f t="shared" si="196"/>
        <v>534.59999999999991</v>
      </c>
      <c r="CP52" s="10">
        <f t="shared" si="196"/>
        <v>940.89600000000019</v>
      </c>
      <c r="CQ52" s="10">
        <f t="shared" si="196"/>
        <v>1082.0304000000003</v>
      </c>
      <c r="CR52" s="10">
        <f t="shared" si="197"/>
        <v>1244.3349600000001</v>
      </c>
      <c r="CS52" s="10">
        <f t="shared" si="197"/>
        <v>1300.8956399999997</v>
      </c>
    </row>
    <row r="53" spans="2:97" outlineLevel="2" x14ac:dyDescent="0.2">
      <c r="B53" s="95" t="s">
        <v>41</v>
      </c>
      <c r="C53" s="92" t="s">
        <v>39</v>
      </c>
      <c r="D53" s="104">
        <v>0.01</v>
      </c>
      <c r="L53" s="22">
        <f t="shared" si="260"/>
        <v>0.22913</v>
      </c>
      <c r="M53" s="22">
        <f t="shared" si="260"/>
        <v>0.63777000000000006</v>
      </c>
      <c r="N53" s="22">
        <f t="shared" si="260"/>
        <v>1.2007099999999999</v>
      </c>
      <c r="O53" s="22">
        <f t="shared" si="261"/>
        <v>0.62514999999999998</v>
      </c>
      <c r="P53" s="22">
        <f t="shared" si="261"/>
        <v>0.49587000000000003</v>
      </c>
      <c r="Q53" s="22">
        <f t="shared" si="261"/>
        <v>0.60087000000000002</v>
      </c>
      <c r="R53" s="22">
        <f t="shared" si="261"/>
        <v>0</v>
      </c>
      <c r="S53" s="22">
        <f t="shared" si="261"/>
        <v>0</v>
      </c>
      <c r="T53" s="22">
        <f t="shared" si="262"/>
        <v>0</v>
      </c>
      <c r="U53" s="22">
        <f t="shared" si="262"/>
        <v>0</v>
      </c>
      <c r="V53" s="22">
        <f t="shared" si="262"/>
        <v>0</v>
      </c>
      <c r="W53" s="22">
        <f t="shared" si="262"/>
        <v>0</v>
      </c>
      <c r="X53" s="22">
        <f t="shared" si="262"/>
        <v>0</v>
      </c>
      <c r="Y53" s="22">
        <f t="shared" si="262"/>
        <v>0</v>
      </c>
      <c r="Z53" s="22">
        <f t="shared" si="262"/>
        <v>0</v>
      </c>
      <c r="AA53" s="22">
        <f t="shared" si="262"/>
        <v>0</v>
      </c>
      <c r="AB53" s="22">
        <f t="shared" si="262"/>
        <v>0</v>
      </c>
      <c r="AC53" s="22">
        <f t="shared" si="262"/>
        <v>0</v>
      </c>
      <c r="AD53" s="22">
        <f t="shared" si="262"/>
        <v>0</v>
      </c>
      <c r="AE53" s="22">
        <f t="shared" si="262"/>
        <v>0</v>
      </c>
      <c r="AF53" s="22">
        <f t="shared" si="262"/>
        <v>0</v>
      </c>
      <c r="AG53" s="22">
        <f t="shared" si="262"/>
        <v>0</v>
      </c>
      <c r="AH53" s="22">
        <f t="shared" si="262"/>
        <v>8.91</v>
      </c>
      <c r="AI53" s="22">
        <f t="shared" si="262"/>
        <v>17.82</v>
      </c>
      <c r="AJ53" s="22">
        <f t="shared" si="262"/>
        <v>17.82</v>
      </c>
      <c r="AK53" s="22">
        <f t="shared" si="262"/>
        <v>17.82</v>
      </c>
      <c r="AL53" s="22">
        <f t="shared" si="262"/>
        <v>17.82</v>
      </c>
      <c r="AM53" s="22">
        <f t="shared" si="262"/>
        <v>17.82</v>
      </c>
      <c r="AN53" s="22">
        <f t="shared" si="262"/>
        <v>17.82</v>
      </c>
      <c r="AO53" s="22">
        <f t="shared" si="262"/>
        <v>17.82</v>
      </c>
      <c r="AP53" s="22">
        <f t="shared" si="262"/>
        <v>19.602000000000004</v>
      </c>
      <c r="AQ53" s="22">
        <f t="shared" si="262"/>
        <v>19.602000000000004</v>
      </c>
      <c r="AR53" s="22">
        <f t="shared" si="262"/>
        <v>19.602000000000004</v>
      </c>
      <c r="AS53" s="22">
        <f t="shared" si="262"/>
        <v>19.602000000000004</v>
      </c>
      <c r="AT53" s="22">
        <f t="shared" si="262"/>
        <v>19.602000000000004</v>
      </c>
      <c r="AU53" s="22">
        <f t="shared" si="262"/>
        <v>19.602000000000004</v>
      </c>
      <c r="AV53" s="22">
        <f t="shared" si="262"/>
        <v>19.602000000000004</v>
      </c>
      <c r="AW53" s="22">
        <f t="shared" si="262"/>
        <v>19.602000000000004</v>
      </c>
      <c r="AX53" s="22">
        <f t="shared" si="262"/>
        <v>19.602000000000004</v>
      </c>
      <c r="AY53" s="22">
        <f t="shared" si="262"/>
        <v>19.602000000000004</v>
      </c>
      <c r="AZ53" s="22">
        <f t="shared" si="262"/>
        <v>19.602000000000004</v>
      </c>
      <c r="BA53" s="22">
        <f t="shared" si="262"/>
        <v>19.602000000000004</v>
      </c>
      <c r="BB53" s="22">
        <f t="shared" si="262"/>
        <v>22.542300000000001</v>
      </c>
      <c r="BC53" s="22">
        <f t="shared" si="262"/>
        <v>22.542300000000001</v>
      </c>
      <c r="BD53" s="22">
        <f t="shared" si="262"/>
        <v>22.542300000000001</v>
      </c>
      <c r="BE53" s="22">
        <f t="shared" si="262"/>
        <v>22.542300000000001</v>
      </c>
      <c r="BF53" s="22">
        <f t="shared" si="262"/>
        <v>22.542300000000001</v>
      </c>
      <c r="BG53" s="22">
        <f t="shared" si="262"/>
        <v>22.542300000000001</v>
      </c>
      <c r="BH53" s="22">
        <f t="shared" si="262"/>
        <v>22.542300000000001</v>
      </c>
      <c r="BI53" s="22">
        <f t="shared" si="262"/>
        <v>22.542300000000001</v>
      </c>
      <c r="BJ53" s="22">
        <f t="shared" si="262"/>
        <v>22.542300000000001</v>
      </c>
      <c r="BK53" s="22">
        <f t="shared" si="262"/>
        <v>22.542300000000001</v>
      </c>
      <c r="BL53" s="22">
        <f t="shared" si="262"/>
        <v>22.542300000000001</v>
      </c>
      <c r="BM53" s="22">
        <f t="shared" si="262"/>
        <v>22.542300000000001</v>
      </c>
      <c r="BN53" s="22">
        <f t="shared" si="262"/>
        <v>25.923644999999997</v>
      </c>
      <c r="BO53" s="22">
        <f t="shared" si="262"/>
        <v>25.923644999999997</v>
      </c>
      <c r="BP53" s="22">
        <f t="shared" si="262"/>
        <v>25.923644999999997</v>
      </c>
      <c r="BQ53" s="22">
        <f t="shared" si="262"/>
        <v>25.923644999999997</v>
      </c>
      <c r="BR53" s="22">
        <f t="shared" si="262"/>
        <v>25.923644999999997</v>
      </c>
      <c r="BS53" s="22">
        <f t="shared" si="262"/>
        <v>25.923644999999997</v>
      </c>
      <c r="BT53" s="22">
        <f t="shared" si="262"/>
        <v>25.923644999999997</v>
      </c>
      <c r="BU53" s="22">
        <f t="shared" si="262"/>
        <v>25.923644999999997</v>
      </c>
      <c r="BV53" s="22">
        <f t="shared" si="262"/>
        <v>25.923644999999997</v>
      </c>
      <c r="BW53" s="22">
        <f t="shared" si="262"/>
        <v>25.923644999999997</v>
      </c>
      <c r="BX53" s="22">
        <f t="shared" si="262"/>
        <v>25.923644999999997</v>
      </c>
      <c r="BY53" s="22">
        <f t="shared" si="262"/>
        <v>25.923644999999997</v>
      </c>
      <c r="BZ53" s="22">
        <f t="shared" si="262"/>
        <v>27.101992499999994</v>
      </c>
      <c r="CA53" s="22">
        <f t="shared" si="262"/>
        <v>27.101992499999994</v>
      </c>
      <c r="CB53" s="22">
        <f t="shared" si="262"/>
        <v>27.101992499999994</v>
      </c>
      <c r="CC53" s="22">
        <f t="shared" si="262"/>
        <v>27.101992499999994</v>
      </c>
      <c r="CD53" s="22">
        <f t="shared" si="262"/>
        <v>27.101992499999994</v>
      </c>
      <c r="CE53" s="22">
        <f t="shared" si="262"/>
        <v>27.101992499999994</v>
      </c>
      <c r="CF53" s="22">
        <f t="shared" si="262"/>
        <v>27.101992499999994</v>
      </c>
      <c r="CG53" s="22">
        <f t="shared" si="262"/>
        <v>27.101992499999994</v>
      </c>
      <c r="CH53" s="22">
        <f t="shared" si="262"/>
        <v>27.101992499999994</v>
      </c>
      <c r="CI53" s="22">
        <f t="shared" si="262"/>
        <v>27.101992499999994</v>
      </c>
      <c r="CJ53" s="22">
        <f t="shared" si="262"/>
        <v>27.101992499999994</v>
      </c>
      <c r="CK53" s="22">
        <f t="shared" si="262"/>
        <v>27.101992499999994</v>
      </c>
      <c r="CM53" s="10">
        <f t="shared" si="196"/>
        <v>3.7895000000000003</v>
      </c>
      <c r="CN53" s="10">
        <f t="shared" si="196"/>
        <v>0</v>
      </c>
      <c r="CO53" s="10">
        <f t="shared" si="196"/>
        <v>133.64999999999998</v>
      </c>
      <c r="CP53" s="10">
        <f t="shared" si="196"/>
        <v>235.22400000000005</v>
      </c>
      <c r="CQ53" s="10">
        <f t="shared" si="196"/>
        <v>270.50760000000008</v>
      </c>
      <c r="CR53" s="10">
        <f t="shared" si="197"/>
        <v>311.08374000000003</v>
      </c>
      <c r="CS53" s="10">
        <f t="shared" si="197"/>
        <v>325.22390999999993</v>
      </c>
    </row>
    <row r="54" spans="2:97" hidden="1" outlineLevel="2" x14ac:dyDescent="0.2">
      <c r="B54" s="228" t="s">
        <v>18</v>
      </c>
      <c r="C54" s="92"/>
      <c r="D54" s="92"/>
      <c r="CM54" s="10">
        <f t="shared" ref="CM54:CQ60" si="263">SUMIF($L$2:$CK$2,CM$3,$L54:$CK54)</f>
        <v>0</v>
      </c>
      <c r="CN54" s="10">
        <f t="shared" si="263"/>
        <v>0</v>
      </c>
      <c r="CO54" s="10">
        <f t="shared" si="263"/>
        <v>0</v>
      </c>
      <c r="CP54" s="10">
        <f t="shared" si="263"/>
        <v>0</v>
      </c>
      <c r="CQ54" s="10">
        <f t="shared" si="263"/>
        <v>0</v>
      </c>
      <c r="CR54" s="10">
        <f t="shared" si="197"/>
        <v>0</v>
      </c>
      <c r="CS54" s="10">
        <f t="shared" si="197"/>
        <v>0</v>
      </c>
    </row>
    <row r="55" spans="2:97" outlineLevel="1" x14ac:dyDescent="0.2">
      <c r="B55" s="88" t="s">
        <v>19</v>
      </c>
      <c r="C55" s="92"/>
      <c r="D55" s="92"/>
      <c r="F55" s="94">
        <f t="shared" ref="F55:K55" si="264">SUM(F56:F60)</f>
        <v>0</v>
      </c>
      <c r="G55" s="94">
        <f t="shared" si="264"/>
        <v>0</v>
      </c>
      <c r="H55" s="94">
        <f t="shared" si="264"/>
        <v>0</v>
      </c>
      <c r="I55" s="94">
        <f t="shared" si="264"/>
        <v>0</v>
      </c>
      <c r="J55" s="94">
        <f t="shared" si="264"/>
        <v>0</v>
      </c>
      <c r="K55" s="94">
        <f t="shared" si="264"/>
        <v>0</v>
      </c>
      <c r="L55" s="94">
        <f t="shared" ref="L55:AQ55" si="265">SUM(L56:L60)</f>
        <v>1.1456500000000001</v>
      </c>
      <c r="M55" s="94">
        <f t="shared" si="265"/>
        <v>3.18885</v>
      </c>
      <c r="N55" s="94">
        <f t="shared" si="265"/>
        <v>6.0035500000000006</v>
      </c>
      <c r="O55" s="94">
        <f t="shared" si="265"/>
        <v>3.1257499999999996</v>
      </c>
      <c r="P55" s="94">
        <f t="shared" si="265"/>
        <v>2.4793500000000002</v>
      </c>
      <c r="Q55" s="94">
        <f t="shared" si="265"/>
        <v>3.0043500000000005</v>
      </c>
      <c r="R55" s="94">
        <f t="shared" si="265"/>
        <v>0</v>
      </c>
      <c r="S55" s="94">
        <f t="shared" si="265"/>
        <v>0</v>
      </c>
      <c r="T55" s="94">
        <f t="shared" si="265"/>
        <v>0</v>
      </c>
      <c r="U55" s="94">
        <f t="shared" si="265"/>
        <v>0</v>
      </c>
      <c r="V55" s="94">
        <f t="shared" si="265"/>
        <v>0</v>
      </c>
      <c r="W55" s="94">
        <f t="shared" si="265"/>
        <v>0</v>
      </c>
      <c r="X55" s="94">
        <f t="shared" si="265"/>
        <v>0</v>
      </c>
      <c r="Y55" s="94">
        <f t="shared" si="265"/>
        <v>0</v>
      </c>
      <c r="Z55" s="94">
        <f t="shared" si="265"/>
        <v>0</v>
      </c>
      <c r="AA55" s="94">
        <f t="shared" si="265"/>
        <v>0</v>
      </c>
      <c r="AB55" s="94">
        <f t="shared" si="265"/>
        <v>0</v>
      </c>
      <c r="AC55" s="94">
        <f t="shared" si="265"/>
        <v>0</v>
      </c>
      <c r="AD55" s="94">
        <f t="shared" si="265"/>
        <v>0</v>
      </c>
      <c r="AE55" s="94">
        <f t="shared" si="265"/>
        <v>0</v>
      </c>
      <c r="AF55" s="94">
        <f t="shared" si="265"/>
        <v>0</v>
      </c>
      <c r="AG55" s="94">
        <f t="shared" si="265"/>
        <v>0</v>
      </c>
      <c r="AH55" s="94">
        <f t="shared" si="265"/>
        <v>194.55</v>
      </c>
      <c r="AI55" s="94">
        <f t="shared" si="265"/>
        <v>389.1</v>
      </c>
      <c r="AJ55" s="94">
        <f t="shared" si="265"/>
        <v>389.1</v>
      </c>
      <c r="AK55" s="94">
        <f t="shared" si="265"/>
        <v>389.1</v>
      </c>
      <c r="AL55" s="94">
        <f t="shared" si="265"/>
        <v>389.1</v>
      </c>
      <c r="AM55" s="94">
        <f t="shared" si="265"/>
        <v>389.1</v>
      </c>
      <c r="AN55" s="94">
        <f t="shared" si="265"/>
        <v>389.1</v>
      </c>
      <c r="AO55" s="94">
        <f t="shared" si="265"/>
        <v>389.1</v>
      </c>
      <c r="AP55" s="94">
        <f t="shared" si="265"/>
        <v>398.01</v>
      </c>
      <c r="AQ55" s="94">
        <f t="shared" si="265"/>
        <v>398.01</v>
      </c>
      <c r="AR55" s="94">
        <f t="shared" ref="AR55:BU55" si="266">SUM(AR56:AR60)</f>
        <v>398.01</v>
      </c>
      <c r="AS55" s="94">
        <f t="shared" si="266"/>
        <v>398.01</v>
      </c>
      <c r="AT55" s="94">
        <f t="shared" si="266"/>
        <v>398.01</v>
      </c>
      <c r="AU55" s="94">
        <f t="shared" si="266"/>
        <v>398.01</v>
      </c>
      <c r="AV55" s="94">
        <f t="shared" si="266"/>
        <v>398.01</v>
      </c>
      <c r="AW55" s="94">
        <f t="shared" si="266"/>
        <v>398.01</v>
      </c>
      <c r="AX55" s="94">
        <f t="shared" si="266"/>
        <v>398.01</v>
      </c>
      <c r="AY55" s="94">
        <f t="shared" si="266"/>
        <v>398.01</v>
      </c>
      <c r="AZ55" s="94">
        <f t="shared" si="266"/>
        <v>398.01</v>
      </c>
      <c r="BA55" s="94">
        <f t="shared" si="266"/>
        <v>398.01</v>
      </c>
      <c r="BB55" s="94">
        <f t="shared" si="266"/>
        <v>412.71149999999994</v>
      </c>
      <c r="BC55" s="94">
        <f t="shared" si="266"/>
        <v>412.71149999999994</v>
      </c>
      <c r="BD55" s="94">
        <f t="shared" si="266"/>
        <v>412.71149999999994</v>
      </c>
      <c r="BE55" s="94">
        <f t="shared" si="266"/>
        <v>412.71149999999994</v>
      </c>
      <c r="BF55" s="94">
        <f t="shared" si="266"/>
        <v>412.71149999999994</v>
      </c>
      <c r="BG55" s="94">
        <f t="shared" si="266"/>
        <v>412.71149999999994</v>
      </c>
      <c r="BH55" s="94">
        <f t="shared" si="266"/>
        <v>412.71149999999994</v>
      </c>
      <c r="BI55" s="94">
        <f t="shared" si="266"/>
        <v>412.71149999999994</v>
      </c>
      <c r="BJ55" s="94">
        <f t="shared" si="266"/>
        <v>412.71149999999994</v>
      </c>
      <c r="BK55" s="94">
        <f t="shared" si="266"/>
        <v>412.71149999999994</v>
      </c>
      <c r="BL55" s="94">
        <f t="shared" si="266"/>
        <v>412.71149999999994</v>
      </c>
      <c r="BM55" s="94">
        <f t="shared" si="266"/>
        <v>412.71149999999994</v>
      </c>
      <c r="BN55" s="94">
        <f t="shared" si="266"/>
        <v>429.618225</v>
      </c>
      <c r="BO55" s="94">
        <f t="shared" si="266"/>
        <v>429.618225</v>
      </c>
      <c r="BP55" s="94">
        <f t="shared" si="266"/>
        <v>429.618225</v>
      </c>
      <c r="BQ55" s="94">
        <f t="shared" si="266"/>
        <v>429.618225</v>
      </c>
      <c r="BR55" s="94">
        <f t="shared" si="266"/>
        <v>429.618225</v>
      </c>
      <c r="BS55" s="94">
        <f t="shared" si="266"/>
        <v>429.618225</v>
      </c>
      <c r="BT55" s="94">
        <f t="shared" si="266"/>
        <v>429.618225</v>
      </c>
      <c r="BU55" s="94">
        <f t="shared" si="266"/>
        <v>429.618225</v>
      </c>
      <c r="BV55" s="94">
        <f t="shared" ref="BV55:BX55" si="267">SUM(BV56:BV60)</f>
        <v>429.618225</v>
      </c>
      <c r="BW55" s="94">
        <f t="shared" si="267"/>
        <v>429.618225</v>
      </c>
      <c r="BX55" s="94">
        <f t="shared" si="267"/>
        <v>429.618225</v>
      </c>
      <c r="BY55" s="94">
        <f t="shared" ref="BY55:CK55" si="268">SUM(BY56:BY60)</f>
        <v>429.618225</v>
      </c>
      <c r="BZ55" s="94">
        <f t="shared" si="268"/>
        <v>435.50996250000003</v>
      </c>
      <c r="CA55" s="94">
        <f t="shared" si="268"/>
        <v>435.50996250000003</v>
      </c>
      <c r="CB55" s="94">
        <f t="shared" si="268"/>
        <v>435.50996250000003</v>
      </c>
      <c r="CC55" s="94">
        <f t="shared" si="268"/>
        <v>435.50996250000003</v>
      </c>
      <c r="CD55" s="94">
        <f t="shared" si="268"/>
        <v>435.50996250000003</v>
      </c>
      <c r="CE55" s="94">
        <f t="shared" si="268"/>
        <v>435.50996250000003</v>
      </c>
      <c r="CF55" s="94">
        <f t="shared" si="268"/>
        <v>435.50996250000003</v>
      </c>
      <c r="CG55" s="94">
        <f t="shared" si="268"/>
        <v>435.50996250000003</v>
      </c>
      <c r="CH55" s="94">
        <f t="shared" si="268"/>
        <v>435.50996250000003</v>
      </c>
      <c r="CI55" s="94">
        <f t="shared" si="268"/>
        <v>435.50996250000003</v>
      </c>
      <c r="CJ55" s="94">
        <f t="shared" si="268"/>
        <v>435.50996250000003</v>
      </c>
      <c r="CK55" s="94">
        <f t="shared" si="268"/>
        <v>435.50996250000003</v>
      </c>
      <c r="CM55" s="94">
        <f t="shared" si="263"/>
        <v>18.947500000000002</v>
      </c>
      <c r="CN55" s="94">
        <f t="shared" si="263"/>
        <v>0</v>
      </c>
      <c r="CO55" s="94">
        <f t="shared" si="263"/>
        <v>2918.25</v>
      </c>
      <c r="CP55" s="94">
        <f t="shared" si="263"/>
        <v>4776.1200000000008</v>
      </c>
      <c r="CQ55" s="94">
        <f t="shared" si="263"/>
        <v>4952.5380000000005</v>
      </c>
      <c r="CR55" s="94">
        <f t="shared" si="197"/>
        <v>5155.4187000000011</v>
      </c>
      <c r="CS55" s="94">
        <f t="shared" si="197"/>
        <v>5226.1195500000022</v>
      </c>
    </row>
    <row r="56" spans="2:97" outlineLevel="2" x14ac:dyDescent="0.2">
      <c r="B56" s="95" t="s">
        <v>20</v>
      </c>
      <c r="C56" s="92" t="s">
        <v>39</v>
      </c>
      <c r="D56" s="105">
        <v>5.0000000000000001E-3</v>
      </c>
      <c r="F56" s="22"/>
      <c r="G56" s="22"/>
      <c r="H56" s="22"/>
      <c r="I56" s="22"/>
      <c r="J56" s="22"/>
      <c r="K56" s="22"/>
      <c r="L56" s="22">
        <f t="shared" ref="L56:N60" si="269">L$39*$D56</f>
        <v>0.114565</v>
      </c>
      <c r="M56" s="22">
        <f t="shared" si="269"/>
        <v>0.31888500000000003</v>
      </c>
      <c r="N56" s="22">
        <f t="shared" si="269"/>
        <v>0.60035499999999997</v>
      </c>
      <c r="O56" s="22">
        <f t="shared" ref="O56:R60" si="270">O$39*$D56</f>
        <v>0.31257499999999999</v>
      </c>
      <c r="P56" s="22">
        <f t="shared" si="270"/>
        <v>0.24793500000000002</v>
      </c>
      <c r="Q56" s="22">
        <f t="shared" si="270"/>
        <v>0.30043500000000001</v>
      </c>
      <c r="R56" s="22">
        <f t="shared" si="270"/>
        <v>0</v>
      </c>
      <c r="S56" s="22">
        <f t="shared" ref="S56:AH59" si="271">S$39*$D56</f>
        <v>0</v>
      </c>
      <c r="T56" s="22">
        <f t="shared" si="271"/>
        <v>0</v>
      </c>
      <c r="U56" s="22">
        <f t="shared" si="271"/>
        <v>0</v>
      </c>
      <c r="V56" s="22">
        <f t="shared" si="271"/>
        <v>0</v>
      </c>
      <c r="W56" s="22">
        <f t="shared" si="271"/>
        <v>0</v>
      </c>
      <c r="X56" s="22">
        <f t="shared" si="271"/>
        <v>0</v>
      </c>
      <c r="Y56" s="22">
        <f t="shared" si="271"/>
        <v>0</v>
      </c>
      <c r="Z56" s="22">
        <f t="shared" si="271"/>
        <v>0</v>
      </c>
      <c r="AA56" s="22">
        <f t="shared" si="271"/>
        <v>0</v>
      </c>
      <c r="AB56" s="22">
        <f t="shared" si="271"/>
        <v>0</v>
      </c>
      <c r="AC56" s="22">
        <f t="shared" si="271"/>
        <v>0</v>
      </c>
      <c r="AD56" s="22">
        <f t="shared" si="271"/>
        <v>0</v>
      </c>
      <c r="AE56" s="22">
        <f t="shared" si="271"/>
        <v>0</v>
      </c>
      <c r="AF56" s="22">
        <f t="shared" si="271"/>
        <v>0</v>
      </c>
      <c r="AG56" s="22">
        <f t="shared" si="271"/>
        <v>0</v>
      </c>
      <c r="AH56" s="22">
        <f t="shared" si="271"/>
        <v>4.4550000000000001</v>
      </c>
      <c r="AI56" s="22">
        <f t="shared" ref="AH56:CK59" si="272">AI$39*$D56</f>
        <v>8.91</v>
      </c>
      <c r="AJ56" s="22">
        <f t="shared" si="272"/>
        <v>8.91</v>
      </c>
      <c r="AK56" s="22">
        <f t="shared" si="272"/>
        <v>8.91</v>
      </c>
      <c r="AL56" s="22">
        <f t="shared" si="272"/>
        <v>8.91</v>
      </c>
      <c r="AM56" s="22">
        <f t="shared" si="272"/>
        <v>8.91</v>
      </c>
      <c r="AN56" s="22">
        <f t="shared" si="272"/>
        <v>8.91</v>
      </c>
      <c r="AO56" s="22">
        <f t="shared" si="272"/>
        <v>8.91</v>
      </c>
      <c r="AP56" s="22">
        <f t="shared" si="272"/>
        <v>9.8010000000000019</v>
      </c>
      <c r="AQ56" s="22">
        <f t="shared" si="272"/>
        <v>9.8010000000000019</v>
      </c>
      <c r="AR56" s="22">
        <f t="shared" si="272"/>
        <v>9.8010000000000019</v>
      </c>
      <c r="AS56" s="22">
        <f t="shared" si="272"/>
        <v>9.8010000000000019</v>
      </c>
      <c r="AT56" s="22">
        <f t="shared" si="272"/>
        <v>9.8010000000000019</v>
      </c>
      <c r="AU56" s="22">
        <f t="shared" si="272"/>
        <v>9.8010000000000019</v>
      </c>
      <c r="AV56" s="22">
        <f t="shared" si="272"/>
        <v>9.8010000000000019</v>
      </c>
      <c r="AW56" s="22">
        <f t="shared" si="272"/>
        <v>9.8010000000000019</v>
      </c>
      <c r="AX56" s="22">
        <f t="shared" si="272"/>
        <v>9.8010000000000019</v>
      </c>
      <c r="AY56" s="22">
        <f t="shared" si="272"/>
        <v>9.8010000000000019</v>
      </c>
      <c r="AZ56" s="22">
        <f t="shared" si="272"/>
        <v>9.8010000000000019</v>
      </c>
      <c r="BA56" s="22">
        <f t="shared" si="272"/>
        <v>9.8010000000000019</v>
      </c>
      <c r="BB56" s="22">
        <f t="shared" si="272"/>
        <v>11.27115</v>
      </c>
      <c r="BC56" s="22">
        <f t="shared" si="272"/>
        <v>11.27115</v>
      </c>
      <c r="BD56" s="22">
        <f t="shared" si="272"/>
        <v>11.27115</v>
      </c>
      <c r="BE56" s="22">
        <f t="shared" si="272"/>
        <v>11.27115</v>
      </c>
      <c r="BF56" s="22">
        <f t="shared" si="272"/>
        <v>11.27115</v>
      </c>
      <c r="BG56" s="22">
        <f t="shared" si="272"/>
        <v>11.27115</v>
      </c>
      <c r="BH56" s="22">
        <f t="shared" si="272"/>
        <v>11.27115</v>
      </c>
      <c r="BI56" s="22">
        <f t="shared" si="272"/>
        <v>11.27115</v>
      </c>
      <c r="BJ56" s="22">
        <f t="shared" si="272"/>
        <v>11.27115</v>
      </c>
      <c r="BK56" s="22">
        <f t="shared" si="272"/>
        <v>11.27115</v>
      </c>
      <c r="BL56" s="22">
        <f t="shared" si="272"/>
        <v>11.27115</v>
      </c>
      <c r="BM56" s="22">
        <f t="shared" si="272"/>
        <v>11.27115</v>
      </c>
      <c r="BN56" s="22">
        <f t="shared" si="272"/>
        <v>12.961822499999998</v>
      </c>
      <c r="BO56" s="22">
        <f t="shared" si="272"/>
        <v>12.961822499999998</v>
      </c>
      <c r="BP56" s="22">
        <f t="shared" si="272"/>
        <v>12.961822499999998</v>
      </c>
      <c r="BQ56" s="22">
        <f t="shared" si="272"/>
        <v>12.961822499999998</v>
      </c>
      <c r="BR56" s="22">
        <f t="shared" si="272"/>
        <v>12.961822499999998</v>
      </c>
      <c r="BS56" s="22">
        <f t="shared" si="272"/>
        <v>12.961822499999998</v>
      </c>
      <c r="BT56" s="22">
        <f t="shared" si="272"/>
        <v>12.961822499999998</v>
      </c>
      <c r="BU56" s="22">
        <f t="shared" si="272"/>
        <v>12.961822499999998</v>
      </c>
      <c r="BV56" s="22">
        <f t="shared" si="272"/>
        <v>12.961822499999998</v>
      </c>
      <c r="BW56" s="22">
        <f t="shared" si="272"/>
        <v>12.961822499999998</v>
      </c>
      <c r="BX56" s="22">
        <f t="shared" si="272"/>
        <v>12.961822499999998</v>
      </c>
      <c r="BY56" s="22">
        <f t="shared" si="272"/>
        <v>12.961822499999998</v>
      </c>
      <c r="BZ56" s="22">
        <f t="shared" si="272"/>
        <v>13.550996249999997</v>
      </c>
      <c r="CA56" s="22">
        <f t="shared" si="272"/>
        <v>13.550996249999997</v>
      </c>
      <c r="CB56" s="22">
        <f t="shared" si="272"/>
        <v>13.550996249999997</v>
      </c>
      <c r="CC56" s="22">
        <f t="shared" si="272"/>
        <v>13.550996249999997</v>
      </c>
      <c r="CD56" s="22">
        <f t="shared" si="272"/>
        <v>13.550996249999997</v>
      </c>
      <c r="CE56" s="22">
        <f t="shared" si="272"/>
        <v>13.550996249999997</v>
      </c>
      <c r="CF56" s="22">
        <f t="shared" si="272"/>
        <v>13.550996249999997</v>
      </c>
      <c r="CG56" s="22">
        <f t="shared" si="272"/>
        <v>13.550996249999997</v>
      </c>
      <c r="CH56" s="22">
        <f t="shared" si="272"/>
        <v>13.550996249999997</v>
      </c>
      <c r="CI56" s="22">
        <f t="shared" si="272"/>
        <v>13.550996249999997</v>
      </c>
      <c r="CJ56" s="22">
        <f t="shared" si="272"/>
        <v>13.550996249999997</v>
      </c>
      <c r="CK56" s="22">
        <f t="shared" si="272"/>
        <v>13.550996249999997</v>
      </c>
      <c r="CM56" s="10">
        <f t="shared" si="263"/>
        <v>1.8947500000000002</v>
      </c>
      <c r="CN56" s="10">
        <f t="shared" si="263"/>
        <v>0</v>
      </c>
      <c r="CO56" s="10">
        <f t="shared" si="263"/>
        <v>66.824999999999989</v>
      </c>
      <c r="CP56" s="10">
        <f t="shared" si="263"/>
        <v>117.61200000000002</v>
      </c>
      <c r="CQ56" s="10">
        <f t="shared" si="263"/>
        <v>135.25380000000004</v>
      </c>
      <c r="CR56" s="10">
        <f t="shared" si="197"/>
        <v>155.54187000000002</v>
      </c>
      <c r="CS56" s="10">
        <f t="shared" si="197"/>
        <v>162.61195499999997</v>
      </c>
    </row>
    <row r="57" spans="2:97" outlineLevel="2" x14ac:dyDescent="0.2">
      <c r="B57" s="95" t="s">
        <v>418</v>
      </c>
      <c r="C57" s="92" t="s">
        <v>420</v>
      </c>
      <c r="D57" s="92">
        <v>150</v>
      </c>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f>$D57*AH41</f>
        <v>150</v>
      </c>
      <c r="AI57" s="22">
        <f t="shared" ref="AI57:BX57" si="273">$D57*AI41</f>
        <v>300</v>
      </c>
      <c r="AJ57" s="22">
        <f t="shared" si="273"/>
        <v>300</v>
      </c>
      <c r="AK57" s="22">
        <f t="shared" si="273"/>
        <v>300</v>
      </c>
      <c r="AL57" s="22">
        <f t="shared" si="273"/>
        <v>300</v>
      </c>
      <c r="AM57" s="22">
        <f t="shared" si="273"/>
        <v>300</v>
      </c>
      <c r="AN57" s="22">
        <f t="shared" si="273"/>
        <v>300</v>
      </c>
      <c r="AO57" s="22">
        <f t="shared" si="273"/>
        <v>300</v>
      </c>
      <c r="AP57" s="22">
        <f t="shared" si="273"/>
        <v>300</v>
      </c>
      <c r="AQ57" s="22">
        <f t="shared" si="273"/>
        <v>300</v>
      </c>
      <c r="AR57" s="22">
        <f t="shared" si="273"/>
        <v>300</v>
      </c>
      <c r="AS57" s="22">
        <f t="shared" si="273"/>
        <v>300</v>
      </c>
      <c r="AT57" s="22">
        <f t="shared" si="273"/>
        <v>300</v>
      </c>
      <c r="AU57" s="22">
        <f t="shared" si="273"/>
        <v>300</v>
      </c>
      <c r="AV57" s="22">
        <f t="shared" si="273"/>
        <v>300</v>
      </c>
      <c r="AW57" s="22">
        <f t="shared" si="273"/>
        <v>300</v>
      </c>
      <c r="AX57" s="22">
        <f t="shared" si="273"/>
        <v>300</v>
      </c>
      <c r="AY57" s="22">
        <f t="shared" si="273"/>
        <v>300</v>
      </c>
      <c r="AZ57" s="22">
        <f t="shared" si="273"/>
        <v>300</v>
      </c>
      <c r="BA57" s="22">
        <f t="shared" si="273"/>
        <v>300</v>
      </c>
      <c r="BB57" s="22">
        <f t="shared" si="273"/>
        <v>300</v>
      </c>
      <c r="BC57" s="22">
        <f t="shared" si="273"/>
        <v>300</v>
      </c>
      <c r="BD57" s="22">
        <f t="shared" si="273"/>
        <v>300</v>
      </c>
      <c r="BE57" s="22">
        <f t="shared" si="273"/>
        <v>300</v>
      </c>
      <c r="BF57" s="22">
        <f t="shared" si="273"/>
        <v>300</v>
      </c>
      <c r="BG57" s="22">
        <f t="shared" si="273"/>
        <v>300</v>
      </c>
      <c r="BH57" s="22">
        <f t="shared" si="273"/>
        <v>300</v>
      </c>
      <c r="BI57" s="22">
        <f t="shared" si="273"/>
        <v>300</v>
      </c>
      <c r="BJ57" s="22">
        <f t="shared" si="273"/>
        <v>300</v>
      </c>
      <c r="BK57" s="22">
        <f t="shared" si="273"/>
        <v>300</v>
      </c>
      <c r="BL57" s="22">
        <f t="shared" si="273"/>
        <v>300</v>
      </c>
      <c r="BM57" s="22">
        <f t="shared" si="273"/>
        <v>300</v>
      </c>
      <c r="BN57" s="22">
        <f t="shared" si="273"/>
        <v>300</v>
      </c>
      <c r="BO57" s="22">
        <f t="shared" si="273"/>
        <v>300</v>
      </c>
      <c r="BP57" s="22">
        <f t="shared" si="273"/>
        <v>300</v>
      </c>
      <c r="BQ57" s="22">
        <f t="shared" si="273"/>
        <v>300</v>
      </c>
      <c r="BR57" s="22">
        <f t="shared" si="273"/>
        <v>300</v>
      </c>
      <c r="BS57" s="22">
        <f t="shared" si="273"/>
        <v>300</v>
      </c>
      <c r="BT57" s="22">
        <f t="shared" si="273"/>
        <v>300</v>
      </c>
      <c r="BU57" s="22">
        <f t="shared" si="273"/>
        <v>300</v>
      </c>
      <c r="BV57" s="22">
        <f t="shared" si="273"/>
        <v>300</v>
      </c>
      <c r="BW57" s="22">
        <f t="shared" si="273"/>
        <v>300</v>
      </c>
      <c r="BX57" s="22">
        <f t="shared" si="273"/>
        <v>300</v>
      </c>
      <c r="BY57" s="22">
        <f t="shared" ref="BY57:CK57" si="274">$D57*BY41</f>
        <v>300</v>
      </c>
      <c r="BZ57" s="22">
        <f t="shared" si="274"/>
        <v>300</v>
      </c>
      <c r="CA57" s="22">
        <f t="shared" si="274"/>
        <v>300</v>
      </c>
      <c r="CB57" s="22">
        <f t="shared" si="274"/>
        <v>300</v>
      </c>
      <c r="CC57" s="22">
        <f t="shared" si="274"/>
        <v>300</v>
      </c>
      <c r="CD57" s="22">
        <f t="shared" si="274"/>
        <v>300</v>
      </c>
      <c r="CE57" s="22">
        <f t="shared" si="274"/>
        <v>300</v>
      </c>
      <c r="CF57" s="22">
        <f t="shared" si="274"/>
        <v>300</v>
      </c>
      <c r="CG57" s="22">
        <f t="shared" si="274"/>
        <v>300</v>
      </c>
      <c r="CH57" s="22">
        <f t="shared" si="274"/>
        <v>300</v>
      </c>
      <c r="CI57" s="22">
        <f t="shared" si="274"/>
        <v>300</v>
      </c>
      <c r="CJ57" s="22">
        <f t="shared" si="274"/>
        <v>300</v>
      </c>
      <c r="CK57" s="22">
        <f t="shared" si="274"/>
        <v>300</v>
      </c>
      <c r="CM57" s="10">
        <f t="shared" si="263"/>
        <v>0</v>
      </c>
      <c r="CN57" s="10">
        <f t="shared" si="263"/>
        <v>0</v>
      </c>
      <c r="CO57" s="10">
        <f t="shared" si="263"/>
        <v>2250</v>
      </c>
      <c r="CP57" s="10">
        <f t="shared" si="263"/>
        <v>3600</v>
      </c>
      <c r="CQ57" s="10">
        <f t="shared" si="263"/>
        <v>3600</v>
      </c>
      <c r="CR57" s="10">
        <f t="shared" si="197"/>
        <v>3600</v>
      </c>
      <c r="CS57" s="10">
        <f t="shared" si="197"/>
        <v>3600</v>
      </c>
    </row>
    <row r="58" spans="2:97" outlineLevel="2" x14ac:dyDescent="0.2">
      <c r="B58" s="95" t="s">
        <v>21</v>
      </c>
      <c r="C58" s="92" t="s">
        <v>39</v>
      </c>
      <c r="D58" s="105">
        <v>0.01</v>
      </c>
      <c r="F58" s="22"/>
      <c r="G58" s="22"/>
      <c r="H58" s="22"/>
      <c r="I58" s="22"/>
      <c r="J58" s="22"/>
      <c r="K58" s="22"/>
      <c r="L58" s="22">
        <f t="shared" si="269"/>
        <v>0.22913</v>
      </c>
      <c r="M58" s="22">
        <f t="shared" si="269"/>
        <v>0.63777000000000006</v>
      </c>
      <c r="N58" s="22">
        <f t="shared" si="269"/>
        <v>1.2007099999999999</v>
      </c>
      <c r="O58" s="22">
        <f t="shared" si="270"/>
        <v>0.62514999999999998</v>
      </c>
      <c r="P58" s="22">
        <f t="shared" si="270"/>
        <v>0.49587000000000003</v>
      </c>
      <c r="Q58" s="22">
        <f t="shared" si="270"/>
        <v>0.60087000000000002</v>
      </c>
      <c r="R58" s="22">
        <f t="shared" si="270"/>
        <v>0</v>
      </c>
      <c r="S58" s="22">
        <f t="shared" si="271"/>
        <v>0</v>
      </c>
      <c r="T58" s="22">
        <f t="shared" si="271"/>
        <v>0</v>
      </c>
      <c r="U58" s="22">
        <f t="shared" si="271"/>
        <v>0</v>
      </c>
      <c r="V58" s="22">
        <f t="shared" si="271"/>
        <v>0</v>
      </c>
      <c r="W58" s="22">
        <f t="shared" si="271"/>
        <v>0</v>
      </c>
      <c r="X58" s="22">
        <f t="shared" si="271"/>
        <v>0</v>
      </c>
      <c r="Y58" s="22">
        <f t="shared" si="271"/>
        <v>0</v>
      </c>
      <c r="Z58" s="22">
        <f t="shared" si="271"/>
        <v>0</v>
      </c>
      <c r="AA58" s="22">
        <f t="shared" si="271"/>
        <v>0</v>
      </c>
      <c r="AB58" s="22">
        <f t="shared" si="271"/>
        <v>0</v>
      </c>
      <c r="AC58" s="22">
        <f t="shared" si="271"/>
        <v>0</v>
      </c>
      <c r="AD58" s="22">
        <f t="shared" si="271"/>
        <v>0</v>
      </c>
      <c r="AE58" s="22">
        <f t="shared" si="271"/>
        <v>0</v>
      </c>
      <c r="AF58" s="22">
        <f t="shared" si="271"/>
        <v>0</v>
      </c>
      <c r="AG58" s="22">
        <f t="shared" si="271"/>
        <v>0</v>
      </c>
      <c r="AH58" s="22">
        <f t="shared" si="271"/>
        <v>8.91</v>
      </c>
      <c r="AI58" s="22">
        <f t="shared" si="272"/>
        <v>17.82</v>
      </c>
      <c r="AJ58" s="22">
        <f t="shared" si="272"/>
        <v>17.82</v>
      </c>
      <c r="AK58" s="22">
        <f t="shared" si="272"/>
        <v>17.82</v>
      </c>
      <c r="AL58" s="22">
        <f t="shared" si="272"/>
        <v>17.82</v>
      </c>
      <c r="AM58" s="22">
        <f t="shared" si="272"/>
        <v>17.82</v>
      </c>
      <c r="AN58" s="22">
        <f t="shared" si="272"/>
        <v>17.82</v>
      </c>
      <c r="AO58" s="22">
        <f t="shared" si="272"/>
        <v>17.82</v>
      </c>
      <c r="AP58" s="22">
        <f t="shared" si="272"/>
        <v>19.602000000000004</v>
      </c>
      <c r="AQ58" s="22">
        <f t="shared" si="272"/>
        <v>19.602000000000004</v>
      </c>
      <c r="AR58" s="22">
        <f t="shared" si="272"/>
        <v>19.602000000000004</v>
      </c>
      <c r="AS58" s="22">
        <f t="shared" si="272"/>
        <v>19.602000000000004</v>
      </c>
      <c r="AT58" s="22">
        <f t="shared" si="272"/>
        <v>19.602000000000004</v>
      </c>
      <c r="AU58" s="22">
        <f t="shared" si="272"/>
        <v>19.602000000000004</v>
      </c>
      <c r="AV58" s="22">
        <f t="shared" si="272"/>
        <v>19.602000000000004</v>
      </c>
      <c r="AW58" s="22">
        <f t="shared" si="272"/>
        <v>19.602000000000004</v>
      </c>
      <c r="AX58" s="22">
        <f t="shared" si="272"/>
        <v>19.602000000000004</v>
      </c>
      <c r="AY58" s="22">
        <f t="shared" si="272"/>
        <v>19.602000000000004</v>
      </c>
      <c r="AZ58" s="22">
        <f t="shared" si="272"/>
        <v>19.602000000000004</v>
      </c>
      <c r="BA58" s="22">
        <f t="shared" si="272"/>
        <v>19.602000000000004</v>
      </c>
      <c r="BB58" s="22">
        <f t="shared" si="272"/>
        <v>22.542300000000001</v>
      </c>
      <c r="BC58" s="22">
        <f t="shared" si="272"/>
        <v>22.542300000000001</v>
      </c>
      <c r="BD58" s="22">
        <f t="shared" si="272"/>
        <v>22.542300000000001</v>
      </c>
      <c r="BE58" s="22">
        <f t="shared" si="272"/>
        <v>22.542300000000001</v>
      </c>
      <c r="BF58" s="22">
        <f t="shared" si="272"/>
        <v>22.542300000000001</v>
      </c>
      <c r="BG58" s="22">
        <f t="shared" si="272"/>
        <v>22.542300000000001</v>
      </c>
      <c r="BH58" s="22">
        <f t="shared" si="272"/>
        <v>22.542300000000001</v>
      </c>
      <c r="BI58" s="22">
        <f t="shared" si="272"/>
        <v>22.542300000000001</v>
      </c>
      <c r="BJ58" s="22">
        <f t="shared" si="272"/>
        <v>22.542300000000001</v>
      </c>
      <c r="BK58" s="22">
        <f t="shared" si="272"/>
        <v>22.542300000000001</v>
      </c>
      <c r="BL58" s="22">
        <f t="shared" si="272"/>
        <v>22.542300000000001</v>
      </c>
      <c r="BM58" s="22">
        <f t="shared" si="272"/>
        <v>22.542300000000001</v>
      </c>
      <c r="BN58" s="22">
        <f t="shared" si="272"/>
        <v>25.923644999999997</v>
      </c>
      <c r="BO58" s="22">
        <f t="shared" si="272"/>
        <v>25.923644999999997</v>
      </c>
      <c r="BP58" s="22">
        <f t="shared" si="272"/>
        <v>25.923644999999997</v>
      </c>
      <c r="BQ58" s="22">
        <f t="shared" si="272"/>
        <v>25.923644999999997</v>
      </c>
      <c r="BR58" s="22">
        <f t="shared" si="272"/>
        <v>25.923644999999997</v>
      </c>
      <c r="BS58" s="22">
        <f t="shared" si="272"/>
        <v>25.923644999999997</v>
      </c>
      <c r="BT58" s="22">
        <f t="shared" si="272"/>
        <v>25.923644999999997</v>
      </c>
      <c r="BU58" s="22">
        <f t="shared" si="272"/>
        <v>25.923644999999997</v>
      </c>
      <c r="BV58" s="22">
        <f t="shared" si="272"/>
        <v>25.923644999999997</v>
      </c>
      <c r="BW58" s="22">
        <f t="shared" si="272"/>
        <v>25.923644999999997</v>
      </c>
      <c r="BX58" s="22">
        <f t="shared" si="272"/>
        <v>25.923644999999997</v>
      </c>
      <c r="BY58" s="22">
        <f t="shared" si="272"/>
        <v>25.923644999999997</v>
      </c>
      <c r="BZ58" s="22">
        <f t="shared" si="272"/>
        <v>27.101992499999994</v>
      </c>
      <c r="CA58" s="22">
        <f t="shared" si="272"/>
        <v>27.101992499999994</v>
      </c>
      <c r="CB58" s="22">
        <f t="shared" si="272"/>
        <v>27.101992499999994</v>
      </c>
      <c r="CC58" s="22">
        <f t="shared" si="272"/>
        <v>27.101992499999994</v>
      </c>
      <c r="CD58" s="22">
        <f t="shared" si="272"/>
        <v>27.101992499999994</v>
      </c>
      <c r="CE58" s="22">
        <f t="shared" si="272"/>
        <v>27.101992499999994</v>
      </c>
      <c r="CF58" s="22">
        <f t="shared" si="272"/>
        <v>27.101992499999994</v>
      </c>
      <c r="CG58" s="22">
        <f t="shared" si="272"/>
        <v>27.101992499999994</v>
      </c>
      <c r="CH58" s="22">
        <f t="shared" si="272"/>
        <v>27.101992499999994</v>
      </c>
      <c r="CI58" s="22">
        <f t="shared" si="272"/>
        <v>27.101992499999994</v>
      </c>
      <c r="CJ58" s="22">
        <f t="shared" si="272"/>
        <v>27.101992499999994</v>
      </c>
      <c r="CK58" s="22">
        <f t="shared" si="272"/>
        <v>27.101992499999994</v>
      </c>
      <c r="CM58" s="10">
        <f t="shared" si="263"/>
        <v>3.7895000000000003</v>
      </c>
      <c r="CN58" s="10">
        <f t="shared" si="263"/>
        <v>0</v>
      </c>
      <c r="CO58" s="10">
        <f t="shared" si="263"/>
        <v>133.64999999999998</v>
      </c>
      <c r="CP58" s="10">
        <f t="shared" si="263"/>
        <v>235.22400000000005</v>
      </c>
      <c r="CQ58" s="10">
        <f t="shared" si="263"/>
        <v>270.50760000000008</v>
      </c>
      <c r="CR58" s="10">
        <f t="shared" si="197"/>
        <v>311.08374000000003</v>
      </c>
      <c r="CS58" s="10">
        <f t="shared" si="197"/>
        <v>325.22390999999993</v>
      </c>
    </row>
    <row r="59" spans="2:97" outlineLevel="2" x14ac:dyDescent="0.2">
      <c r="B59" s="95" t="s">
        <v>22</v>
      </c>
      <c r="C59" s="92" t="s">
        <v>39</v>
      </c>
      <c r="D59" s="105">
        <v>0.03</v>
      </c>
      <c r="F59" s="22"/>
      <c r="G59" s="22"/>
      <c r="H59" s="22"/>
      <c r="I59" s="22"/>
      <c r="J59" s="22"/>
      <c r="K59" s="22"/>
      <c r="L59" s="22">
        <f t="shared" si="269"/>
        <v>0.68738999999999995</v>
      </c>
      <c r="M59" s="22">
        <f t="shared" si="269"/>
        <v>1.9133100000000001</v>
      </c>
      <c r="N59" s="22">
        <f t="shared" si="269"/>
        <v>3.6021299999999998</v>
      </c>
      <c r="O59" s="22">
        <f t="shared" si="270"/>
        <v>1.8754499999999998</v>
      </c>
      <c r="P59" s="22">
        <f t="shared" si="270"/>
        <v>1.4876100000000001</v>
      </c>
      <c r="Q59" s="22">
        <f t="shared" si="270"/>
        <v>1.80261</v>
      </c>
      <c r="R59" s="22"/>
      <c r="S59" s="22"/>
      <c r="T59" s="22"/>
      <c r="U59" s="22"/>
      <c r="V59" s="22"/>
      <c r="W59" s="22">
        <f t="shared" si="271"/>
        <v>0</v>
      </c>
      <c r="X59" s="22">
        <f t="shared" si="271"/>
        <v>0</v>
      </c>
      <c r="Y59" s="22">
        <f t="shared" si="271"/>
        <v>0</v>
      </c>
      <c r="Z59" s="22">
        <f t="shared" si="271"/>
        <v>0</v>
      </c>
      <c r="AA59" s="22">
        <f t="shared" si="271"/>
        <v>0</v>
      </c>
      <c r="AB59" s="22">
        <f t="shared" si="271"/>
        <v>0</v>
      </c>
      <c r="AC59" s="22">
        <f t="shared" si="271"/>
        <v>0</v>
      </c>
      <c r="AD59" s="22">
        <v>0</v>
      </c>
      <c r="AE59" s="22">
        <v>0</v>
      </c>
      <c r="AF59" s="22"/>
      <c r="AG59" s="22"/>
      <c r="AH59" s="22">
        <f t="shared" si="272"/>
        <v>26.73</v>
      </c>
      <c r="AI59" s="22">
        <f t="shared" si="272"/>
        <v>53.46</v>
      </c>
      <c r="AJ59" s="22">
        <f t="shared" si="272"/>
        <v>53.46</v>
      </c>
      <c r="AK59" s="22">
        <f t="shared" si="272"/>
        <v>53.46</v>
      </c>
      <c r="AL59" s="22">
        <f t="shared" si="272"/>
        <v>53.46</v>
      </c>
      <c r="AM59" s="22">
        <f t="shared" si="272"/>
        <v>53.46</v>
      </c>
      <c r="AN59" s="22">
        <f t="shared" si="272"/>
        <v>53.46</v>
      </c>
      <c r="AO59" s="22">
        <f t="shared" si="272"/>
        <v>53.46</v>
      </c>
      <c r="AP59" s="22">
        <f t="shared" si="272"/>
        <v>58.806000000000004</v>
      </c>
      <c r="AQ59" s="22">
        <f t="shared" si="272"/>
        <v>58.806000000000004</v>
      </c>
      <c r="AR59" s="22">
        <f t="shared" si="272"/>
        <v>58.806000000000004</v>
      </c>
      <c r="AS59" s="22">
        <f t="shared" si="272"/>
        <v>58.806000000000004</v>
      </c>
      <c r="AT59" s="22">
        <f t="shared" si="272"/>
        <v>58.806000000000004</v>
      </c>
      <c r="AU59" s="22">
        <f t="shared" si="272"/>
        <v>58.806000000000004</v>
      </c>
      <c r="AV59" s="22">
        <f t="shared" si="272"/>
        <v>58.806000000000004</v>
      </c>
      <c r="AW59" s="22">
        <f t="shared" si="272"/>
        <v>58.806000000000004</v>
      </c>
      <c r="AX59" s="22">
        <f t="shared" si="272"/>
        <v>58.806000000000004</v>
      </c>
      <c r="AY59" s="22">
        <f t="shared" si="272"/>
        <v>58.806000000000004</v>
      </c>
      <c r="AZ59" s="22">
        <f t="shared" si="272"/>
        <v>58.806000000000004</v>
      </c>
      <c r="BA59" s="22">
        <f t="shared" si="272"/>
        <v>58.806000000000004</v>
      </c>
      <c r="BB59" s="22">
        <f t="shared" si="272"/>
        <v>67.626899999999992</v>
      </c>
      <c r="BC59" s="22">
        <f t="shared" si="272"/>
        <v>67.626899999999992</v>
      </c>
      <c r="BD59" s="22">
        <f t="shared" si="272"/>
        <v>67.626899999999992</v>
      </c>
      <c r="BE59" s="22">
        <f t="shared" si="272"/>
        <v>67.626899999999992</v>
      </c>
      <c r="BF59" s="22">
        <f t="shared" si="272"/>
        <v>67.626899999999992</v>
      </c>
      <c r="BG59" s="22">
        <f t="shared" si="272"/>
        <v>67.626899999999992</v>
      </c>
      <c r="BH59" s="22">
        <f t="shared" si="272"/>
        <v>67.626899999999992</v>
      </c>
      <c r="BI59" s="22">
        <f t="shared" si="272"/>
        <v>67.626899999999992</v>
      </c>
      <c r="BJ59" s="22">
        <f t="shared" si="272"/>
        <v>67.626899999999992</v>
      </c>
      <c r="BK59" s="22">
        <f t="shared" si="272"/>
        <v>67.626899999999992</v>
      </c>
      <c r="BL59" s="22">
        <f t="shared" si="272"/>
        <v>67.626899999999992</v>
      </c>
      <c r="BM59" s="22">
        <f t="shared" si="272"/>
        <v>67.626899999999992</v>
      </c>
      <c r="BN59" s="22">
        <f t="shared" si="272"/>
        <v>77.770934999999994</v>
      </c>
      <c r="BO59" s="22">
        <f t="shared" si="272"/>
        <v>77.770934999999994</v>
      </c>
      <c r="BP59" s="22">
        <f t="shared" si="272"/>
        <v>77.770934999999994</v>
      </c>
      <c r="BQ59" s="22">
        <f t="shared" si="272"/>
        <v>77.770934999999994</v>
      </c>
      <c r="BR59" s="22">
        <f t="shared" si="272"/>
        <v>77.770934999999994</v>
      </c>
      <c r="BS59" s="22">
        <f t="shared" si="272"/>
        <v>77.770934999999994</v>
      </c>
      <c r="BT59" s="22">
        <f t="shared" si="272"/>
        <v>77.770934999999994</v>
      </c>
      <c r="BU59" s="22">
        <f t="shared" si="272"/>
        <v>77.770934999999994</v>
      </c>
      <c r="BV59" s="22">
        <f t="shared" si="272"/>
        <v>77.770934999999994</v>
      </c>
      <c r="BW59" s="22">
        <f t="shared" si="272"/>
        <v>77.770934999999994</v>
      </c>
      <c r="BX59" s="22">
        <f t="shared" si="272"/>
        <v>77.770934999999994</v>
      </c>
      <c r="BY59" s="22">
        <f t="shared" si="272"/>
        <v>77.770934999999994</v>
      </c>
      <c r="BZ59" s="22">
        <f t="shared" si="272"/>
        <v>81.305977499999969</v>
      </c>
      <c r="CA59" s="22">
        <f t="shared" si="272"/>
        <v>81.305977499999969</v>
      </c>
      <c r="CB59" s="22">
        <f t="shared" si="272"/>
        <v>81.305977499999969</v>
      </c>
      <c r="CC59" s="22">
        <f t="shared" si="272"/>
        <v>81.305977499999969</v>
      </c>
      <c r="CD59" s="22">
        <f t="shared" si="272"/>
        <v>81.305977499999969</v>
      </c>
      <c r="CE59" s="22">
        <f t="shared" si="272"/>
        <v>81.305977499999969</v>
      </c>
      <c r="CF59" s="22">
        <f t="shared" si="272"/>
        <v>81.305977499999969</v>
      </c>
      <c r="CG59" s="22">
        <f t="shared" si="272"/>
        <v>81.305977499999969</v>
      </c>
      <c r="CH59" s="22">
        <f t="shared" si="272"/>
        <v>81.305977499999969</v>
      </c>
      <c r="CI59" s="22">
        <f t="shared" si="272"/>
        <v>81.305977499999969</v>
      </c>
      <c r="CJ59" s="22">
        <f t="shared" si="272"/>
        <v>81.305977499999969</v>
      </c>
      <c r="CK59" s="22">
        <f t="shared" si="272"/>
        <v>81.305977499999969</v>
      </c>
      <c r="CM59" s="10">
        <f t="shared" si="263"/>
        <v>11.368499999999999</v>
      </c>
      <c r="CN59" s="10">
        <f t="shared" si="263"/>
        <v>0</v>
      </c>
      <c r="CO59" s="10">
        <f t="shared" si="263"/>
        <v>400.95</v>
      </c>
      <c r="CP59" s="10">
        <f t="shared" si="263"/>
        <v>705.67200000000014</v>
      </c>
      <c r="CQ59" s="10">
        <f t="shared" si="263"/>
        <v>811.52279999999985</v>
      </c>
      <c r="CR59" s="10">
        <f t="shared" si="197"/>
        <v>933.25121999999999</v>
      </c>
      <c r="CS59" s="10">
        <f t="shared" si="197"/>
        <v>975.67172999999946</v>
      </c>
    </row>
    <row r="60" spans="2:97" outlineLevel="2" x14ac:dyDescent="0.2">
      <c r="B60" s="95" t="s">
        <v>24</v>
      </c>
      <c r="C60" s="92"/>
      <c r="D60" s="106">
        <v>5.0000000000000001E-3</v>
      </c>
      <c r="F60" s="22"/>
      <c r="G60" s="22"/>
      <c r="H60" s="22"/>
      <c r="I60" s="22"/>
      <c r="J60" s="22"/>
      <c r="K60" s="22"/>
      <c r="L60" s="22">
        <f t="shared" si="269"/>
        <v>0.114565</v>
      </c>
      <c r="M60" s="22">
        <f t="shared" si="269"/>
        <v>0.31888500000000003</v>
      </c>
      <c r="N60" s="22">
        <f t="shared" si="269"/>
        <v>0.60035499999999997</v>
      </c>
      <c r="O60" s="22">
        <f t="shared" si="270"/>
        <v>0.31257499999999999</v>
      </c>
      <c r="P60" s="22">
        <f t="shared" si="270"/>
        <v>0.24793500000000002</v>
      </c>
      <c r="Q60" s="22">
        <f t="shared" si="270"/>
        <v>0.30043500000000001</v>
      </c>
      <c r="R60" s="22">
        <f t="shared" si="270"/>
        <v>0</v>
      </c>
      <c r="S60" s="22">
        <f t="shared" ref="S60:CK60" si="275">S$39*$D60</f>
        <v>0</v>
      </c>
      <c r="T60" s="22">
        <f t="shared" si="275"/>
        <v>0</v>
      </c>
      <c r="U60" s="22">
        <f t="shared" si="275"/>
        <v>0</v>
      </c>
      <c r="V60" s="22">
        <f t="shared" si="275"/>
        <v>0</v>
      </c>
      <c r="W60" s="22">
        <f t="shared" si="275"/>
        <v>0</v>
      </c>
      <c r="X60" s="22">
        <f t="shared" si="275"/>
        <v>0</v>
      </c>
      <c r="Y60" s="22">
        <f t="shared" si="275"/>
        <v>0</v>
      </c>
      <c r="Z60" s="22">
        <f t="shared" si="275"/>
        <v>0</v>
      </c>
      <c r="AA60" s="22">
        <f t="shared" si="275"/>
        <v>0</v>
      </c>
      <c r="AB60" s="22">
        <f t="shared" si="275"/>
        <v>0</v>
      </c>
      <c r="AC60" s="22">
        <f t="shared" si="275"/>
        <v>0</v>
      </c>
      <c r="AD60" s="22">
        <f t="shared" si="275"/>
        <v>0</v>
      </c>
      <c r="AE60" s="22">
        <f t="shared" si="275"/>
        <v>0</v>
      </c>
      <c r="AF60" s="22">
        <f t="shared" si="275"/>
        <v>0</v>
      </c>
      <c r="AG60" s="22">
        <f t="shared" si="275"/>
        <v>0</v>
      </c>
      <c r="AH60" s="22">
        <f t="shared" si="275"/>
        <v>4.4550000000000001</v>
      </c>
      <c r="AI60" s="22">
        <f t="shared" si="275"/>
        <v>8.91</v>
      </c>
      <c r="AJ60" s="22">
        <f t="shared" si="275"/>
        <v>8.91</v>
      </c>
      <c r="AK60" s="22">
        <f t="shared" si="275"/>
        <v>8.91</v>
      </c>
      <c r="AL60" s="22">
        <f t="shared" si="275"/>
        <v>8.91</v>
      </c>
      <c r="AM60" s="22">
        <f t="shared" si="275"/>
        <v>8.91</v>
      </c>
      <c r="AN60" s="22">
        <f t="shared" si="275"/>
        <v>8.91</v>
      </c>
      <c r="AO60" s="22">
        <f t="shared" si="275"/>
        <v>8.91</v>
      </c>
      <c r="AP60" s="22">
        <f t="shared" si="275"/>
        <v>9.8010000000000019</v>
      </c>
      <c r="AQ60" s="22">
        <f t="shared" si="275"/>
        <v>9.8010000000000019</v>
      </c>
      <c r="AR60" s="22">
        <f t="shared" si="275"/>
        <v>9.8010000000000019</v>
      </c>
      <c r="AS60" s="22">
        <f t="shared" si="275"/>
        <v>9.8010000000000019</v>
      </c>
      <c r="AT60" s="22">
        <f t="shared" si="275"/>
        <v>9.8010000000000019</v>
      </c>
      <c r="AU60" s="22">
        <f t="shared" si="275"/>
        <v>9.8010000000000019</v>
      </c>
      <c r="AV60" s="22">
        <f t="shared" si="275"/>
        <v>9.8010000000000019</v>
      </c>
      <c r="AW60" s="22">
        <f t="shared" si="275"/>
        <v>9.8010000000000019</v>
      </c>
      <c r="AX60" s="22">
        <f t="shared" si="275"/>
        <v>9.8010000000000019</v>
      </c>
      <c r="AY60" s="22">
        <f t="shared" si="275"/>
        <v>9.8010000000000019</v>
      </c>
      <c r="AZ60" s="22">
        <f t="shared" si="275"/>
        <v>9.8010000000000019</v>
      </c>
      <c r="BA60" s="22">
        <f t="shared" si="275"/>
        <v>9.8010000000000019</v>
      </c>
      <c r="BB60" s="22">
        <f t="shared" si="275"/>
        <v>11.27115</v>
      </c>
      <c r="BC60" s="22">
        <f t="shared" si="275"/>
        <v>11.27115</v>
      </c>
      <c r="BD60" s="22">
        <f t="shared" si="275"/>
        <v>11.27115</v>
      </c>
      <c r="BE60" s="22">
        <f t="shared" si="275"/>
        <v>11.27115</v>
      </c>
      <c r="BF60" s="22">
        <f t="shared" si="275"/>
        <v>11.27115</v>
      </c>
      <c r="BG60" s="22">
        <f t="shared" si="275"/>
        <v>11.27115</v>
      </c>
      <c r="BH60" s="22">
        <f t="shared" si="275"/>
        <v>11.27115</v>
      </c>
      <c r="BI60" s="22">
        <f t="shared" si="275"/>
        <v>11.27115</v>
      </c>
      <c r="BJ60" s="22">
        <f t="shared" si="275"/>
        <v>11.27115</v>
      </c>
      <c r="BK60" s="22">
        <f t="shared" si="275"/>
        <v>11.27115</v>
      </c>
      <c r="BL60" s="22">
        <f t="shared" si="275"/>
        <v>11.27115</v>
      </c>
      <c r="BM60" s="22">
        <f t="shared" si="275"/>
        <v>11.27115</v>
      </c>
      <c r="BN60" s="22">
        <f t="shared" si="275"/>
        <v>12.961822499999998</v>
      </c>
      <c r="BO60" s="22">
        <f t="shared" si="275"/>
        <v>12.961822499999998</v>
      </c>
      <c r="BP60" s="22">
        <f t="shared" si="275"/>
        <v>12.961822499999998</v>
      </c>
      <c r="BQ60" s="22">
        <f t="shared" si="275"/>
        <v>12.961822499999998</v>
      </c>
      <c r="BR60" s="22">
        <f t="shared" si="275"/>
        <v>12.961822499999998</v>
      </c>
      <c r="BS60" s="22">
        <f t="shared" si="275"/>
        <v>12.961822499999998</v>
      </c>
      <c r="BT60" s="22">
        <f t="shared" si="275"/>
        <v>12.961822499999998</v>
      </c>
      <c r="BU60" s="22">
        <f t="shared" si="275"/>
        <v>12.961822499999998</v>
      </c>
      <c r="BV60" s="22">
        <f t="shared" si="275"/>
        <v>12.961822499999998</v>
      </c>
      <c r="BW60" s="22">
        <f t="shared" si="275"/>
        <v>12.961822499999998</v>
      </c>
      <c r="BX60" s="22">
        <f t="shared" si="275"/>
        <v>12.961822499999998</v>
      </c>
      <c r="BY60" s="22">
        <f t="shared" si="275"/>
        <v>12.961822499999998</v>
      </c>
      <c r="BZ60" s="22">
        <f t="shared" si="275"/>
        <v>13.550996249999997</v>
      </c>
      <c r="CA60" s="22">
        <f t="shared" si="275"/>
        <v>13.550996249999997</v>
      </c>
      <c r="CB60" s="22">
        <f t="shared" si="275"/>
        <v>13.550996249999997</v>
      </c>
      <c r="CC60" s="22">
        <f t="shared" si="275"/>
        <v>13.550996249999997</v>
      </c>
      <c r="CD60" s="22">
        <f t="shared" si="275"/>
        <v>13.550996249999997</v>
      </c>
      <c r="CE60" s="22">
        <f t="shared" si="275"/>
        <v>13.550996249999997</v>
      </c>
      <c r="CF60" s="22">
        <f t="shared" si="275"/>
        <v>13.550996249999997</v>
      </c>
      <c r="CG60" s="22">
        <f t="shared" si="275"/>
        <v>13.550996249999997</v>
      </c>
      <c r="CH60" s="22">
        <f t="shared" si="275"/>
        <v>13.550996249999997</v>
      </c>
      <c r="CI60" s="22">
        <f t="shared" si="275"/>
        <v>13.550996249999997</v>
      </c>
      <c r="CJ60" s="22">
        <f t="shared" si="275"/>
        <v>13.550996249999997</v>
      </c>
      <c r="CK60" s="22">
        <f t="shared" si="275"/>
        <v>13.550996249999997</v>
      </c>
      <c r="CM60" s="10">
        <f t="shared" si="263"/>
        <v>1.8947500000000002</v>
      </c>
      <c r="CN60" s="10">
        <f t="shared" si="263"/>
        <v>0</v>
      </c>
      <c r="CO60" s="10">
        <f t="shared" si="263"/>
        <v>66.824999999999989</v>
      </c>
      <c r="CP60" s="10">
        <f t="shared" si="263"/>
        <v>117.61200000000002</v>
      </c>
      <c r="CQ60" s="10">
        <f t="shared" si="263"/>
        <v>135.25380000000004</v>
      </c>
      <c r="CR60" s="10">
        <f t="shared" ref="CR60:CS60" si="276">SUMIF($L$2:$CK$2,CR$3,$L60:$CK60)</f>
        <v>155.54187000000002</v>
      </c>
      <c r="CS60" s="10">
        <f t="shared" si="276"/>
        <v>162.61195499999997</v>
      </c>
    </row>
    <row r="61" spans="2:97" hidden="1" x14ac:dyDescent="0.2">
      <c r="B61" s="12" t="s">
        <v>25</v>
      </c>
      <c r="F61" s="14">
        <f t="shared" ref="F61:K61" si="277">SUM(F62:F74)</f>
        <v>0</v>
      </c>
      <c r="G61" s="14">
        <f t="shared" si="277"/>
        <v>0</v>
      </c>
      <c r="H61" s="14">
        <f t="shared" si="277"/>
        <v>0</v>
      </c>
      <c r="I61" s="14">
        <f t="shared" si="277"/>
        <v>0</v>
      </c>
      <c r="J61" s="14">
        <f t="shared" si="277"/>
        <v>0</v>
      </c>
      <c r="K61" s="14">
        <f t="shared" si="277"/>
        <v>0</v>
      </c>
      <c r="L61" s="14">
        <f>SUM(L62:L74)</f>
        <v>0</v>
      </c>
    </row>
    <row r="62" spans="2:97" hidden="1" x14ac:dyDescent="0.2">
      <c r="B62" s="214" t="s">
        <v>26</v>
      </c>
    </row>
    <row r="63" spans="2:97" hidden="1" x14ac:dyDescent="0.2">
      <c r="B63" s="214" t="s">
        <v>27</v>
      </c>
    </row>
    <row r="64" spans="2:97" hidden="1" x14ac:dyDescent="0.2">
      <c r="B64" s="214" t="s">
        <v>28</v>
      </c>
    </row>
    <row r="65" spans="2:97" hidden="1" x14ac:dyDescent="0.2">
      <c r="B65" s="214" t="s">
        <v>29</v>
      </c>
    </row>
    <row r="66" spans="2:97" hidden="1" x14ac:dyDescent="0.2">
      <c r="B66" s="214" t="s">
        <v>15</v>
      </c>
    </row>
    <row r="67" spans="2:97" hidden="1" x14ac:dyDescent="0.2">
      <c r="B67" s="214" t="s">
        <v>30</v>
      </c>
    </row>
    <row r="68" spans="2:97" hidden="1" x14ac:dyDescent="0.2">
      <c r="B68" s="214" t="s">
        <v>31</v>
      </c>
    </row>
    <row r="69" spans="2:97" hidden="1" x14ac:dyDescent="0.2">
      <c r="B69" s="214" t="s">
        <v>32</v>
      </c>
    </row>
    <row r="70" spans="2:97" hidden="1" x14ac:dyDescent="0.2">
      <c r="B70" s="214" t="s">
        <v>33</v>
      </c>
    </row>
    <row r="71" spans="2:97" hidden="1" x14ac:dyDescent="0.2">
      <c r="B71" s="214" t="s">
        <v>34</v>
      </c>
    </row>
    <row r="72" spans="2:97" hidden="1" x14ac:dyDescent="0.2">
      <c r="B72" s="214" t="s">
        <v>35</v>
      </c>
    </row>
    <row r="73" spans="2:97" hidden="1" x14ac:dyDescent="0.2">
      <c r="B73" s="214" t="s">
        <v>36</v>
      </c>
    </row>
    <row r="74" spans="2:97" hidden="1" x14ac:dyDescent="0.2">
      <c r="B74" s="214" t="s">
        <v>37</v>
      </c>
    </row>
    <row r="75" spans="2:97" x14ac:dyDescent="0.2">
      <c r="B75" s="20" t="s">
        <v>6</v>
      </c>
      <c r="C75" s="23" t="s">
        <v>4</v>
      </c>
      <c r="D75" s="23"/>
      <c r="F75" s="24">
        <f t="shared" ref="F75:K75" si="278">F44+F47</f>
        <v>0</v>
      </c>
      <c r="G75" s="24">
        <f t="shared" si="278"/>
        <v>0</v>
      </c>
      <c r="H75" s="24">
        <f t="shared" si="278"/>
        <v>0</v>
      </c>
      <c r="I75" s="24">
        <f t="shared" si="278"/>
        <v>0</v>
      </c>
      <c r="J75" s="24">
        <f t="shared" si="278"/>
        <v>0</v>
      </c>
      <c r="K75" s="24">
        <f t="shared" si="278"/>
        <v>0</v>
      </c>
      <c r="L75" s="24">
        <f t="shared" ref="L75:AQ75" si="279">L44+L47</f>
        <v>188.10126999999997</v>
      </c>
      <c r="M75" s="24">
        <f t="shared" si="279"/>
        <v>120.38383</v>
      </c>
      <c r="N75" s="24">
        <f t="shared" si="279"/>
        <v>164.85608999999999</v>
      </c>
      <c r="O75" s="24">
        <f t="shared" si="279"/>
        <v>119.38684999999998</v>
      </c>
      <c r="P75" s="24">
        <f t="shared" si="279"/>
        <v>109.17372999999999</v>
      </c>
      <c r="Q75" s="24">
        <f t="shared" si="279"/>
        <v>117.46872999999999</v>
      </c>
      <c r="R75" s="24">
        <f t="shared" si="279"/>
        <v>0</v>
      </c>
      <c r="S75" s="24">
        <f t="shared" si="279"/>
        <v>0</v>
      </c>
      <c r="T75" s="24">
        <f t="shared" si="279"/>
        <v>0</v>
      </c>
      <c r="U75" s="24">
        <f t="shared" si="279"/>
        <v>0</v>
      </c>
      <c r="V75" s="24">
        <f t="shared" si="279"/>
        <v>0</v>
      </c>
      <c r="W75" s="24">
        <f t="shared" si="279"/>
        <v>0</v>
      </c>
      <c r="X75" s="24">
        <f t="shared" si="279"/>
        <v>0</v>
      </c>
      <c r="Y75" s="24">
        <f t="shared" si="279"/>
        <v>0</v>
      </c>
      <c r="Z75" s="24">
        <f t="shared" si="279"/>
        <v>0</v>
      </c>
      <c r="AA75" s="24">
        <f t="shared" si="279"/>
        <v>0</v>
      </c>
      <c r="AB75" s="24">
        <f t="shared" si="279"/>
        <v>0</v>
      </c>
      <c r="AC75" s="24">
        <f t="shared" si="279"/>
        <v>0</v>
      </c>
      <c r="AD75" s="24">
        <f t="shared" si="279"/>
        <v>0</v>
      </c>
      <c r="AE75" s="24">
        <f t="shared" si="279"/>
        <v>0</v>
      </c>
      <c r="AF75" s="24">
        <f t="shared" si="279"/>
        <v>20</v>
      </c>
      <c r="AG75" s="24">
        <f t="shared" si="279"/>
        <v>480</v>
      </c>
      <c r="AH75" s="24">
        <f t="shared" si="279"/>
        <v>893.25</v>
      </c>
      <c r="AI75" s="24">
        <f t="shared" si="279"/>
        <v>1711.5</v>
      </c>
      <c r="AJ75" s="24">
        <f t="shared" si="279"/>
        <v>1721.5</v>
      </c>
      <c r="AK75" s="24">
        <f t="shared" si="279"/>
        <v>1721.5</v>
      </c>
      <c r="AL75" s="24">
        <f t="shared" si="279"/>
        <v>1721.5</v>
      </c>
      <c r="AM75" s="24">
        <f t="shared" si="279"/>
        <v>1721.5</v>
      </c>
      <c r="AN75" s="24">
        <f t="shared" si="279"/>
        <v>1721.5</v>
      </c>
      <c r="AO75" s="24">
        <f t="shared" si="279"/>
        <v>1721.5</v>
      </c>
      <c r="AP75" s="24">
        <f t="shared" si="279"/>
        <v>1855.15</v>
      </c>
      <c r="AQ75" s="24">
        <f t="shared" si="279"/>
        <v>1855.15</v>
      </c>
      <c r="AR75" s="24">
        <f t="shared" ref="AR75:BU75" si="280">AR44+AR47</f>
        <v>1855.15</v>
      </c>
      <c r="AS75" s="24">
        <f t="shared" si="280"/>
        <v>1855.15</v>
      </c>
      <c r="AT75" s="24">
        <f t="shared" si="280"/>
        <v>1855.15</v>
      </c>
      <c r="AU75" s="24">
        <f t="shared" si="280"/>
        <v>1855.15</v>
      </c>
      <c r="AV75" s="24">
        <f t="shared" si="280"/>
        <v>1855.15</v>
      </c>
      <c r="AW75" s="24">
        <f t="shared" si="280"/>
        <v>1855.15</v>
      </c>
      <c r="AX75" s="24">
        <f t="shared" si="280"/>
        <v>1855.15</v>
      </c>
      <c r="AY75" s="24">
        <f t="shared" si="280"/>
        <v>1855.15</v>
      </c>
      <c r="AZ75" s="24">
        <f t="shared" si="280"/>
        <v>1855.15</v>
      </c>
      <c r="BA75" s="24">
        <f t="shared" si="280"/>
        <v>1855.15</v>
      </c>
      <c r="BB75" s="24">
        <f t="shared" si="280"/>
        <v>2075.6725000000001</v>
      </c>
      <c r="BC75" s="24">
        <f t="shared" si="280"/>
        <v>2075.6725000000001</v>
      </c>
      <c r="BD75" s="24">
        <f t="shared" si="280"/>
        <v>2075.6725000000001</v>
      </c>
      <c r="BE75" s="24">
        <f t="shared" si="280"/>
        <v>2075.6725000000001</v>
      </c>
      <c r="BF75" s="24">
        <f t="shared" si="280"/>
        <v>2075.6725000000001</v>
      </c>
      <c r="BG75" s="24">
        <f t="shared" si="280"/>
        <v>2075.6725000000001</v>
      </c>
      <c r="BH75" s="24">
        <f t="shared" si="280"/>
        <v>2075.6725000000001</v>
      </c>
      <c r="BI75" s="24">
        <f t="shared" si="280"/>
        <v>2075.6725000000001</v>
      </c>
      <c r="BJ75" s="24">
        <f t="shared" si="280"/>
        <v>2075.6725000000001</v>
      </c>
      <c r="BK75" s="24">
        <f t="shared" si="280"/>
        <v>2075.6725000000001</v>
      </c>
      <c r="BL75" s="24">
        <f t="shared" si="280"/>
        <v>2075.6725000000001</v>
      </c>
      <c r="BM75" s="24">
        <f t="shared" si="280"/>
        <v>2075.6725000000001</v>
      </c>
      <c r="BN75" s="24">
        <f t="shared" si="280"/>
        <v>2329.2733749999998</v>
      </c>
      <c r="BO75" s="24">
        <f t="shared" si="280"/>
        <v>2329.2733749999998</v>
      </c>
      <c r="BP75" s="24">
        <f t="shared" si="280"/>
        <v>2329.2733749999998</v>
      </c>
      <c r="BQ75" s="24">
        <f t="shared" si="280"/>
        <v>2329.2733749999998</v>
      </c>
      <c r="BR75" s="24">
        <f t="shared" si="280"/>
        <v>2329.2733749999998</v>
      </c>
      <c r="BS75" s="24">
        <f t="shared" si="280"/>
        <v>2329.2733749999998</v>
      </c>
      <c r="BT75" s="24">
        <f t="shared" si="280"/>
        <v>2329.2733749999998</v>
      </c>
      <c r="BU75" s="24">
        <f t="shared" si="280"/>
        <v>2329.2733749999998</v>
      </c>
      <c r="BV75" s="24">
        <f t="shared" ref="BV75:BX75" si="281">BV44+BV47</f>
        <v>2329.2733749999998</v>
      </c>
      <c r="BW75" s="24">
        <f t="shared" si="281"/>
        <v>2329.2733749999998</v>
      </c>
      <c r="BX75" s="24">
        <f t="shared" si="281"/>
        <v>2329.2733749999998</v>
      </c>
      <c r="BY75" s="24">
        <f t="shared" ref="BY75:CK75" si="282">BY44+BY47</f>
        <v>2329.2733749999998</v>
      </c>
      <c r="BZ75" s="24">
        <f t="shared" si="282"/>
        <v>2417.6494374999993</v>
      </c>
      <c r="CA75" s="24">
        <f t="shared" si="282"/>
        <v>2417.6494374999993</v>
      </c>
      <c r="CB75" s="24">
        <f t="shared" si="282"/>
        <v>2417.6494374999993</v>
      </c>
      <c r="CC75" s="24">
        <f t="shared" si="282"/>
        <v>2417.6494374999993</v>
      </c>
      <c r="CD75" s="24">
        <f t="shared" si="282"/>
        <v>2417.6494374999993</v>
      </c>
      <c r="CE75" s="24">
        <f t="shared" si="282"/>
        <v>2417.6494374999993</v>
      </c>
      <c r="CF75" s="24">
        <f t="shared" si="282"/>
        <v>2417.6494374999993</v>
      </c>
      <c r="CG75" s="24">
        <f t="shared" si="282"/>
        <v>2417.6494374999993</v>
      </c>
      <c r="CH75" s="24">
        <f t="shared" si="282"/>
        <v>2417.6494374999993</v>
      </c>
      <c r="CI75" s="24">
        <f t="shared" si="282"/>
        <v>2417.6494374999993</v>
      </c>
      <c r="CJ75" s="24">
        <f t="shared" si="282"/>
        <v>2417.6494374999993</v>
      </c>
      <c r="CK75" s="24">
        <f t="shared" si="282"/>
        <v>2417.6494374999993</v>
      </c>
      <c r="CM75" s="24">
        <f>SUMIF($L$2:$CK$2,CM$3,$L75:$CK75)</f>
        <v>819.37049999999999</v>
      </c>
      <c r="CN75" s="24">
        <f>SUMIF($L$2:$CK$2,CN$3,$L75:$CK75)</f>
        <v>0</v>
      </c>
      <c r="CO75" s="24">
        <f>SUMIF($L$2:$CK$2,CO$3,$L75:$CK75)</f>
        <v>13433.75</v>
      </c>
      <c r="CP75" s="24">
        <f>SUMIF($L$2:$CK$2,CP$3,$L75:$CK75)</f>
        <v>22261.800000000003</v>
      </c>
      <c r="CQ75" s="24">
        <f>SUMIF($L$2:$CK$2,CQ$3,$L75:$CK75)</f>
        <v>24908.070000000003</v>
      </c>
      <c r="CR75" s="24">
        <f t="shared" ref="CR75:CS75" si="283">SUMIF($L$2:$CK$2,CR$3,$L75:$CK75)</f>
        <v>27951.280500000004</v>
      </c>
      <c r="CS75" s="24">
        <f t="shared" si="283"/>
        <v>29011.793249999999</v>
      </c>
    </row>
    <row r="78" spans="2:97" x14ac:dyDescent="0.2">
      <c r="B78" s="12" t="s">
        <v>42</v>
      </c>
    </row>
    <row r="79" spans="2:97" x14ac:dyDescent="0.2">
      <c r="B79" s="200" t="s">
        <v>1</v>
      </c>
      <c r="C79" s="200" t="s">
        <v>2</v>
      </c>
      <c r="D79" s="200" t="s">
        <v>38</v>
      </c>
      <c r="F79" s="201">
        <f t="shared" ref="F79:K79" si="284">F43</f>
        <v>45292</v>
      </c>
      <c r="G79" s="201">
        <f t="shared" si="284"/>
        <v>45323</v>
      </c>
      <c r="H79" s="201">
        <f t="shared" si="284"/>
        <v>45352</v>
      </c>
      <c r="I79" s="201">
        <f t="shared" si="284"/>
        <v>45383</v>
      </c>
      <c r="J79" s="201">
        <f t="shared" si="284"/>
        <v>45413</v>
      </c>
      <c r="K79" s="201">
        <f t="shared" si="284"/>
        <v>45444</v>
      </c>
      <c r="L79" s="201">
        <f>L43</f>
        <v>45474</v>
      </c>
      <c r="M79" s="201">
        <f t="shared" ref="M79:BU79" si="285">M43</f>
        <v>45505</v>
      </c>
      <c r="N79" s="201">
        <f t="shared" si="285"/>
        <v>45536</v>
      </c>
      <c r="O79" s="201">
        <f t="shared" si="285"/>
        <v>45566</v>
      </c>
      <c r="P79" s="201">
        <f t="shared" si="285"/>
        <v>45597</v>
      </c>
      <c r="Q79" s="201">
        <f t="shared" si="285"/>
        <v>45627</v>
      </c>
      <c r="R79" s="201">
        <f t="shared" si="285"/>
        <v>45658</v>
      </c>
      <c r="S79" s="201">
        <f t="shared" si="285"/>
        <v>45689</v>
      </c>
      <c r="T79" s="201">
        <f t="shared" si="285"/>
        <v>45717</v>
      </c>
      <c r="U79" s="201">
        <f t="shared" si="285"/>
        <v>45748</v>
      </c>
      <c r="V79" s="201">
        <f t="shared" si="285"/>
        <v>45778</v>
      </c>
      <c r="W79" s="201">
        <f t="shared" si="285"/>
        <v>45809</v>
      </c>
      <c r="X79" s="201">
        <f t="shared" si="285"/>
        <v>45839</v>
      </c>
      <c r="Y79" s="201">
        <f t="shared" si="285"/>
        <v>45870</v>
      </c>
      <c r="Z79" s="201">
        <f t="shared" si="285"/>
        <v>45901</v>
      </c>
      <c r="AA79" s="201">
        <f t="shared" si="285"/>
        <v>45931</v>
      </c>
      <c r="AB79" s="201">
        <f t="shared" si="285"/>
        <v>45962</v>
      </c>
      <c r="AC79" s="201">
        <f t="shared" si="285"/>
        <v>45992</v>
      </c>
      <c r="AD79" s="201">
        <f t="shared" si="285"/>
        <v>46023</v>
      </c>
      <c r="AE79" s="201">
        <f t="shared" si="285"/>
        <v>46054</v>
      </c>
      <c r="AF79" s="201">
        <f t="shared" si="285"/>
        <v>46082</v>
      </c>
      <c r="AG79" s="201">
        <f t="shared" si="285"/>
        <v>46113</v>
      </c>
      <c r="AH79" s="201">
        <f t="shared" si="285"/>
        <v>46143</v>
      </c>
      <c r="AI79" s="201">
        <f t="shared" si="285"/>
        <v>46174</v>
      </c>
      <c r="AJ79" s="201">
        <f t="shared" si="285"/>
        <v>46204</v>
      </c>
      <c r="AK79" s="201">
        <f t="shared" si="285"/>
        <v>46235</v>
      </c>
      <c r="AL79" s="201">
        <f t="shared" si="285"/>
        <v>46266</v>
      </c>
      <c r="AM79" s="201">
        <f t="shared" si="285"/>
        <v>46296</v>
      </c>
      <c r="AN79" s="201">
        <f t="shared" si="285"/>
        <v>46327</v>
      </c>
      <c r="AO79" s="201">
        <f t="shared" si="285"/>
        <v>46357</v>
      </c>
      <c r="AP79" s="201">
        <f t="shared" si="285"/>
        <v>46388</v>
      </c>
      <c r="AQ79" s="201">
        <f t="shared" si="285"/>
        <v>46419</v>
      </c>
      <c r="AR79" s="201">
        <f t="shared" si="285"/>
        <v>46447</v>
      </c>
      <c r="AS79" s="201">
        <f t="shared" si="285"/>
        <v>46478</v>
      </c>
      <c r="AT79" s="201">
        <f t="shared" si="285"/>
        <v>46508</v>
      </c>
      <c r="AU79" s="201">
        <f t="shared" si="285"/>
        <v>46539</v>
      </c>
      <c r="AV79" s="201">
        <f t="shared" si="285"/>
        <v>46569</v>
      </c>
      <c r="AW79" s="201">
        <f t="shared" si="285"/>
        <v>46600</v>
      </c>
      <c r="AX79" s="201">
        <f t="shared" si="285"/>
        <v>46631</v>
      </c>
      <c r="AY79" s="201">
        <f t="shared" si="285"/>
        <v>46661</v>
      </c>
      <c r="AZ79" s="201">
        <f t="shared" si="285"/>
        <v>46692</v>
      </c>
      <c r="BA79" s="201">
        <f t="shared" si="285"/>
        <v>46722</v>
      </c>
      <c r="BB79" s="201">
        <f t="shared" si="285"/>
        <v>46753</v>
      </c>
      <c r="BC79" s="201">
        <f t="shared" si="285"/>
        <v>46784</v>
      </c>
      <c r="BD79" s="201">
        <f t="shared" si="285"/>
        <v>46813</v>
      </c>
      <c r="BE79" s="201">
        <f t="shared" si="285"/>
        <v>46844</v>
      </c>
      <c r="BF79" s="201">
        <f t="shared" si="285"/>
        <v>46874</v>
      </c>
      <c r="BG79" s="201">
        <f t="shared" si="285"/>
        <v>46905</v>
      </c>
      <c r="BH79" s="201">
        <f t="shared" si="285"/>
        <v>46935</v>
      </c>
      <c r="BI79" s="201">
        <f t="shared" si="285"/>
        <v>46966</v>
      </c>
      <c r="BJ79" s="201">
        <f t="shared" si="285"/>
        <v>46997</v>
      </c>
      <c r="BK79" s="201">
        <f t="shared" si="285"/>
        <v>47027</v>
      </c>
      <c r="BL79" s="201">
        <f t="shared" si="285"/>
        <v>47058</v>
      </c>
      <c r="BM79" s="201">
        <f t="shared" si="285"/>
        <v>47088</v>
      </c>
      <c r="BN79" s="201">
        <f t="shared" si="285"/>
        <v>47119</v>
      </c>
      <c r="BO79" s="201">
        <f t="shared" si="285"/>
        <v>47150</v>
      </c>
      <c r="BP79" s="201">
        <f t="shared" si="285"/>
        <v>47178</v>
      </c>
      <c r="BQ79" s="201">
        <f t="shared" si="285"/>
        <v>47209</v>
      </c>
      <c r="BR79" s="201">
        <f t="shared" si="285"/>
        <v>47239</v>
      </c>
      <c r="BS79" s="201">
        <f t="shared" si="285"/>
        <v>47270</v>
      </c>
      <c r="BT79" s="201">
        <f t="shared" si="285"/>
        <v>47300</v>
      </c>
      <c r="BU79" s="201">
        <f t="shared" si="285"/>
        <v>47331</v>
      </c>
      <c r="BV79" s="201">
        <f t="shared" ref="BV79:BX79" si="286">BV43</f>
        <v>47362</v>
      </c>
      <c r="BW79" s="201">
        <f t="shared" si="286"/>
        <v>47392</v>
      </c>
      <c r="BX79" s="201">
        <f t="shared" si="286"/>
        <v>47423</v>
      </c>
      <c r="BY79" s="201">
        <f t="shared" ref="BY79:CK79" si="287">BY43</f>
        <v>47453</v>
      </c>
      <c r="BZ79" s="201">
        <f t="shared" si="287"/>
        <v>47484</v>
      </c>
      <c r="CA79" s="201">
        <f t="shared" si="287"/>
        <v>47515</v>
      </c>
      <c r="CB79" s="201">
        <f t="shared" si="287"/>
        <v>47543</v>
      </c>
      <c r="CC79" s="201">
        <f t="shared" si="287"/>
        <v>47574</v>
      </c>
      <c r="CD79" s="201">
        <f t="shared" si="287"/>
        <v>47604</v>
      </c>
      <c r="CE79" s="201">
        <f t="shared" si="287"/>
        <v>47635</v>
      </c>
      <c r="CF79" s="201">
        <f t="shared" si="287"/>
        <v>47665</v>
      </c>
      <c r="CG79" s="201">
        <f t="shared" si="287"/>
        <v>47696</v>
      </c>
      <c r="CH79" s="201">
        <f t="shared" si="287"/>
        <v>47727</v>
      </c>
      <c r="CI79" s="201">
        <f t="shared" si="287"/>
        <v>47757</v>
      </c>
      <c r="CJ79" s="201">
        <f t="shared" si="287"/>
        <v>47788</v>
      </c>
      <c r="CK79" s="201">
        <f t="shared" si="287"/>
        <v>47818</v>
      </c>
      <c r="CM79" s="202">
        <v>2024</v>
      </c>
      <c r="CN79" s="202">
        <f>CM79+1</f>
        <v>2025</v>
      </c>
      <c r="CO79" s="202">
        <f t="shared" ref="CO79" si="288">CN79+1</f>
        <v>2026</v>
      </c>
      <c r="CP79" s="202">
        <f t="shared" ref="CP79" si="289">CO79+1</f>
        <v>2027</v>
      </c>
      <c r="CQ79" s="202">
        <f t="shared" ref="CQ79" si="290">CP79+1</f>
        <v>2028</v>
      </c>
      <c r="CR79" s="202">
        <f t="shared" ref="CR79" si="291">CQ79+1</f>
        <v>2029</v>
      </c>
      <c r="CS79" s="202">
        <f t="shared" ref="CS79" si="292">CR79+1</f>
        <v>2030</v>
      </c>
    </row>
    <row r="80" spans="2:97" hidden="1" outlineLevel="1" x14ac:dyDescent="0.2">
      <c r="B80" s="8" t="s">
        <v>43</v>
      </c>
      <c r="C80" s="9" t="s">
        <v>39</v>
      </c>
      <c r="D80" s="211">
        <v>0</v>
      </c>
      <c r="F80" s="22"/>
      <c r="G80" s="22"/>
      <c r="H80" s="22"/>
      <c r="I80" s="22"/>
      <c r="J80" s="22"/>
      <c r="K80" s="22"/>
      <c r="L80" s="22"/>
      <c r="M80" s="22"/>
      <c r="N80" s="22"/>
      <c r="O80" s="22"/>
      <c r="P80" s="22"/>
      <c r="Q80" s="22"/>
      <c r="R80" s="22"/>
      <c r="S80" s="22">
        <f t="shared" ref="S80:CK80" si="293">S$39*$D80</f>
        <v>0</v>
      </c>
      <c r="T80" s="22">
        <f t="shared" si="293"/>
        <v>0</v>
      </c>
      <c r="U80" s="22">
        <f t="shared" si="293"/>
        <v>0</v>
      </c>
      <c r="V80" s="22">
        <f t="shared" si="293"/>
        <v>0</v>
      </c>
      <c r="W80" s="22">
        <f t="shared" si="293"/>
        <v>0</v>
      </c>
      <c r="X80" s="22">
        <f t="shared" si="293"/>
        <v>0</v>
      </c>
      <c r="Y80" s="22">
        <f t="shared" si="293"/>
        <v>0</v>
      </c>
      <c r="Z80" s="22">
        <f t="shared" si="293"/>
        <v>0</v>
      </c>
      <c r="AA80" s="22">
        <f t="shared" si="293"/>
        <v>0</v>
      </c>
      <c r="AB80" s="22">
        <f t="shared" si="293"/>
        <v>0</v>
      </c>
      <c r="AC80" s="22">
        <f t="shared" si="293"/>
        <v>0</v>
      </c>
      <c r="AD80" s="22">
        <f t="shared" si="293"/>
        <v>0</v>
      </c>
      <c r="AE80" s="22">
        <f t="shared" si="293"/>
        <v>0</v>
      </c>
      <c r="AF80" s="22">
        <f t="shared" si="293"/>
        <v>0</v>
      </c>
      <c r="AG80" s="22">
        <f t="shared" si="293"/>
        <v>0</v>
      </c>
      <c r="AH80" s="22">
        <f t="shared" si="293"/>
        <v>0</v>
      </c>
      <c r="AI80" s="22">
        <f t="shared" si="293"/>
        <v>0</v>
      </c>
      <c r="AJ80" s="22">
        <f t="shared" si="293"/>
        <v>0</v>
      </c>
      <c r="AK80" s="22">
        <f t="shared" si="293"/>
        <v>0</v>
      </c>
      <c r="AL80" s="22">
        <f t="shared" si="293"/>
        <v>0</v>
      </c>
      <c r="AM80" s="22">
        <f t="shared" si="293"/>
        <v>0</v>
      </c>
      <c r="AN80" s="22">
        <f t="shared" si="293"/>
        <v>0</v>
      </c>
      <c r="AO80" s="22">
        <f t="shared" si="293"/>
        <v>0</v>
      </c>
      <c r="AP80" s="22">
        <f t="shared" si="293"/>
        <v>0</v>
      </c>
      <c r="AQ80" s="22">
        <f t="shared" si="293"/>
        <v>0</v>
      </c>
      <c r="AR80" s="22">
        <f t="shared" si="293"/>
        <v>0</v>
      </c>
      <c r="AS80" s="22">
        <f t="shared" si="293"/>
        <v>0</v>
      </c>
      <c r="AT80" s="22">
        <f t="shared" si="293"/>
        <v>0</v>
      </c>
      <c r="AU80" s="22">
        <f t="shared" si="293"/>
        <v>0</v>
      </c>
      <c r="AV80" s="22">
        <f t="shared" si="293"/>
        <v>0</v>
      </c>
      <c r="AW80" s="22">
        <f t="shared" si="293"/>
        <v>0</v>
      </c>
      <c r="AX80" s="22">
        <f t="shared" si="293"/>
        <v>0</v>
      </c>
      <c r="AY80" s="22">
        <f t="shared" si="293"/>
        <v>0</v>
      </c>
      <c r="AZ80" s="22">
        <f t="shared" si="293"/>
        <v>0</v>
      </c>
      <c r="BA80" s="22">
        <f t="shared" si="293"/>
        <v>0</v>
      </c>
      <c r="BB80" s="22">
        <f t="shared" si="293"/>
        <v>0</v>
      </c>
      <c r="BC80" s="22">
        <f t="shared" si="293"/>
        <v>0</v>
      </c>
      <c r="BD80" s="22">
        <f t="shared" si="293"/>
        <v>0</v>
      </c>
      <c r="BE80" s="22">
        <f t="shared" si="293"/>
        <v>0</v>
      </c>
      <c r="BF80" s="22">
        <f t="shared" si="293"/>
        <v>0</v>
      </c>
      <c r="BG80" s="22">
        <f t="shared" si="293"/>
        <v>0</v>
      </c>
      <c r="BH80" s="22">
        <f t="shared" si="293"/>
        <v>0</v>
      </c>
      <c r="BI80" s="22">
        <f t="shared" si="293"/>
        <v>0</v>
      </c>
      <c r="BJ80" s="22">
        <f t="shared" si="293"/>
        <v>0</v>
      </c>
      <c r="BK80" s="22">
        <f t="shared" si="293"/>
        <v>0</v>
      </c>
      <c r="BL80" s="22">
        <f t="shared" si="293"/>
        <v>0</v>
      </c>
      <c r="BM80" s="22">
        <f t="shared" si="293"/>
        <v>0</v>
      </c>
      <c r="BN80" s="22">
        <f t="shared" si="293"/>
        <v>0</v>
      </c>
      <c r="BO80" s="22">
        <f t="shared" si="293"/>
        <v>0</v>
      </c>
      <c r="BP80" s="22">
        <f t="shared" si="293"/>
        <v>0</v>
      </c>
      <c r="BQ80" s="22">
        <f t="shared" si="293"/>
        <v>0</v>
      </c>
      <c r="BR80" s="22">
        <f t="shared" si="293"/>
        <v>0</v>
      </c>
      <c r="BS80" s="22">
        <f t="shared" si="293"/>
        <v>0</v>
      </c>
      <c r="BT80" s="22">
        <f t="shared" si="293"/>
        <v>0</v>
      </c>
      <c r="BU80" s="22">
        <f t="shared" si="293"/>
        <v>0</v>
      </c>
      <c r="BV80" s="22">
        <f t="shared" si="293"/>
        <v>0</v>
      </c>
      <c r="BW80" s="22">
        <f t="shared" si="293"/>
        <v>0</v>
      </c>
      <c r="BX80" s="22">
        <f t="shared" si="293"/>
        <v>0</v>
      </c>
      <c r="BY80" s="22">
        <f t="shared" si="293"/>
        <v>0</v>
      </c>
      <c r="BZ80" s="22">
        <f t="shared" si="293"/>
        <v>0</v>
      </c>
      <c r="CA80" s="22">
        <f t="shared" si="293"/>
        <v>0</v>
      </c>
      <c r="CB80" s="22">
        <f t="shared" si="293"/>
        <v>0</v>
      </c>
      <c r="CC80" s="22">
        <f t="shared" si="293"/>
        <v>0</v>
      </c>
      <c r="CD80" s="22">
        <f t="shared" si="293"/>
        <v>0</v>
      </c>
      <c r="CE80" s="22">
        <f t="shared" si="293"/>
        <v>0</v>
      </c>
      <c r="CF80" s="22">
        <f t="shared" si="293"/>
        <v>0</v>
      </c>
      <c r="CG80" s="22">
        <f t="shared" si="293"/>
        <v>0</v>
      </c>
      <c r="CH80" s="22">
        <f t="shared" si="293"/>
        <v>0</v>
      </c>
      <c r="CI80" s="22">
        <f t="shared" si="293"/>
        <v>0</v>
      </c>
      <c r="CJ80" s="22">
        <f t="shared" si="293"/>
        <v>0</v>
      </c>
      <c r="CK80" s="22">
        <f t="shared" si="293"/>
        <v>0</v>
      </c>
      <c r="CM80" s="10">
        <f t="shared" ref="CM80:CQ84" si="294">SUMIF($L$2:$CK$2,CM$3,$L80:$CK80)</f>
        <v>0</v>
      </c>
      <c r="CN80" s="10">
        <f t="shared" si="294"/>
        <v>0</v>
      </c>
      <c r="CO80" s="10">
        <f t="shared" si="294"/>
        <v>0</v>
      </c>
      <c r="CP80" s="10">
        <f t="shared" si="294"/>
        <v>0</v>
      </c>
      <c r="CQ80" s="10">
        <f t="shared" si="294"/>
        <v>0</v>
      </c>
      <c r="CR80" s="10">
        <f t="shared" ref="CR80:CS84" si="295">SUMIF($L$2:$CK$2,CR$3,$L80:$CK80)</f>
        <v>0</v>
      </c>
      <c r="CS80" s="10">
        <f t="shared" si="295"/>
        <v>0</v>
      </c>
    </row>
    <row r="81" spans="2:97" outlineLevel="1" x14ac:dyDescent="0.2">
      <c r="B81" s="92" t="s">
        <v>44</v>
      </c>
      <c r="C81" s="97" t="s">
        <v>4</v>
      </c>
      <c r="D81" s="91"/>
      <c r="L81" s="227">
        <v>40</v>
      </c>
      <c r="M81" s="8">
        <f t="shared" ref="M81" si="296">L81</f>
        <v>40</v>
      </c>
      <c r="N81" s="8">
        <f t="shared" ref="N81" si="297">M81</f>
        <v>40</v>
      </c>
      <c r="O81" s="8">
        <f t="shared" ref="O81:Q81" si="298">N81</f>
        <v>40</v>
      </c>
      <c r="P81" s="8">
        <f t="shared" si="298"/>
        <v>40</v>
      </c>
      <c r="Q81" s="8">
        <f t="shared" si="298"/>
        <v>40</v>
      </c>
      <c r="AD81" s="227">
        <v>50</v>
      </c>
      <c r="AE81" s="227">
        <v>50</v>
      </c>
      <c r="AF81" s="8">
        <f t="shared" ref="AF81:AW81" si="299">AE81</f>
        <v>50</v>
      </c>
      <c r="AG81" s="8">
        <f t="shared" si="299"/>
        <v>50</v>
      </c>
      <c r="AH81" s="8">
        <f t="shared" si="299"/>
        <v>50</v>
      </c>
      <c r="AI81" s="8">
        <f t="shared" si="299"/>
        <v>50</v>
      </c>
      <c r="AJ81" s="227">
        <v>55</v>
      </c>
      <c r="AK81" s="8">
        <f t="shared" si="299"/>
        <v>55</v>
      </c>
      <c r="AL81" s="8">
        <f t="shared" si="299"/>
        <v>55</v>
      </c>
      <c r="AM81" s="8">
        <f t="shared" si="299"/>
        <v>55</v>
      </c>
      <c r="AN81" s="8">
        <f t="shared" si="299"/>
        <v>55</v>
      </c>
      <c r="AO81" s="8">
        <f t="shared" si="299"/>
        <v>55</v>
      </c>
      <c r="AP81" s="227">
        <v>60</v>
      </c>
      <c r="AQ81" s="8">
        <f t="shared" si="299"/>
        <v>60</v>
      </c>
      <c r="AR81" s="8">
        <f t="shared" si="299"/>
        <v>60</v>
      </c>
      <c r="AS81" s="8">
        <f t="shared" si="299"/>
        <v>60</v>
      </c>
      <c r="AT81" s="8">
        <f t="shared" si="299"/>
        <v>60</v>
      </c>
      <c r="AU81" s="8">
        <f t="shared" si="299"/>
        <v>60</v>
      </c>
      <c r="AV81" s="8">
        <f t="shared" si="299"/>
        <v>60</v>
      </c>
      <c r="AW81" s="8">
        <f t="shared" si="299"/>
        <v>60</v>
      </c>
      <c r="AX81" s="227">
        <v>70</v>
      </c>
      <c r="AY81" s="8">
        <f t="shared" ref="AY81" si="300">AX81</f>
        <v>70</v>
      </c>
      <c r="AZ81" s="8">
        <f t="shared" ref="AZ81" si="301">AY81</f>
        <v>70</v>
      </c>
      <c r="BA81" s="8">
        <f t="shared" ref="BA81" si="302">AZ81</f>
        <v>70</v>
      </c>
      <c r="BB81" s="8">
        <f t="shared" ref="BB81" si="303">BA81</f>
        <v>70</v>
      </c>
      <c r="BC81" s="8">
        <f t="shared" ref="BC81" si="304">BB81</f>
        <v>70</v>
      </c>
      <c r="BD81" s="8">
        <f t="shared" ref="BD81" si="305">BC81</f>
        <v>70</v>
      </c>
      <c r="BE81" s="8">
        <f t="shared" ref="BE81" si="306">BD81</f>
        <v>70</v>
      </c>
      <c r="BF81" s="8">
        <f t="shared" ref="BF81" si="307">BE81</f>
        <v>70</v>
      </c>
      <c r="BG81" s="8">
        <f t="shared" ref="BG81" si="308">BF81</f>
        <v>70</v>
      </c>
      <c r="BH81" s="8">
        <f t="shared" ref="BH81" si="309">BG81</f>
        <v>70</v>
      </c>
      <c r="BI81" s="8">
        <f t="shared" ref="BI81" si="310">BH81</f>
        <v>70</v>
      </c>
      <c r="BJ81" s="8">
        <f t="shared" ref="BJ81" si="311">BI81</f>
        <v>70</v>
      </c>
      <c r="BK81" s="8">
        <f t="shared" ref="BK81" si="312">BJ81</f>
        <v>70</v>
      </c>
      <c r="BL81" s="8">
        <f t="shared" ref="BL81" si="313">BK81</f>
        <v>70</v>
      </c>
      <c r="BM81" s="8">
        <f t="shared" ref="BM81" si="314">BL81</f>
        <v>70</v>
      </c>
      <c r="BN81" s="8">
        <f t="shared" ref="BN81" si="315">BM81</f>
        <v>70</v>
      </c>
      <c r="BO81" s="8">
        <f t="shared" ref="BO81" si="316">BN81</f>
        <v>70</v>
      </c>
      <c r="BP81" s="8">
        <f t="shared" ref="BP81" si="317">BO81</f>
        <v>70</v>
      </c>
      <c r="BQ81" s="8">
        <f t="shared" ref="BQ81" si="318">BP81</f>
        <v>70</v>
      </c>
      <c r="BR81" s="8">
        <f t="shared" ref="BR81" si="319">BQ81</f>
        <v>70</v>
      </c>
      <c r="BS81" s="8">
        <f t="shared" ref="BS81" si="320">BR81</f>
        <v>70</v>
      </c>
      <c r="BT81" s="8">
        <f t="shared" ref="BT81" si="321">BS81</f>
        <v>70</v>
      </c>
      <c r="BU81" s="8">
        <f t="shared" ref="BU81" si="322">BT81</f>
        <v>70</v>
      </c>
      <c r="BV81" s="8">
        <f t="shared" ref="BV81" si="323">BU81</f>
        <v>70</v>
      </c>
      <c r="BW81" s="8">
        <f t="shared" ref="BW81" si="324">BV81</f>
        <v>70</v>
      </c>
      <c r="BX81" s="8">
        <f t="shared" ref="BX81" si="325">BW81</f>
        <v>70</v>
      </c>
      <c r="BY81" s="8">
        <f t="shared" ref="BY81" si="326">BX81</f>
        <v>70</v>
      </c>
      <c r="BZ81" s="8">
        <f t="shared" ref="BZ81" si="327">BY81</f>
        <v>70</v>
      </c>
      <c r="CA81" s="8">
        <f t="shared" ref="CA81" si="328">BZ81</f>
        <v>70</v>
      </c>
      <c r="CB81" s="8">
        <f t="shared" ref="CB81" si="329">CA81</f>
        <v>70</v>
      </c>
      <c r="CC81" s="8">
        <f t="shared" ref="CC81" si="330">CB81</f>
        <v>70</v>
      </c>
      <c r="CD81" s="8">
        <f t="shared" ref="CD81" si="331">CC81</f>
        <v>70</v>
      </c>
      <c r="CE81" s="8">
        <f t="shared" ref="CE81" si="332">CD81</f>
        <v>70</v>
      </c>
      <c r="CF81" s="8">
        <f t="shared" ref="CF81" si="333">CE81</f>
        <v>70</v>
      </c>
      <c r="CG81" s="8">
        <f t="shared" ref="CG81" si="334">CF81</f>
        <v>70</v>
      </c>
      <c r="CH81" s="8">
        <f t="shared" ref="CH81" si="335">CG81</f>
        <v>70</v>
      </c>
      <c r="CI81" s="8">
        <f t="shared" ref="CI81" si="336">CH81</f>
        <v>70</v>
      </c>
      <c r="CJ81" s="8">
        <f t="shared" ref="CJ81" si="337">CI81</f>
        <v>70</v>
      </c>
      <c r="CK81" s="8">
        <f t="shared" ref="CK81" si="338">CJ81</f>
        <v>70</v>
      </c>
      <c r="CM81" s="10">
        <f t="shared" si="294"/>
        <v>240</v>
      </c>
      <c r="CN81" s="10">
        <f t="shared" si="294"/>
        <v>0</v>
      </c>
      <c r="CO81" s="10">
        <f t="shared" si="294"/>
        <v>630</v>
      </c>
      <c r="CP81" s="10">
        <f t="shared" si="294"/>
        <v>760</v>
      </c>
      <c r="CQ81" s="10">
        <f t="shared" si="294"/>
        <v>840</v>
      </c>
      <c r="CR81" s="10">
        <f t="shared" si="295"/>
        <v>840</v>
      </c>
      <c r="CS81" s="10">
        <f t="shared" si="295"/>
        <v>840</v>
      </c>
    </row>
    <row r="82" spans="2:97" outlineLevel="1" x14ac:dyDescent="0.2">
      <c r="B82" s="92" t="s">
        <v>17</v>
      </c>
      <c r="C82" s="91" t="s">
        <v>39</v>
      </c>
      <c r="D82" s="229">
        <v>9.2999999999999992E-3</v>
      </c>
      <c r="F82" s="10"/>
      <c r="G82" s="10"/>
      <c r="H82" s="10"/>
      <c r="I82" s="10"/>
      <c r="J82" s="10"/>
      <c r="K82" s="10"/>
      <c r="L82" s="22">
        <f t="shared" ref="L82:R82" si="339">L$39*$D82</f>
        <v>0.21309089999999997</v>
      </c>
      <c r="M82" s="22">
        <f t="shared" si="339"/>
        <v>0.59312609999999999</v>
      </c>
      <c r="N82" s="22">
        <f t="shared" si="339"/>
        <v>1.1166602999999999</v>
      </c>
      <c r="O82" s="22">
        <f t="shared" si="339"/>
        <v>0.5813895</v>
      </c>
      <c r="P82" s="22">
        <f t="shared" si="339"/>
        <v>0.46115909999999999</v>
      </c>
      <c r="Q82" s="22">
        <f t="shared" si="339"/>
        <v>0.55880909999999995</v>
      </c>
      <c r="R82" s="22">
        <f t="shared" si="339"/>
        <v>0</v>
      </c>
      <c r="S82" s="22">
        <f>S$39*$D82</f>
        <v>0</v>
      </c>
      <c r="T82" s="22">
        <f t="shared" ref="T82:CK82" si="340">T$39*$D82</f>
        <v>0</v>
      </c>
      <c r="U82" s="22">
        <f t="shared" si="340"/>
        <v>0</v>
      </c>
      <c r="V82" s="22">
        <f t="shared" si="340"/>
        <v>0</v>
      </c>
      <c r="W82" s="22">
        <f t="shared" si="340"/>
        <v>0</v>
      </c>
      <c r="X82" s="22">
        <f t="shared" si="340"/>
        <v>0</v>
      </c>
      <c r="Y82" s="22">
        <f t="shared" si="340"/>
        <v>0</v>
      </c>
      <c r="Z82" s="22">
        <f t="shared" si="340"/>
        <v>0</v>
      </c>
      <c r="AA82" s="22">
        <f t="shared" si="340"/>
        <v>0</v>
      </c>
      <c r="AB82" s="22">
        <f t="shared" si="340"/>
        <v>0</v>
      </c>
      <c r="AC82" s="22">
        <f t="shared" si="340"/>
        <v>0</v>
      </c>
      <c r="AD82" s="22">
        <f t="shared" si="340"/>
        <v>0</v>
      </c>
      <c r="AE82" s="22">
        <f t="shared" si="340"/>
        <v>0</v>
      </c>
      <c r="AF82" s="22">
        <f t="shared" si="340"/>
        <v>0</v>
      </c>
      <c r="AG82" s="22">
        <f t="shared" si="340"/>
        <v>0</v>
      </c>
      <c r="AH82" s="22">
        <f t="shared" si="340"/>
        <v>8.2862999999999989</v>
      </c>
      <c r="AI82" s="22">
        <f t="shared" si="340"/>
        <v>16.572599999999998</v>
      </c>
      <c r="AJ82" s="22">
        <f t="shared" si="340"/>
        <v>16.572599999999998</v>
      </c>
      <c r="AK82" s="22">
        <f t="shared" si="340"/>
        <v>16.572599999999998</v>
      </c>
      <c r="AL82" s="22">
        <f t="shared" si="340"/>
        <v>16.572599999999998</v>
      </c>
      <c r="AM82" s="22">
        <f t="shared" si="340"/>
        <v>16.572599999999998</v>
      </c>
      <c r="AN82" s="22">
        <f t="shared" si="340"/>
        <v>16.572599999999998</v>
      </c>
      <c r="AO82" s="22">
        <f t="shared" si="340"/>
        <v>16.572599999999998</v>
      </c>
      <c r="AP82" s="22">
        <f t="shared" si="340"/>
        <v>18.229860000000002</v>
      </c>
      <c r="AQ82" s="22">
        <f t="shared" si="340"/>
        <v>18.229860000000002</v>
      </c>
      <c r="AR82" s="22">
        <f t="shared" si="340"/>
        <v>18.229860000000002</v>
      </c>
      <c r="AS82" s="22">
        <f t="shared" si="340"/>
        <v>18.229860000000002</v>
      </c>
      <c r="AT82" s="22">
        <f t="shared" si="340"/>
        <v>18.229860000000002</v>
      </c>
      <c r="AU82" s="22">
        <f t="shared" si="340"/>
        <v>18.229860000000002</v>
      </c>
      <c r="AV82" s="22">
        <f t="shared" si="340"/>
        <v>18.229860000000002</v>
      </c>
      <c r="AW82" s="22">
        <f t="shared" si="340"/>
        <v>18.229860000000002</v>
      </c>
      <c r="AX82" s="22">
        <f t="shared" si="340"/>
        <v>18.229860000000002</v>
      </c>
      <c r="AY82" s="22">
        <f t="shared" si="340"/>
        <v>18.229860000000002</v>
      </c>
      <c r="AZ82" s="22">
        <f t="shared" si="340"/>
        <v>18.229860000000002</v>
      </c>
      <c r="BA82" s="22">
        <f t="shared" si="340"/>
        <v>18.229860000000002</v>
      </c>
      <c r="BB82" s="22">
        <f t="shared" si="340"/>
        <v>20.964338999999999</v>
      </c>
      <c r="BC82" s="22">
        <f t="shared" si="340"/>
        <v>20.964338999999999</v>
      </c>
      <c r="BD82" s="22">
        <f t="shared" si="340"/>
        <v>20.964338999999999</v>
      </c>
      <c r="BE82" s="22">
        <f t="shared" si="340"/>
        <v>20.964338999999999</v>
      </c>
      <c r="BF82" s="22">
        <f t="shared" si="340"/>
        <v>20.964338999999999</v>
      </c>
      <c r="BG82" s="22">
        <f t="shared" si="340"/>
        <v>20.964338999999999</v>
      </c>
      <c r="BH82" s="22">
        <f t="shared" si="340"/>
        <v>20.964338999999999</v>
      </c>
      <c r="BI82" s="22">
        <f t="shared" si="340"/>
        <v>20.964338999999999</v>
      </c>
      <c r="BJ82" s="22">
        <f t="shared" si="340"/>
        <v>20.964338999999999</v>
      </c>
      <c r="BK82" s="22">
        <f t="shared" si="340"/>
        <v>20.964338999999999</v>
      </c>
      <c r="BL82" s="22">
        <f t="shared" si="340"/>
        <v>20.964338999999999</v>
      </c>
      <c r="BM82" s="22">
        <f t="shared" si="340"/>
        <v>20.964338999999999</v>
      </c>
      <c r="BN82" s="22">
        <f t="shared" si="340"/>
        <v>24.108989849999993</v>
      </c>
      <c r="BO82" s="22">
        <f t="shared" si="340"/>
        <v>24.108989849999993</v>
      </c>
      <c r="BP82" s="22">
        <f t="shared" si="340"/>
        <v>24.108989849999993</v>
      </c>
      <c r="BQ82" s="22">
        <f t="shared" si="340"/>
        <v>24.108989849999993</v>
      </c>
      <c r="BR82" s="22">
        <f t="shared" si="340"/>
        <v>24.108989849999993</v>
      </c>
      <c r="BS82" s="22">
        <f t="shared" si="340"/>
        <v>24.108989849999993</v>
      </c>
      <c r="BT82" s="22">
        <f t="shared" si="340"/>
        <v>24.108989849999993</v>
      </c>
      <c r="BU82" s="22">
        <f t="shared" si="340"/>
        <v>24.108989849999993</v>
      </c>
      <c r="BV82" s="22">
        <f t="shared" si="340"/>
        <v>24.108989849999993</v>
      </c>
      <c r="BW82" s="22">
        <f t="shared" si="340"/>
        <v>24.108989849999993</v>
      </c>
      <c r="BX82" s="22">
        <f t="shared" si="340"/>
        <v>24.108989849999993</v>
      </c>
      <c r="BY82" s="22">
        <f t="shared" si="340"/>
        <v>24.108989849999993</v>
      </c>
      <c r="BZ82" s="22">
        <f t="shared" si="340"/>
        <v>25.204853024999991</v>
      </c>
      <c r="CA82" s="22">
        <f t="shared" si="340"/>
        <v>25.204853024999991</v>
      </c>
      <c r="CB82" s="22">
        <f t="shared" si="340"/>
        <v>25.204853024999991</v>
      </c>
      <c r="CC82" s="22">
        <f t="shared" si="340"/>
        <v>25.204853024999991</v>
      </c>
      <c r="CD82" s="22">
        <f t="shared" si="340"/>
        <v>25.204853024999991</v>
      </c>
      <c r="CE82" s="22">
        <f t="shared" si="340"/>
        <v>25.204853024999991</v>
      </c>
      <c r="CF82" s="22">
        <f t="shared" si="340"/>
        <v>25.204853024999991</v>
      </c>
      <c r="CG82" s="22">
        <f t="shared" si="340"/>
        <v>25.204853024999991</v>
      </c>
      <c r="CH82" s="22">
        <f t="shared" si="340"/>
        <v>25.204853024999991</v>
      </c>
      <c r="CI82" s="22">
        <f t="shared" si="340"/>
        <v>25.204853024999991</v>
      </c>
      <c r="CJ82" s="22">
        <f t="shared" si="340"/>
        <v>25.204853024999991</v>
      </c>
      <c r="CK82" s="22">
        <f t="shared" si="340"/>
        <v>25.204853024999991</v>
      </c>
      <c r="CM82" s="10">
        <f t="shared" si="294"/>
        <v>3.524235</v>
      </c>
      <c r="CN82" s="10">
        <f t="shared" si="294"/>
        <v>0</v>
      </c>
      <c r="CO82" s="10">
        <f t="shared" si="294"/>
        <v>124.29449999999997</v>
      </c>
      <c r="CP82" s="10">
        <f t="shared" si="294"/>
        <v>218.75832000000003</v>
      </c>
      <c r="CQ82" s="10">
        <f t="shared" si="294"/>
        <v>251.57206799999997</v>
      </c>
      <c r="CR82" s="10">
        <f t="shared" si="295"/>
        <v>289.30787819999995</v>
      </c>
      <c r="CS82" s="10">
        <f t="shared" si="295"/>
        <v>302.45823629999984</v>
      </c>
    </row>
    <row r="83" spans="2:97" outlineLevel="1" x14ac:dyDescent="0.2">
      <c r="B83" s="92" t="s">
        <v>45</v>
      </c>
      <c r="C83" s="91" t="s">
        <v>39</v>
      </c>
      <c r="D83" s="229">
        <v>4.4999999999999998E-2</v>
      </c>
      <c r="F83" s="22">
        <f t="shared" ref="F83:K83" si="341">F$39*$D83</f>
        <v>0</v>
      </c>
      <c r="G83" s="22">
        <f t="shared" si="341"/>
        <v>0</v>
      </c>
      <c r="H83" s="22">
        <f t="shared" si="341"/>
        <v>0</v>
      </c>
      <c r="I83" s="22">
        <f t="shared" si="341"/>
        <v>0</v>
      </c>
      <c r="J83" s="22">
        <f t="shared" si="341"/>
        <v>0</v>
      </c>
      <c r="K83" s="22">
        <f t="shared" si="341"/>
        <v>0</v>
      </c>
      <c r="L83" s="22">
        <f>L$39*$D83</f>
        <v>1.031085</v>
      </c>
      <c r="M83" s="22">
        <f t="shared" ref="M83:CK83" si="342">M$39*$D83</f>
        <v>2.8699650000000001</v>
      </c>
      <c r="N83" s="22">
        <f t="shared" si="342"/>
        <v>5.4031949999999993</v>
      </c>
      <c r="O83" s="22">
        <f t="shared" si="342"/>
        <v>2.8131749999999998</v>
      </c>
      <c r="P83" s="22">
        <f t="shared" si="342"/>
        <v>2.2314150000000001</v>
      </c>
      <c r="Q83" s="22">
        <f t="shared" si="342"/>
        <v>2.7039149999999998</v>
      </c>
      <c r="R83" s="22">
        <f t="shared" si="342"/>
        <v>0</v>
      </c>
      <c r="S83" s="22">
        <f t="shared" si="342"/>
        <v>0</v>
      </c>
      <c r="T83" s="22">
        <f t="shared" si="342"/>
        <v>0</v>
      </c>
      <c r="U83" s="22">
        <f t="shared" si="342"/>
        <v>0</v>
      </c>
      <c r="V83" s="22">
        <f t="shared" si="342"/>
        <v>0</v>
      </c>
      <c r="W83" s="22">
        <f t="shared" si="342"/>
        <v>0</v>
      </c>
      <c r="X83" s="22">
        <f t="shared" si="342"/>
        <v>0</v>
      </c>
      <c r="Y83" s="22">
        <f t="shared" si="342"/>
        <v>0</v>
      </c>
      <c r="Z83" s="22">
        <f t="shared" si="342"/>
        <v>0</v>
      </c>
      <c r="AA83" s="22">
        <f t="shared" si="342"/>
        <v>0</v>
      </c>
      <c r="AB83" s="22">
        <f t="shared" si="342"/>
        <v>0</v>
      </c>
      <c r="AC83" s="22">
        <f t="shared" si="342"/>
        <v>0</v>
      </c>
      <c r="AD83" s="22">
        <f t="shared" si="342"/>
        <v>0</v>
      </c>
      <c r="AE83" s="22">
        <f t="shared" si="342"/>
        <v>0</v>
      </c>
      <c r="AF83" s="22">
        <f t="shared" si="342"/>
        <v>0</v>
      </c>
      <c r="AG83" s="22">
        <f t="shared" si="342"/>
        <v>0</v>
      </c>
      <c r="AH83" s="22">
        <f t="shared" si="342"/>
        <v>40.094999999999999</v>
      </c>
      <c r="AI83" s="22">
        <f t="shared" si="342"/>
        <v>80.19</v>
      </c>
      <c r="AJ83" s="22">
        <f t="shared" si="342"/>
        <v>80.19</v>
      </c>
      <c r="AK83" s="22">
        <f t="shared" si="342"/>
        <v>80.19</v>
      </c>
      <c r="AL83" s="22">
        <f t="shared" si="342"/>
        <v>80.19</v>
      </c>
      <c r="AM83" s="22">
        <f t="shared" si="342"/>
        <v>80.19</v>
      </c>
      <c r="AN83" s="22">
        <f t="shared" si="342"/>
        <v>80.19</v>
      </c>
      <c r="AO83" s="22">
        <f t="shared" si="342"/>
        <v>80.19</v>
      </c>
      <c r="AP83" s="22">
        <f t="shared" si="342"/>
        <v>88.209000000000003</v>
      </c>
      <c r="AQ83" s="22">
        <f t="shared" si="342"/>
        <v>88.209000000000003</v>
      </c>
      <c r="AR83" s="22">
        <f t="shared" si="342"/>
        <v>88.209000000000003</v>
      </c>
      <c r="AS83" s="22">
        <f t="shared" si="342"/>
        <v>88.209000000000003</v>
      </c>
      <c r="AT83" s="22">
        <f t="shared" si="342"/>
        <v>88.209000000000003</v>
      </c>
      <c r="AU83" s="22">
        <f t="shared" si="342"/>
        <v>88.209000000000003</v>
      </c>
      <c r="AV83" s="22">
        <f t="shared" si="342"/>
        <v>88.209000000000003</v>
      </c>
      <c r="AW83" s="22">
        <f t="shared" si="342"/>
        <v>88.209000000000003</v>
      </c>
      <c r="AX83" s="22">
        <f t="shared" si="342"/>
        <v>88.209000000000003</v>
      </c>
      <c r="AY83" s="22">
        <f t="shared" si="342"/>
        <v>88.209000000000003</v>
      </c>
      <c r="AZ83" s="22">
        <f t="shared" si="342"/>
        <v>88.209000000000003</v>
      </c>
      <c r="BA83" s="22">
        <f t="shared" si="342"/>
        <v>88.209000000000003</v>
      </c>
      <c r="BB83" s="22">
        <f t="shared" si="342"/>
        <v>101.44035</v>
      </c>
      <c r="BC83" s="22">
        <f t="shared" si="342"/>
        <v>101.44035</v>
      </c>
      <c r="BD83" s="22">
        <f t="shared" si="342"/>
        <v>101.44035</v>
      </c>
      <c r="BE83" s="22">
        <f t="shared" si="342"/>
        <v>101.44035</v>
      </c>
      <c r="BF83" s="22">
        <f t="shared" si="342"/>
        <v>101.44035</v>
      </c>
      <c r="BG83" s="22">
        <f t="shared" si="342"/>
        <v>101.44035</v>
      </c>
      <c r="BH83" s="22">
        <f t="shared" si="342"/>
        <v>101.44035</v>
      </c>
      <c r="BI83" s="22">
        <f t="shared" si="342"/>
        <v>101.44035</v>
      </c>
      <c r="BJ83" s="22">
        <f t="shared" si="342"/>
        <v>101.44035</v>
      </c>
      <c r="BK83" s="22">
        <f t="shared" si="342"/>
        <v>101.44035</v>
      </c>
      <c r="BL83" s="22">
        <f t="shared" si="342"/>
        <v>101.44035</v>
      </c>
      <c r="BM83" s="22">
        <f t="shared" si="342"/>
        <v>101.44035</v>
      </c>
      <c r="BN83" s="22">
        <f t="shared" si="342"/>
        <v>116.65640249999998</v>
      </c>
      <c r="BO83" s="22">
        <f t="shared" si="342"/>
        <v>116.65640249999998</v>
      </c>
      <c r="BP83" s="22">
        <f t="shared" si="342"/>
        <v>116.65640249999998</v>
      </c>
      <c r="BQ83" s="22">
        <f t="shared" si="342"/>
        <v>116.65640249999998</v>
      </c>
      <c r="BR83" s="22">
        <f t="shared" si="342"/>
        <v>116.65640249999998</v>
      </c>
      <c r="BS83" s="22">
        <f t="shared" si="342"/>
        <v>116.65640249999998</v>
      </c>
      <c r="BT83" s="22">
        <f t="shared" si="342"/>
        <v>116.65640249999998</v>
      </c>
      <c r="BU83" s="22">
        <f t="shared" si="342"/>
        <v>116.65640249999998</v>
      </c>
      <c r="BV83" s="22">
        <f t="shared" si="342"/>
        <v>116.65640249999998</v>
      </c>
      <c r="BW83" s="22">
        <f t="shared" si="342"/>
        <v>116.65640249999998</v>
      </c>
      <c r="BX83" s="22">
        <f t="shared" si="342"/>
        <v>116.65640249999998</v>
      </c>
      <c r="BY83" s="22">
        <f t="shared" si="342"/>
        <v>116.65640249999998</v>
      </c>
      <c r="BZ83" s="22">
        <f t="shared" si="342"/>
        <v>121.95896624999996</v>
      </c>
      <c r="CA83" s="22">
        <f t="shared" si="342"/>
        <v>121.95896624999996</v>
      </c>
      <c r="CB83" s="22">
        <f t="shared" si="342"/>
        <v>121.95896624999996</v>
      </c>
      <c r="CC83" s="22">
        <f t="shared" si="342"/>
        <v>121.95896624999996</v>
      </c>
      <c r="CD83" s="22">
        <f t="shared" si="342"/>
        <v>121.95896624999996</v>
      </c>
      <c r="CE83" s="22">
        <f t="shared" si="342"/>
        <v>121.95896624999996</v>
      </c>
      <c r="CF83" s="22">
        <f t="shared" si="342"/>
        <v>121.95896624999996</v>
      </c>
      <c r="CG83" s="22">
        <f t="shared" si="342"/>
        <v>121.95896624999996</v>
      </c>
      <c r="CH83" s="22">
        <f t="shared" si="342"/>
        <v>121.95896624999996</v>
      </c>
      <c r="CI83" s="22">
        <f t="shared" si="342"/>
        <v>121.95896624999996</v>
      </c>
      <c r="CJ83" s="22">
        <f t="shared" si="342"/>
        <v>121.95896624999996</v>
      </c>
      <c r="CK83" s="22">
        <f t="shared" si="342"/>
        <v>121.95896624999996</v>
      </c>
      <c r="CM83" s="10">
        <f t="shared" si="294"/>
        <v>17.05275</v>
      </c>
      <c r="CN83" s="10">
        <f t="shared" si="294"/>
        <v>0</v>
      </c>
      <c r="CO83" s="10">
        <f t="shared" si="294"/>
        <v>601.42499999999995</v>
      </c>
      <c r="CP83" s="10">
        <f t="shared" si="294"/>
        <v>1058.5080000000003</v>
      </c>
      <c r="CQ83" s="10">
        <f t="shared" si="294"/>
        <v>1217.2841999999998</v>
      </c>
      <c r="CR83" s="10">
        <f t="shared" si="295"/>
        <v>1399.8768299999999</v>
      </c>
      <c r="CS83" s="10">
        <f t="shared" si="295"/>
        <v>1463.5075949999998</v>
      </c>
    </row>
    <row r="84" spans="2:97" x14ac:dyDescent="0.2">
      <c r="B84" s="20" t="s">
        <v>6</v>
      </c>
      <c r="C84" s="23" t="s">
        <v>4</v>
      </c>
      <c r="D84" s="23"/>
      <c r="F84" s="24">
        <f t="shared" ref="F84:K84" si="343">SUM(F80:F83)</f>
        <v>0</v>
      </c>
      <c r="G84" s="24">
        <f t="shared" si="343"/>
        <v>0</v>
      </c>
      <c r="H84" s="24">
        <f t="shared" si="343"/>
        <v>0</v>
      </c>
      <c r="I84" s="24">
        <f t="shared" si="343"/>
        <v>0</v>
      </c>
      <c r="J84" s="24">
        <f t="shared" si="343"/>
        <v>0</v>
      </c>
      <c r="K84" s="24">
        <f t="shared" si="343"/>
        <v>0</v>
      </c>
      <c r="L84" s="24">
        <f>SUM(L80:L83)</f>
        <v>41.244175899999995</v>
      </c>
      <c r="M84" s="24">
        <f t="shared" ref="M84:BU84" si="344">SUM(M80:M83)</f>
        <v>43.4630911</v>
      </c>
      <c r="N84" s="24">
        <f t="shared" si="344"/>
        <v>46.519855299999996</v>
      </c>
      <c r="O84" s="24">
        <f t="shared" si="344"/>
        <v>43.394564500000001</v>
      </c>
      <c r="P84" s="24">
        <f t="shared" si="344"/>
        <v>42.692574100000002</v>
      </c>
      <c r="Q84" s="24">
        <f t="shared" si="344"/>
        <v>43.2627241</v>
      </c>
      <c r="R84" s="24">
        <f t="shared" si="344"/>
        <v>0</v>
      </c>
      <c r="S84" s="24">
        <f t="shared" si="344"/>
        <v>0</v>
      </c>
      <c r="T84" s="24">
        <f t="shared" si="344"/>
        <v>0</v>
      </c>
      <c r="U84" s="24">
        <f t="shared" si="344"/>
        <v>0</v>
      </c>
      <c r="V84" s="24">
        <f t="shared" si="344"/>
        <v>0</v>
      </c>
      <c r="W84" s="24">
        <f t="shared" si="344"/>
        <v>0</v>
      </c>
      <c r="X84" s="24">
        <f t="shared" si="344"/>
        <v>0</v>
      </c>
      <c r="Y84" s="24">
        <f t="shared" si="344"/>
        <v>0</v>
      </c>
      <c r="Z84" s="24">
        <f t="shared" si="344"/>
        <v>0</v>
      </c>
      <c r="AA84" s="24">
        <f t="shared" si="344"/>
        <v>0</v>
      </c>
      <c r="AB84" s="24">
        <f t="shared" si="344"/>
        <v>0</v>
      </c>
      <c r="AC84" s="24">
        <f t="shared" si="344"/>
        <v>0</v>
      </c>
      <c r="AD84" s="24">
        <f t="shared" si="344"/>
        <v>50</v>
      </c>
      <c r="AE84" s="24">
        <f t="shared" si="344"/>
        <v>50</v>
      </c>
      <c r="AF84" s="24">
        <f t="shared" si="344"/>
        <v>50</v>
      </c>
      <c r="AG84" s="24">
        <f t="shared" si="344"/>
        <v>50</v>
      </c>
      <c r="AH84" s="24">
        <f t="shared" si="344"/>
        <v>98.381299999999996</v>
      </c>
      <c r="AI84" s="24">
        <f t="shared" si="344"/>
        <v>146.76259999999999</v>
      </c>
      <c r="AJ84" s="24">
        <f t="shared" si="344"/>
        <v>151.76259999999999</v>
      </c>
      <c r="AK84" s="24">
        <f t="shared" si="344"/>
        <v>151.76259999999999</v>
      </c>
      <c r="AL84" s="24">
        <f t="shared" si="344"/>
        <v>151.76259999999999</v>
      </c>
      <c r="AM84" s="24">
        <f t="shared" si="344"/>
        <v>151.76259999999999</v>
      </c>
      <c r="AN84" s="24">
        <f t="shared" si="344"/>
        <v>151.76259999999999</v>
      </c>
      <c r="AO84" s="24">
        <f t="shared" si="344"/>
        <v>151.76259999999999</v>
      </c>
      <c r="AP84" s="24">
        <f t="shared" si="344"/>
        <v>166.43886000000001</v>
      </c>
      <c r="AQ84" s="24">
        <f t="shared" si="344"/>
        <v>166.43886000000001</v>
      </c>
      <c r="AR84" s="24">
        <f t="shared" si="344"/>
        <v>166.43886000000001</v>
      </c>
      <c r="AS84" s="24">
        <f t="shared" si="344"/>
        <v>166.43886000000001</v>
      </c>
      <c r="AT84" s="24">
        <f t="shared" si="344"/>
        <v>166.43886000000001</v>
      </c>
      <c r="AU84" s="24">
        <f t="shared" si="344"/>
        <v>166.43886000000001</v>
      </c>
      <c r="AV84" s="24">
        <f t="shared" si="344"/>
        <v>166.43886000000001</v>
      </c>
      <c r="AW84" s="24">
        <f t="shared" si="344"/>
        <v>166.43886000000001</v>
      </c>
      <c r="AX84" s="24">
        <f t="shared" si="344"/>
        <v>176.43886000000001</v>
      </c>
      <c r="AY84" s="24">
        <f t="shared" si="344"/>
        <v>176.43886000000001</v>
      </c>
      <c r="AZ84" s="24">
        <f t="shared" si="344"/>
        <v>176.43886000000001</v>
      </c>
      <c r="BA84" s="24">
        <f t="shared" si="344"/>
        <v>176.43886000000001</v>
      </c>
      <c r="BB84" s="24">
        <f t="shared" si="344"/>
        <v>192.40468899999999</v>
      </c>
      <c r="BC84" s="24">
        <f t="shared" si="344"/>
        <v>192.40468899999999</v>
      </c>
      <c r="BD84" s="24">
        <f t="shared" si="344"/>
        <v>192.40468899999999</v>
      </c>
      <c r="BE84" s="24">
        <f t="shared" si="344"/>
        <v>192.40468899999999</v>
      </c>
      <c r="BF84" s="24">
        <f t="shared" si="344"/>
        <v>192.40468899999999</v>
      </c>
      <c r="BG84" s="24">
        <f t="shared" si="344"/>
        <v>192.40468899999999</v>
      </c>
      <c r="BH84" s="24">
        <f t="shared" si="344"/>
        <v>192.40468899999999</v>
      </c>
      <c r="BI84" s="24">
        <f t="shared" si="344"/>
        <v>192.40468899999999</v>
      </c>
      <c r="BJ84" s="24">
        <f t="shared" si="344"/>
        <v>192.40468899999999</v>
      </c>
      <c r="BK84" s="24">
        <f t="shared" si="344"/>
        <v>192.40468899999999</v>
      </c>
      <c r="BL84" s="24">
        <f t="shared" si="344"/>
        <v>192.40468899999999</v>
      </c>
      <c r="BM84" s="24">
        <f t="shared" si="344"/>
        <v>192.40468899999999</v>
      </c>
      <c r="BN84" s="24">
        <f t="shared" si="344"/>
        <v>210.76539234999998</v>
      </c>
      <c r="BO84" s="24">
        <f t="shared" si="344"/>
        <v>210.76539234999998</v>
      </c>
      <c r="BP84" s="24">
        <f t="shared" si="344"/>
        <v>210.76539234999998</v>
      </c>
      <c r="BQ84" s="24">
        <f t="shared" si="344"/>
        <v>210.76539234999998</v>
      </c>
      <c r="BR84" s="24">
        <f t="shared" si="344"/>
        <v>210.76539234999998</v>
      </c>
      <c r="BS84" s="24">
        <f t="shared" si="344"/>
        <v>210.76539234999998</v>
      </c>
      <c r="BT84" s="24">
        <f t="shared" si="344"/>
        <v>210.76539234999998</v>
      </c>
      <c r="BU84" s="24">
        <f t="shared" si="344"/>
        <v>210.76539234999998</v>
      </c>
      <c r="BV84" s="24">
        <f t="shared" ref="BV84:BX84" si="345">SUM(BV80:BV83)</f>
        <v>210.76539234999998</v>
      </c>
      <c r="BW84" s="24">
        <f t="shared" si="345"/>
        <v>210.76539234999998</v>
      </c>
      <c r="BX84" s="24">
        <f t="shared" si="345"/>
        <v>210.76539234999998</v>
      </c>
      <c r="BY84" s="24">
        <f t="shared" ref="BY84:CK84" si="346">SUM(BY80:BY83)</f>
        <v>210.76539234999998</v>
      </c>
      <c r="BZ84" s="24">
        <f t="shared" si="346"/>
        <v>217.16381927499995</v>
      </c>
      <c r="CA84" s="24">
        <f t="shared" si="346"/>
        <v>217.16381927499995</v>
      </c>
      <c r="CB84" s="24">
        <f t="shared" si="346"/>
        <v>217.16381927499995</v>
      </c>
      <c r="CC84" s="24">
        <f t="shared" si="346"/>
        <v>217.16381927499995</v>
      </c>
      <c r="CD84" s="24">
        <f t="shared" si="346"/>
        <v>217.16381927499995</v>
      </c>
      <c r="CE84" s="24">
        <f t="shared" si="346"/>
        <v>217.16381927499995</v>
      </c>
      <c r="CF84" s="24">
        <f t="shared" si="346"/>
        <v>217.16381927499995</v>
      </c>
      <c r="CG84" s="24">
        <f t="shared" si="346"/>
        <v>217.16381927499995</v>
      </c>
      <c r="CH84" s="24">
        <f t="shared" si="346"/>
        <v>217.16381927499995</v>
      </c>
      <c r="CI84" s="24">
        <f t="shared" si="346"/>
        <v>217.16381927499995</v>
      </c>
      <c r="CJ84" s="24">
        <f t="shared" si="346"/>
        <v>217.16381927499995</v>
      </c>
      <c r="CK84" s="24">
        <f t="shared" si="346"/>
        <v>217.16381927499995</v>
      </c>
      <c r="CM84" s="24">
        <f t="shared" si="294"/>
        <v>260.57698499999998</v>
      </c>
      <c r="CN84" s="24">
        <f t="shared" si="294"/>
        <v>0</v>
      </c>
      <c r="CO84" s="24">
        <f t="shared" si="294"/>
        <v>1355.7195000000002</v>
      </c>
      <c r="CP84" s="24">
        <f t="shared" si="294"/>
        <v>2037.26632</v>
      </c>
      <c r="CQ84" s="24">
        <f t="shared" si="294"/>
        <v>2308.856268</v>
      </c>
      <c r="CR84" s="24">
        <f t="shared" si="295"/>
        <v>2529.1847082000004</v>
      </c>
      <c r="CS84" s="24">
        <f t="shared" si="295"/>
        <v>2605.9658313</v>
      </c>
    </row>
    <row r="87" spans="2:97" x14ac:dyDescent="0.2">
      <c r="B87" s="12" t="s">
        <v>67</v>
      </c>
    </row>
    <row r="88" spans="2:97" x14ac:dyDescent="0.2">
      <c r="B88" s="200" t="s">
        <v>1</v>
      </c>
      <c r="C88" s="200" t="s">
        <v>2</v>
      </c>
      <c r="D88" s="102" t="s">
        <v>38</v>
      </c>
      <c r="F88" s="201">
        <f t="shared" ref="F88:K88" si="347">F79</f>
        <v>45292</v>
      </c>
      <c r="G88" s="201">
        <f t="shared" si="347"/>
        <v>45323</v>
      </c>
      <c r="H88" s="201">
        <f t="shared" si="347"/>
        <v>45352</v>
      </c>
      <c r="I88" s="201">
        <f t="shared" si="347"/>
        <v>45383</v>
      </c>
      <c r="J88" s="201">
        <f t="shared" si="347"/>
        <v>45413</v>
      </c>
      <c r="K88" s="201">
        <f t="shared" si="347"/>
        <v>45444</v>
      </c>
      <c r="L88" s="201">
        <f>L79</f>
        <v>45474</v>
      </c>
      <c r="M88" s="201">
        <f t="shared" ref="M88:BU88" si="348">M79</f>
        <v>45505</v>
      </c>
      <c r="N88" s="201">
        <f t="shared" si="348"/>
        <v>45536</v>
      </c>
      <c r="O88" s="201">
        <f t="shared" si="348"/>
        <v>45566</v>
      </c>
      <c r="P88" s="201">
        <f t="shared" si="348"/>
        <v>45597</v>
      </c>
      <c r="Q88" s="201">
        <f t="shared" si="348"/>
        <v>45627</v>
      </c>
      <c r="R88" s="201">
        <f t="shared" si="348"/>
        <v>45658</v>
      </c>
      <c r="S88" s="201">
        <f t="shared" si="348"/>
        <v>45689</v>
      </c>
      <c r="T88" s="201">
        <f t="shared" si="348"/>
        <v>45717</v>
      </c>
      <c r="U88" s="201">
        <f t="shared" si="348"/>
        <v>45748</v>
      </c>
      <c r="V88" s="201">
        <f t="shared" si="348"/>
        <v>45778</v>
      </c>
      <c r="W88" s="201">
        <f t="shared" si="348"/>
        <v>45809</v>
      </c>
      <c r="X88" s="201">
        <f t="shared" si="348"/>
        <v>45839</v>
      </c>
      <c r="Y88" s="201">
        <f t="shared" si="348"/>
        <v>45870</v>
      </c>
      <c r="Z88" s="201">
        <f t="shared" si="348"/>
        <v>45901</v>
      </c>
      <c r="AA88" s="201">
        <f t="shared" si="348"/>
        <v>45931</v>
      </c>
      <c r="AB88" s="201">
        <f t="shared" si="348"/>
        <v>45962</v>
      </c>
      <c r="AC88" s="201">
        <f t="shared" si="348"/>
        <v>45992</v>
      </c>
      <c r="AD88" s="201">
        <f t="shared" si="348"/>
        <v>46023</v>
      </c>
      <c r="AE88" s="201">
        <f t="shared" si="348"/>
        <v>46054</v>
      </c>
      <c r="AF88" s="201">
        <f t="shared" si="348"/>
        <v>46082</v>
      </c>
      <c r="AG88" s="201">
        <f t="shared" si="348"/>
        <v>46113</v>
      </c>
      <c r="AH88" s="201">
        <f t="shared" si="348"/>
        <v>46143</v>
      </c>
      <c r="AI88" s="201">
        <f t="shared" si="348"/>
        <v>46174</v>
      </c>
      <c r="AJ88" s="201">
        <f t="shared" si="348"/>
        <v>46204</v>
      </c>
      <c r="AK88" s="201">
        <f t="shared" si="348"/>
        <v>46235</v>
      </c>
      <c r="AL88" s="201">
        <f t="shared" si="348"/>
        <v>46266</v>
      </c>
      <c r="AM88" s="201">
        <f t="shared" si="348"/>
        <v>46296</v>
      </c>
      <c r="AN88" s="201">
        <f t="shared" si="348"/>
        <v>46327</v>
      </c>
      <c r="AO88" s="201">
        <f t="shared" si="348"/>
        <v>46357</v>
      </c>
      <c r="AP88" s="201">
        <f t="shared" si="348"/>
        <v>46388</v>
      </c>
      <c r="AQ88" s="201">
        <f t="shared" si="348"/>
        <v>46419</v>
      </c>
      <c r="AR88" s="201">
        <f t="shared" si="348"/>
        <v>46447</v>
      </c>
      <c r="AS88" s="201">
        <f t="shared" si="348"/>
        <v>46478</v>
      </c>
      <c r="AT88" s="201">
        <f t="shared" si="348"/>
        <v>46508</v>
      </c>
      <c r="AU88" s="201">
        <f t="shared" si="348"/>
        <v>46539</v>
      </c>
      <c r="AV88" s="201">
        <f t="shared" si="348"/>
        <v>46569</v>
      </c>
      <c r="AW88" s="201">
        <f t="shared" si="348"/>
        <v>46600</v>
      </c>
      <c r="AX88" s="201">
        <f t="shared" si="348"/>
        <v>46631</v>
      </c>
      <c r="AY88" s="201">
        <f t="shared" si="348"/>
        <v>46661</v>
      </c>
      <c r="AZ88" s="201">
        <f t="shared" si="348"/>
        <v>46692</v>
      </c>
      <c r="BA88" s="201">
        <f t="shared" si="348"/>
        <v>46722</v>
      </c>
      <c r="BB88" s="201">
        <f t="shared" si="348"/>
        <v>46753</v>
      </c>
      <c r="BC88" s="201">
        <f t="shared" si="348"/>
        <v>46784</v>
      </c>
      <c r="BD88" s="201">
        <f t="shared" si="348"/>
        <v>46813</v>
      </c>
      <c r="BE88" s="201">
        <f t="shared" si="348"/>
        <v>46844</v>
      </c>
      <c r="BF88" s="201">
        <f t="shared" si="348"/>
        <v>46874</v>
      </c>
      <c r="BG88" s="201">
        <f t="shared" si="348"/>
        <v>46905</v>
      </c>
      <c r="BH88" s="201">
        <f t="shared" si="348"/>
        <v>46935</v>
      </c>
      <c r="BI88" s="201">
        <f t="shared" si="348"/>
        <v>46966</v>
      </c>
      <c r="BJ88" s="201">
        <f t="shared" si="348"/>
        <v>46997</v>
      </c>
      <c r="BK88" s="201">
        <f t="shared" si="348"/>
        <v>47027</v>
      </c>
      <c r="BL88" s="201">
        <f t="shared" si="348"/>
        <v>47058</v>
      </c>
      <c r="BM88" s="201">
        <f t="shared" si="348"/>
        <v>47088</v>
      </c>
      <c r="BN88" s="201">
        <f t="shared" si="348"/>
        <v>47119</v>
      </c>
      <c r="BO88" s="201">
        <f t="shared" si="348"/>
        <v>47150</v>
      </c>
      <c r="BP88" s="201">
        <f t="shared" si="348"/>
        <v>47178</v>
      </c>
      <c r="BQ88" s="201">
        <f t="shared" si="348"/>
        <v>47209</v>
      </c>
      <c r="BR88" s="201">
        <f t="shared" si="348"/>
        <v>47239</v>
      </c>
      <c r="BS88" s="201">
        <f t="shared" si="348"/>
        <v>47270</v>
      </c>
      <c r="BT88" s="201">
        <f t="shared" si="348"/>
        <v>47300</v>
      </c>
      <c r="BU88" s="201">
        <f t="shared" si="348"/>
        <v>47331</v>
      </c>
      <c r="BV88" s="201">
        <f t="shared" ref="BV88:BX88" si="349">BV79</f>
        <v>47362</v>
      </c>
      <c r="BW88" s="201">
        <f t="shared" si="349"/>
        <v>47392</v>
      </c>
      <c r="BX88" s="201">
        <f t="shared" si="349"/>
        <v>47423</v>
      </c>
      <c r="BY88" s="201">
        <f t="shared" ref="BY88:CK88" si="350">BY79</f>
        <v>47453</v>
      </c>
      <c r="BZ88" s="201">
        <f t="shared" si="350"/>
        <v>47484</v>
      </c>
      <c r="CA88" s="201">
        <f t="shared" si="350"/>
        <v>47515</v>
      </c>
      <c r="CB88" s="201">
        <f t="shared" si="350"/>
        <v>47543</v>
      </c>
      <c r="CC88" s="201">
        <f t="shared" si="350"/>
        <v>47574</v>
      </c>
      <c r="CD88" s="201">
        <f t="shared" si="350"/>
        <v>47604</v>
      </c>
      <c r="CE88" s="201">
        <f t="shared" si="350"/>
        <v>47635</v>
      </c>
      <c r="CF88" s="201">
        <f t="shared" si="350"/>
        <v>47665</v>
      </c>
      <c r="CG88" s="201">
        <f t="shared" si="350"/>
        <v>47696</v>
      </c>
      <c r="CH88" s="201">
        <f t="shared" si="350"/>
        <v>47727</v>
      </c>
      <c r="CI88" s="201">
        <f t="shared" si="350"/>
        <v>47757</v>
      </c>
      <c r="CJ88" s="201">
        <f t="shared" si="350"/>
        <v>47788</v>
      </c>
      <c r="CK88" s="201">
        <f t="shared" si="350"/>
        <v>47818</v>
      </c>
      <c r="CM88" s="202">
        <v>2024</v>
      </c>
      <c r="CN88" s="202">
        <f>CM88+1</f>
        <v>2025</v>
      </c>
      <c r="CO88" s="202">
        <f t="shared" ref="CO88" si="351">CN88+1</f>
        <v>2026</v>
      </c>
      <c r="CP88" s="202">
        <f t="shared" ref="CP88" si="352">CO88+1</f>
        <v>2027</v>
      </c>
      <c r="CQ88" s="202">
        <f t="shared" ref="CQ88" si="353">CP88+1</f>
        <v>2028</v>
      </c>
      <c r="CR88" s="202">
        <f t="shared" ref="CR88" si="354">CQ88+1</f>
        <v>2029</v>
      </c>
      <c r="CS88" s="202">
        <f t="shared" ref="CS88" si="355">CR88+1</f>
        <v>2030</v>
      </c>
    </row>
    <row r="89" spans="2:97" outlineLevel="1" x14ac:dyDescent="0.2">
      <c r="B89" s="92" t="s">
        <v>415</v>
      </c>
      <c r="C89" s="97" t="s">
        <v>4</v>
      </c>
      <c r="D89" s="9"/>
      <c r="O89" s="10"/>
      <c r="P89" s="10"/>
      <c r="Q89" s="10"/>
      <c r="R89" s="10"/>
      <c r="S89" s="10"/>
      <c r="T89" s="10"/>
      <c r="U89" s="10"/>
      <c r="V89" s="10"/>
      <c r="W89" s="10"/>
      <c r="X89" s="10"/>
      <c r="Y89" s="10"/>
      <c r="Z89" s="10"/>
      <c r="AA89" s="10"/>
      <c r="AB89" s="10"/>
      <c r="AC89" s="10"/>
      <c r="AD89" s="243"/>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f t="shared" ref="CM89:CS91" si="356">SUMIF($L$2:$CK$2,CM$3,$L89:$CK89)</f>
        <v>0</v>
      </c>
      <c r="CN89" s="10">
        <f t="shared" si="356"/>
        <v>0</v>
      </c>
      <c r="CO89" s="10">
        <f t="shared" si="356"/>
        <v>0</v>
      </c>
      <c r="CP89" s="10">
        <f t="shared" si="356"/>
        <v>0</v>
      </c>
      <c r="CQ89" s="10">
        <f t="shared" si="356"/>
        <v>0</v>
      </c>
      <c r="CR89" s="10">
        <f t="shared" si="356"/>
        <v>0</v>
      </c>
      <c r="CS89" s="10">
        <f t="shared" si="356"/>
        <v>0</v>
      </c>
    </row>
    <row r="90" spans="2:97" outlineLevel="1" x14ac:dyDescent="0.2">
      <c r="B90" s="92" t="s">
        <v>48</v>
      </c>
      <c r="C90" s="97" t="s">
        <v>4</v>
      </c>
      <c r="D90" s="9"/>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f t="shared" si="356"/>
        <v>0</v>
      </c>
      <c r="CN90" s="10">
        <f t="shared" si="356"/>
        <v>0</v>
      </c>
      <c r="CO90" s="10">
        <f t="shared" si="356"/>
        <v>0</v>
      </c>
      <c r="CP90" s="10">
        <f t="shared" si="356"/>
        <v>0</v>
      </c>
      <c r="CQ90" s="10">
        <f t="shared" si="356"/>
        <v>0</v>
      </c>
      <c r="CR90" s="10">
        <f t="shared" si="356"/>
        <v>0</v>
      </c>
      <c r="CS90" s="10">
        <f t="shared" si="356"/>
        <v>0</v>
      </c>
    </row>
    <row r="91" spans="2:97" x14ac:dyDescent="0.2">
      <c r="B91" s="20" t="s">
        <v>6</v>
      </c>
      <c r="C91" s="23" t="s">
        <v>4</v>
      </c>
      <c r="D91" s="102"/>
      <c r="F91" s="24">
        <f t="shared" ref="F91:AK91" si="357">SUM(F89:F90)</f>
        <v>0</v>
      </c>
      <c r="G91" s="24">
        <f t="shared" si="357"/>
        <v>0</v>
      </c>
      <c r="H91" s="24">
        <f t="shared" si="357"/>
        <v>0</v>
      </c>
      <c r="I91" s="24">
        <f t="shared" si="357"/>
        <v>0</v>
      </c>
      <c r="J91" s="24">
        <f t="shared" si="357"/>
        <v>0</v>
      </c>
      <c r="K91" s="24">
        <f t="shared" si="357"/>
        <v>0</v>
      </c>
      <c r="L91" s="24">
        <f t="shared" si="357"/>
        <v>0</v>
      </c>
      <c r="M91" s="24">
        <f t="shared" si="357"/>
        <v>0</v>
      </c>
      <c r="N91" s="24">
        <f t="shared" si="357"/>
        <v>0</v>
      </c>
      <c r="O91" s="24">
        <f t="shared" si="357"/>
        <v>0</v>
      </c>
      <c r="P91" s="24">
        <f t="shared" si="357"/>
        <v>0</v>
      </c>
      <c r="Q91" s="24">
        <f t="shared" si="357"/>
        <v>0</v>
      </c>
      <c r="R91" s="24">
        <f t="shared" si="357"/>
        <v>0</v>
      </c>
      <c r="S91" s="24">
        <f t="shared" si="357"/>
        <v>0</v>
      </c>
      <c r="T91" s="24">
        <f t="shared" si="357"/>
        <v>0</v>
      </c>
      <c r="U91" s="24">
        <f t="shared" si="357"/>
        <v>0</v>
      </c>
      <c r="V91" s="24">
        <f t="shared" si="357"/>
        <v>0</v>
      </c>
      <c r="W91" s="24">
        <f t="shared" si="357"/>
        <v>0</v>
      </c>
      <c r="X91" s="24">
        <f t="shared" si="357"/>
        <v>0</v>
      </c>
      <c r="Y91" s="24">
        <f t="shared" si="357"/>
        <v>0</v>
      </c>
      <c r="Z91" s="24">
        <f t="shared" si="357"/>
        <v>0</v>
      </c>
      <c r="AA91" s="24">
        <f t="shared" si="357"/>
        <v>0</v>
      </c>
      <c r="AB91" s="24">
        <f t="shared" si="357"/>
        <v>0</v>
      </c>
      <c r="AC91" s="24">
        <f t="shared" si="357"/>
        <v>0</v>
      </c>
      <c r="AD91" s="24">
        <f t="shared" si="357"/>
        <v>0</v>
      </c>
      <c r="AE91" s="24">
        <f t="shared" si="357"/>
        <v>0</v>
      </c>
      <c r="AF91" s="24">
        <f t="shared" si="357"/>
        <v>0</v>
      </c>
      <c r="AG91" s="24">
        <f t="shared" si="357"/>
        <v>0</v>
      </c>
      <c r="AH91" s="24">
        <f t="shared" si="357"/>
        <v>0</v>
      </c>
      <c r="AI91" s="24">
        <f t="shared" si="357"/>
        <v>0</v>
      </c>
      <c r="AJ91" s="24">
        <f t="shared" si="357"/>
        <v>0</v>
      </c>
      <c r="AK91" s="24">
        <f t="shared" si="357"/>
        <v>0</v>
      </c>
      <c r="AL91" s="24">
        <f t="shared" ref="AL91:BQ91" si="358">SUM(AL89:AL90)</f>
        <v>0</v>
      </c>
      <c r="AM91" s="24">
        <f t="shared" si="358"/>
        <v>0</v>
      </c>
      <c r="AN91" s="24">
        <f t="shared" si="358"/>
        <v>0</v>
      </c>
      <c r="AO91" s="24">
        <f t="shared" si="358"/>
        <v>0</v>
      </c>
      <c r="AP91" s="24">
        <f t="shared" si="358"/>
        <v>0</v>
      </c>
      <c r="AQ91" s="24">
        <f t="shared" si="358"/>
        <v>0</v>
      </c>
      <c r="AR91" s="24">
        <f t="shared" si="358"/>
        <v>0</v>
      </c>
      <c r="AS91" s="24">
        <f t="shared" si="358"/>
        <v>0</v>
      </c>
      <c r="AT91" s="24">
        <f t="shared" si="358"/>
        <v>0</v>
      </c>
      <c r="AU91" s="24">
        <f t="shared" si="358"/>
        <v>0</v>
      </c>
      <c r="AV91" s="24">
        <f t="shared" si="358"/>
        <v>0</v>
      </c>
      <c r="AW91" s="24">
        <f t="shared" si="358"/>
        <v>0</v>
      </c>
      <c r="AX91" s="24">
        <f t="shared" si="358"/>
        <v>0</v>
      </c>
      <c r="AY91" s="24">
        <f t="shared" si="358"/>
        <v>0</v>
      </c>
      <c r="AZ91" s="24">
        <f t="shared" si="358"/>
        <v>0</v>
      </c>
      <c r="BA91" s="24">
        <f t="shared" si="358"/>
        <v>0</v>
      </c>
      <c r="BB91" s="24">
        <f t="shared" si="358"/>
        <v>0</v>
      </c>
      <c r="BC91" s="24">
        <f t="shared" si="358"/>
        <v>0</v>
      </c>
      <c r="BD91" s="24">
        <f t="shared" si="358"/>
        <v>0</v>
      </c>
      <c r="BE91" s="24">
        <f t="shared" si="358"/>
        <v>0</v>
      </c>
      <c r="BF91" s="24">
        <f t="shared" si="358"/>
        <v>0</v>
      </c>
      <c r="BG91" s="24">
        <f t="shared" si="358"/>
        <v>0</v>
      </c>
      <c r="BH91" s="24">
        <f t="shared" si="358"/>
        <v>0</v>
      </c>
      <c r="BI91" s="24">
        <f t="shared" si="358"/>
        <v>0</v>
      </c>
      <c r="BJ91" s="24">
        <f t="shared" si="358"/>
        <v>0</v>
      </c>
      <c r="BK91" s="24">
        <f t="shared" si="358"/>
        <v>0</v>
      </c>
      <c r="BL91" s="24">
        <f t="shared" si="358"/>
        <v>0</v>
      </c>
      <c r="BM91" s="24">
        <f t="shared" si="358"/>
        <v>0</v>
      </c>
      <c r="BN91" s="24">
        <f t="shared" si="358"/>
        <v>0</v>
      </c>
      <c r="BO91" s="24">
        <f t="shared" si="358"/>
        <v>0</v>
      </c>
      <c r="BP91" s="24">
        <f t="shared" si="358"/>
        <v>0</v>
      </c>
      <c r="BQ91" s="24">
        <f t="shared" si="358"/>
        <v>0</v>
      </c>
      <c r="BR91" s="24">
        <f t="shared" ref="BR91:BX91" si="359">SUM(BR89:BR90)</f>
        <v>0</v>
      </c>
      <c r="BS91" s="24">
        <f t="shared" si="359"/>
        <v>0</v>
      </c>
      <c r="BT91" s="24">
        <f t="shared" si="359"/>
        <v>0</v>
      </c>
      <c r="BU91" s="24">
        <f t="shared" si="359"/>
        <v>0</v>
      </c>
      <c r="BV91" s="24">
        <f t="shared" si="359"/>
        <v>0</v>
      </c>
      <c r="BW91" s="24">
        <f t="shared" si="359"/>
        <v>0</v>
      </c>
      <c r="BX91" s="24">
        <f t="shared" si="359"/>
        <v>0</v>
      </c>
      <c r="BY91" s="24">
        <f t="shared" ref="BY91:CK91" si="360">SUM(BY89:BY90)</f>
        <v>0</v>
      </c>
      <c r="BZ91" s="24">
        <f t="shared" si="360"/>
        <v>0</v>
      </c>
      <c r="CA91" s="24">
        <f t="shared" si="360"/>
        <v>0</v>
      </c>
      <c r="CB91" s="24">
        <f t="shared" si="360"/>
        <v>0</v>
      </c>
      <c r="CC91" s="24">
        <f t="shared" si="360"/>
        <v>0</v>
      </c>
      <c r="CD91" s="24">
        <f t="shared" si="360"/>
        <v>0</v>
      </c>
      <c r="CE91" s="24">
        <f t="shared" si="360"/>
        <v>0</v>
      </c>
      <c r="CF91" s="24">
        <f t="shared" si="360"/>
        <v>0</v>
      </c>
      <c r="CG91" s="24">
        <f t="shared" si="360"/>
        <v>0</v>
      </c>
      <c r="CH91" s="24">
        <f t="shared" si="360"/>
        <v>0</v>
      </c>
      <c r="CI91" s="24">
        <f t="shared" si="360"/>
        <v>0</v>
      </c>
      <c r="CJ91" s="24">
        <f t="shared" si="360"/>
        <v>0</v>
      </c>
      <c r="CK91" s="24">
        <f t="shared" si="360"/>
        <v>0</v>
      </c>
      <c r="CM91" s="24">
        <f t="shared" si="356"/>
        <v>0</v>
      </c>
      <c r="CN91" s="24">
        <f t="shared" si="356"/>
        <v>0</v>
      </c>
      <c r="CO91" s="24">
        <f t="shared" si="356"/>
        <v>0</v>
      </c>
      <c r="CP91" s="24">
        <f t="shared" si="356"/>
        <v>0</v>
      </c>
      <c r="CQ91" s="24">
        <f t="shared" si="356"/>
        <v>0</v>
      </c>
      <c r="CR91" s="24">
        <f t="shared" si="356"/>
        <v>0</v>
      </c>
      <c r="CS91" s="24">
        <f t="shared" si="356"/>
        <v>0</v>
      </c>
    </row>
    <row r="93" spans="2:97" s="27" customFormat="1" x14ac:dyDescent="0.2">
      <c r="B93" s="27" t="s">
        <v>88</v>
      </c>
      <c r="F93" s="28">
        <f t="shared" ref="F93:AK93" si="361">F39/1.2*0.2-F75/1.2*0.2-F91/1.2*0.2</f>
        <v>0</v>
      </c>
      <c r="G93" s="28">
        <f t="shared" si="361"/>
        <v>0</v>
      </c>
      <c r="H93" s="28">
        <f t="shared" si="361"/>
        <v>0</v>
      </c>
      <c r="I93" s="28">
        <f t="shared" si="361"/>
        <v>0</v>
      </c>
      <c r="J93" s="28">
        <f t="shared" si="361"/>
        <v>0</v>
      </c>
      <c r="K93" s="28">
        <f t="shared" si="361"/>
        <v>0</v>
      </c>
      <c r="L93" s="28">
        <f t="shared" si="361"/>
        <v>-27.531378333333329</v>
      </c>
      <c r="M93" s="28">
        <f t="shared" si="361"/>
        <v>-9.4344716666666706</v>
      </c>
      <c r="N93" s="28">
        <f t="shared" si="361"/>
        <v>-7.4641816666666685</v>
      </c>
      <c r="O93" s="28">
        <f t="shared" si="361"/>
        <v>-9.4786416666666611</v>
      </c>
      <c r="P93" s="28">
        <f t="shared" si="361"/>
        <v>-9.9311216666666624</v>
      </c>
      <c r="Q93" s="28">
        <f t="shared" si="361"/>
        <v>-9.5636216666666662</v>
      </c>
      <c r="R93" s="28">
        <f t="shared" si="361"/>
        <v>0</v>
      </c>
      <c r="S93" s="28">
        <f t="shared" si="361"/>
        <v>0</v>
      </c>
      <c r="T93" s="28">
        <f t="shared" si="361"/>
        <v>0</v>
      </c>
      <c r="U93" s="28">
        <f t="shared" si="361"/>
        <v>0</v>
      </c>
      <c r="V93" s="28">
        <f t="shared" si="361"/>
        <v>0</v>
      </c>
      <c r="W93" s="28">
        <f t="shared" si="361"/>
        <v>0</v>
      </c>
      <c r="X93" s="28">
        <f t="shared" si="361"/>
        <v>0</v>
      </c>
      <c r="Y93" s="28">
        <f t="shared" si="361"/>
        <v>0</v>
      </c>
      <c r="Z93" s="28">
        <f t="shared" si="361"/>
        <v>0</v>
      </c>
      <c r="AA93" s="28">
        <f t="shared" si="361"/>
        <v>0</v>
      </c>
      <c r="AB93" s="28">
        <f t="shared" si="361"/>
        <v>0</v>
      </c>
      <c r="AC93" s="28">
        <f t="shared" si="361"/>
        <v>0</v>
      </c>
      <c r="AD93" s="28">
        <f t="shared" si="361"/>
        <v>0</v>
      </c>
      <c r="AE93" s="28">
        <f t="shared" si="361"/>
        <v>0</v>
      </c>
      <c r="AF93" s="28">
        <f t="shared" si="361"/>
        <v>-3.3333333333333339</v>
      </c>
      <c r="AG93" s="28">
        <f t="shared" si="361"/>
        <v>-80</v>
      </c>
      <c r="AH93" s="28">
        <f t="shared" si="361"/>
        <v>-0.375</v>
      </c>
      <c r="AI93" s="28">
        <f t="shared" si="361"/>
        <v>11.75</v>
      </c>
      <c r="AJ93" s="28">
        <f t="shared" si="361"/>
        <v>10.083333333333314</v>
      </c>
      <c r="AK93" s="28">
        <f t="shared" si="361"/>
        <v>10.083333333333314</v>
      </c>
      <c r="AL93" s="28">
        <f t="shared" ref="AL93:BQ93" si="362">AL39/1.2*0.2-AL75/1.2*0.2-AL91/1.2*0.2</f>
        <v>10.083333333333314</v>
      </c>
      <c r="AM93" s="28">
        <f t="shared" si="362"/>
        <v>10.083333333333314</v>
      </c>
      <c r="AN93" s="28">
        <f t="shared" si="362"/>
        <v>10.083333333333314</v>
      </c>
      <c r="AO93" s="28">
        <f t="shared" si="362"/>
        <v>10.083333333333314</v>
      </c>
      <c r="AP93" s="28">
        <f t="shared" si="362"/>
        <v>17.508333333333326</v>
      </c>
      <c r="AQ93" s="28">
        <f t="shared" si="362"/>
        <v>17.508333333333326</v>
      </c>
      <c r="AR93" s="28">
        <f t="shared" si="362"/>
        <v>17.508333333333326</v>
      </c>
      <c r="AS93" s="28">
        <f t="shared" si="362"/>
        <v>17.508333333333326</v>
      </c>
      <c r="AT93" s="28">
        <f t="shared" si="362"/>
        <v>17.508333333333326</v>
      </c>
      <c r="AU93" s="28">
        <f t="shared" si="362"/>
        <v>17.508333333333326</v>
      </c>
      <c r="AV93" s="28">
        <f t="shared" si="362"/>
        <v>17.508333333333326</v>
      </c>
      <c r="AW93" s="28">
        <f t="shared" si="362"/>
        <v>17.508333333333326</v>
      </c>
      <c r="AX93" s="28">
        <f t="shared" si="362"/>
        <v>17.508333333333326</v>
      </c>
      <c r="AY93" s="28">
        <f t="shared" si="362"/>
        <v>17.508333333333326</v>
      </c>
      <c r="AZ93" s="28">
        <f t="shared" si="362"/>
        <v>17.508333333333326</v>
      </c>
      <c r="BA93" s="28">
        <f t="shared" si="362"/>
        <v>17.508333333333326</v>
      </c>
      <c r="BB93" s="28">
        <f t="shared" si="362"/>
        <v>29.759583333333353</v>
      </c>
      <c r="BC93" s="28">
        <f t="shared" si="362"/>
        <v>29.759583333333353</v>
      </c>
      <c r="BD93" s="28">
        <f t="shared" si="362"/>
        <v>29.759583333333353</v>
      </c>
      <c r="BE93" s="28">
        <f t="shared" si="362"/>
        <v>29.759583333333353</v>
      </c>
      <c r="BF93" s="28">
        <f t="shared" si="362"/>
        <v>29.759583333333353</v>
      </c>
      <c r="BG93" s="28">
        <f t="shared" si="362"/>
        <v>29.759583333333353</v>
      </c>
      <c r="BH93" s="28">
        <f t="shared" si="362"/>
        <v>29.759583333333353</v>
      </c>
      <c r="BI93" s="28">
        <f t="shared" si="362"/>
        <v>29.759583333333353</v>
      </c>
      <c r="BJ93" s="28">
        <f t="shared" si="362"/>
        <v>29.759583333333353</v>
      </c>
      <c r="BK93" s="28">
        <f t="shared" si="362"/>
        <v>29.759583333333353</v>
      </c>
      <c r="BL93" s="28">
        <f t="shared" si="362"/>
        <v>29.759583333333353</v>
      </c>
      <c r="BM93" s="28">
        <f t="shared" si="362"/>
        <v>29.759583333333353</v>
      </c>
      <c r="BN93" s="28">
        <f t="shared" si="362"/>
        <v>43.848520833333339</v>
      </c>
      <c r="BO93" s="28">
        <f t="shared" si="362"/>
        <v>43.848520833333339</v>
      </c>
      <c r="BP93" s="28">
        <f t="shared" si="362"/>
        <v>43.848520833333339</v>
      </c>
      <c r="BQ93" s="28">
        <f t="shared" si="362"/>
        <v>43.848520833333339</v>
      </c>
      <c r="BR93" s="28">
        <f t="shared" ref="BR93:BX93" si="363">BR39/1.2*0.2-BR75/1.2*0.2-BR91/1.2*0.2</f>
        <v>43.848520833333339</v>
      </c>
      <c r="BS93" s="28">
        <f t="shared" si="363"/>
        <v>43.848520833333339</v>
      </c>
      <c r="BT93" s="28">
        <f t="shared" si="363"/>
        <v>43.848520833333339</v>
      </c>
      <c r="BU93" s="28">
        <f t="shared" si="363"/>
        <v>43.848520833333339</v>
      </c>
      <c r="BV93" s="28">
        <f t="shared" si="363"/>
        <v>43.848520833333339</v>
      </c>
      <c r="BW93" s="28">
        <f t="shared" si="363"/>
        <v>43.848520833333339</v>
      </c>
      <c r="BX93" s="28">
        <f t="shared" si="363"/>
        <v>43.848520833333339</v>
      </c>
      <c r="BY93" s="28">
        <f t="shared" ref="BY93:CK93" si="364">BY39/1.2*0.2-BY75/1.2*0.2-BY91/1.2*0.2</f>
        <v>43.848520833333339</v>
      </c>
      <c r="BZ93" s="28">
        <f t="shared" si="364"/>
        <v>48.758302083333319</v>
      </c>
      <c r="CA93" s="28">
        <f t="shared" si="364"/>
        <v>48.758302083333319</v>
      </c>
      <c r="CB93" s="28">
        <f t="shared" si="364"/>
        <v>48.758302083333319</v>
      </c>
      <c r="CC93" s="28">
        <f t="shared" si="364"/>
        <v>48.758302083333319</v>
      </c>
      <c r="CD93" s="28">
        <f t="shared" si="364"/>
        <v>48.758302083333319</v>
      </c>
      <c r="CE93" s="28">
        <f t="shared" si="364"/>
        <v>48.758302083333319</v>
      </c>
      <c r="CF93" s="28">
        <f t="shared" si="364"/>
        <v>48.758302083333319</v>
      </c>
      <c r="CG93" s="28">
        <f t="shared" si="364"/>
        <v>48.758302083333319</v>
      </c>
      <c r="CH93" s="28">
        <f t="shared" si="364"/>
        <v>48.758302083333319</v>
      </c>
      <c r="CI93" s="28">
        <f t="shared" si="364"/>
        <v>48.758302083333319</v>
      </c>
      <c r="CJ93" s="28">
        <f t="shared" si="364"/>
        <v>48.758302083333319</v>
      </c>
      <c r="CK93" s="28">
        <f t="shared" si="364"/>
        <v>48.758302083333319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2">
    <outlinePr summaryBelow="0"/>
  </sheetPr>
  <dimension ref="A2:CU92"/>
  <sheetViews>
    <sheetView showGridLines="0" zoomScale="70" zoomScaleNormal="70" workbookViewId="0">
      <pane xSplit="2" ySplit="3" topLeftCell="BW21" activePane="bottomRight" state="frozen"/>
      <selection activeCell="BB40" sqref="BB40"/>
      <selection pane="topRight" activeCell="BB40" sqref="BB40"/>
      <selection pane="bottomLeft" activeCell="BB40" sqref="BB40"/>
      <selection pane="bottomRight" activeCell="BB40" sqref="BB40"/>
    </sheetView>
  </sheetViews>
  <sheetFormatPr defaultColWidth="8.7109375" defaultRowHeight="12.75" outlineLevelRow="2" outlineLevelCol="1" x14ac:dyDescent="0.2"/>
  <cols>
    <col min="1" max="1" width="8.7109375" style="8"/>
    <col min="2" max="2" width="38.7109375" style="8" customWidth="1"/>
    <col min="3" max="3" width="13.140625" style="8" bestFit="1" customWidth="1"/>
    <col min="4" max="4" width="11.42578125" style="8" customWidth="1"/>
    <col min="5" max="5" width="4" style="8" customWidth="1"/>
    <col min="6" max="6" width="6.7109375" style="8" bestFit="1" customWidth="1" outlineLevel="1"/>
    <col min="7" max="8" width="7.140625" style="8" bestFit="1" customWidth="1" outlineLevel="1"/>
    <col min="9" max="9" width="6.7109375" style="8" bestFit="1" customWidth="1" outlineLevel="1"/>
    <col min="10" max="10" width="7.140625" style="8" bestFit="1" customWidth="1" outlineLevel="1"/>
    <col min="11" max="11" width="7.42578125" style="8" bestFit="1" customWidth="1" outlineLevel="1"/>
    <col min="12" max="12" width="9.7109375" style="8" customWidth="1" outlineLevel="1"/>
    <col min="13" max="18" width="8.7109375" style="8" customWidth="1" outlineLevel="1"/>
    <col min="19" max="19" width="10.42578125" style="8" customWidth="1" outlineLevel="1"/>
    <col min="20" max="42" width="8.7109375" style="8" customWidth="1" outlineLevel="1"/>
    <col min="43" max="89" width="9.42578125" style="8" customWidth="1" outlineLevel="1"/>
    <col min="90" max="90" width="8.7109375" style="8" customWidth="1" outlineLevel="1"/>
    <col min="91" max="91" width="8.7109375" style="8"/>
    <col min="92" max="93" width="9.42578125" style="8" bestFit="1" customWidth="1"/>
    <col min="94" max="96" width="9.42578125" style="8" customWidth="1"/>
    <col min="97" max="97" width="10.140625" style="8" bestFit="1" customWidth="1"/>
    <col min="98" max="16384" width="8.7109375" style="8"/>
  </cols>
  <sheetData>
    <row r="2" spans="2:97" x14ac:dyDescent="0.2">
      <c r="B2" s="7" t="s">
        <v>49</v>
      </c>
      <c r="F2" s="5">
        <f t="shared" ref="F2:K2" si="0">YEAR(F3)</f>
        <v>2024</v>
      </c>
      <c r="G2" s="5">
        <f t="shared" si="0"/>
        <v>2024</v>
      </c>
      <c r="H2" s="5">
        <f t="shared" si="0"/>
        <v>2024</v>
      </c>
      <c r="I2" s="5">
        <f t="shared" si="0"/>
        <v>2024</v>
      </c>
      <c r="J2" s="5">
        <f t="shared" si="0"/>
        <v>2024</v>
      </c>
      <c r="K2" s="5">
        <f t="shared" si="0"/>
        <v>2024</v>
      </c>
      <c r="L2" s="5">
        <f>YEAR(L3)</f>
        <v>2024</v>
      </c>
      <c r="M2" s="5">
        <f t="shared" ref="M2:CK2" si="1">YEAR(M3)</f>
        <v>2024</v>
      </c>
      <c r="N2" s="5">
        <f t="shared" si="1"/>
        <v>2024</v>
      </c>
      <c r="O2" s="5">
        <f t="shared" si="1"/>
        <v>2024</v>
      </c>
      <c r="P2" s="5">
        <f t="shared" si="1"/>
        <v>2024</v>
      </c>
      <c r="Q2" s="5">
        <f t="shared" si="1"/>
        <v>2024</v>
      </c>
      <c r="R2" s="5">
        <f t="shared" si="1"/>
        <v>2025</v>
      </c>
      <c r="S2" s="5">
        <f t="shared" si="1"/>
        <v>2025</v>
      </c>
      <c r="T2" s="5">
        <f t="shared" si="1"/>
        <v>2025</v>
      </c>
      <c r="U2" s="5">
        <f t="shared" si="1"/>
        <v>2025</v>
      </c>
      <c r="V2" s="5">
        <f t="shared" si="1"/>
        <v>2025</v>
      </c>
      <c r="W2" s="5">
        <f t="shared" si="1"/>
        <v>2025</v>
      </c>
      <c r="X2" s="5">
        <f t="shared" si="1"/>
        <v>2025</v>
      </c>
      <c r="Y2" s="5">
        <f t="shared" si="1"/>
        <v>2025</v>
      </c>
      <c r="Z2" s="5">
        <f t="shared" si="1"/>
        <v>2025</v>
      </c>
      <c r="AA2" s="5">
        <f t="shared" si="1"/>
        <v>2025</v>
      </c>
      <c r="AB2" s="5">
        <f t="shared" si="1"/>
        <v>2025</v>
      </c>
      <c r="AC2" s="5">
        <f t="shared" si="1"/>
        <v>2025</v>
      </c>
      <c r="AD2" s="5">
        <f t="shared" si="1"/>
        <v>2026</v>
      </c>
      <c r="AE2" s="5">
        <f t="shared" si="1"/>
        <v>2026</v>
      </c>
      <c r="AF2" s="5">
        <f t="shared" si="1"/>
        <v>2026</v>
      </c>
      <c r="AG2" s="5">
        <f t="shared" si="1"/>
        <v>2026</v>
      </c>
      <c r="AH2" s="5">
        <f t="shared" si="1"/>
        <v>2026</v>
      </c>
      <c r="AI2" s="5">
        <f t="shared" si="1"/>
        <v>2026</v>
      </c>
      <c r="AJ2" s="5">
        <f t="shared" si="1"/>
        <v>2026</v>
      </c>
      <c r="AK2" s="5">
        <f t="shared" si="1"/>
        <v>2026</v>
      </c>
      <c r="AL2" s="5">
        <f t="shared" si="1"/>
        <v>2026</v>
      </c>
      <c r="AM2" s="5">
        <f t="shared" si="1"/>
        <v>2026</v>
      </c>
      <c r="AN2" s="5">
        <f t="shared" si="1"/>
        <v>2026</v>
      </c>
      <c r="AO2" s="5">
        <f t="shared" si="1"/>
        <v>2026</v>
      </c>
      <c r="AP2" s="5">
        <f t="shared" si="1"/>
        <v>2027</v>
      </c>
      <c r="AQ2" s="5">
        <f t="shared" si="1"/>
        <v>2027</v>
      </c>
      <c r="AR2" s="5">
        <f t="shared" si="1"/>
        <v>2027</v>
      </c>
      <c r="AS2" s="5">
        <f t="shared" si="1"/>
        <v>2027</v>
      </c>
      <c r="AT2" s="5">
        <f t="shared" si="1"/>
        <v>2027</v>
      </c>
      <c r="AU2" s="5">
        <f t="shared" si="1"/>
        <v>2027</v>
      </c>
      <c r="AV2" s="5">
        <f t="shared" si="1"/>
        <v>2027</v>
      </c>
      <c r="AW2" s="5">
        <f t="shared" si="1"/>
        <v>2027</v>
      </c>
      <c r="AX2" s="5">
        <f t="shared" si="1"/>
        <v>2027</v>
      </c>
      <c r="AY2" s="5">
        <f t="shared" si="1"/>
        <v>2027</v>
      </c>
      <c r="AZ2" s="5">
        <f t="shared" si="1"/>
        <v>2027</v>
      </c>
      <c r="BA2" s="5">
        <f t="shared" si="1"/>
        <v>2027</v>
      </c>
      <c r="BB2" s="5">
        <f t="shared" si="1"/>
        <v>2028</v>
      </c>
      <c r="BC2" s="5">
        <f t="shared" si="1"/>
        <v>2028</v>
      </c>
      <c r="BD2" s="5">
        <f t="shared" si="1"/>
        <v>2028</v>
      </c>
      <c r="BE2" s="5">
        <f t="shared" si="1"/>
        <v>2028</v>
      </c>
      <c r="BF2" s="5">
        <f t="shared" si="1"/>
        <v>2028</v>
      </c>
      <c r="BG2" s="5">
        <f t="shared" si="1"/>
        <v>2028</v>
      </c>
      <c r="BH2" s="5">
        <f t="shared" si="1"/>
        <v>2028</v>
      </c>
      <c r="BI2" s="5">
        <f t="shared" si="1"/>
        <v>2028</v>
      </c>
      <c r="BJ2" s="5">
        <f t="shared" si="1"/>
        <v>2028</v>
      </c>
      <c r="BK2" s="5">
        <f t="shared" si="1"/>
        <v>2028</v>
      </c>
      <c r="BL2" s="5">
        <f t="shared" si="1"/>
        <v>2028</v>
      </c>
      <c r="BM2" s="5">
        <f t="shared" si="1"/>
        <v>2028</v>
      </c>
      <c r="BN2" s="5">
        <f t="shared" si="1"/>
        <v>2029</v>
      </c>
      <c r="BO2" s="5">
        <f t="shared" si="1"/>
        <v>2029</v>
      </c>
      <c r="BP2" s="5">
        <f t="shared" si="1"/>
        <v>2029</v>
      </c>
      <c r="BQ2" s="5">
        <f t="shared" si="1"/>
        <v>2029</v>
      </c>
      <c r="BR2" s="5">
        <f t="shared" si="1"/>
        <v>2029</v>
      </c>
      <c r="BS2" s="5">
        <f t="shared" si="1"/>
        <v>2029</v>
      </c>
      <c r="BT2" s="5">
        <f t="shared" si="1"/>
        <v>2029</v>
      </c>
      <c r="BU2" s="5">
        <f t="shared" si="1"/>
        <v>2029</v>
      </c>
      <c r="BV2" s="5">
        <f t="shared" si="1"/>
        <v>2029</v>
      </c>
      <c r="BW2" s="5">
        <f t="shared" si="1"/>
        <v>2029</v>
      </c>
      <c r="BX2" s="5">
        <f t="shared" si="1"/>
        <v>2029</v>
      </c>
      <c r="BY2" s="5">
        <f t="shared" si="1"/>
        <v>2029</v>
      </c>
      <c r="BZ2" s="5">
        <f t="shared" si="1"/>
        <v>2030</v>
      </c>
      <c r="CA2" s="5">
        <f t="shared" si="1"/>
        <v>2030</v>
      </c>
      <c r="CB2" s="5">
        <f t="shared" si="1"/>
        <v>2030</v>
      </c>
      <c r="CC2" s="5">
        <f t="shared" si="1"/>
        <v>2030</v>
      </c>
      <c r="CD2" s="5">
        <f t="shared" si="1"/>
        <v>2030</v>
      </c>
      <c r="CE2" s="5">
        <f t="shared" si="1"/>
        <v>2030</v>
      </c>
      <c r="CF2" s="5">
        <f t="shared" si="1"/>
        <v>2030</v>
      </c>
      <c r="CG2" s="5">
        <f t="shared" si="1"/>
        <v>2030</v>
      </c>
      <c r="CH2" s="5">
        <f t="shared" si="1"/>
        <v>2030</v>
      </c>
      <c r="CI2" s="5">
        <f t="shared" si="1"/>
        <v>2030</v>
      </c>
      <c r="CJ2" s="5">
        <f t="shared" si="1"/>
        <v>2030</v>
      </c>
      <c r="CK2" s="5">
        <f t="shared" si="1"/>
        <v>2030</v>
      </c>
    </row>
    <row r="3" spans="2:97" x14ac:dyDescent="0.2">
      <c r="B3" s="128" t="s">
        <v>1</v>
      </c>
      <c r="C3" s="128" t="s">
        <v>2</v>
      </c>
      <c r="D3" s="102"/>
      <c r="F3" s="129">
        <f>Пицца!F3</f>
        <v>45292</v>
      </c>
      <c r="G3" s="129">
        <f>Пицца!G3</f>
        <v>45323</v>
      </c>
      <c r="H3" s="129">
        <f>Пицца!H3</f>
        <v>45352</v>
      </c>
      <c r="I3" s="129">
        <f>Пицца!I3</f>
        <v>45383</v>
      </c>
      <c r="J3" s="129">
        <f>Пицца!J3</f>
        <v>45413</v>
      </c>
      <c r="K3" s="129">
        <f>Пицца!K3</f>
        <v>45444</v>
      </c>
      <c r="L3" s="129">
        <f>Пицца!L3</f>
        <v>45474</v>
      </c>
      <c r="M3" s="129">
        <f>Пицца!M3</f>
        <v>45505</v>
      </c>
      <c r="N3" s="129">
        <f>Пицца!N3</f>
        <v>45536</v>
      </c>
      <c r="O3" s="129">
        <f>Пицца!O3</f>
        <v>45566</v>
      </c>
      <c r="P3" s="129">
        <f>Пицца!P3</f>
        <v>45597</v>
      </c>
      <c r="Q3" s="129">
        <f>Пицца!Q3</f>
        <v>45627</v>
      </c>
      <c r="R3" s="129">
        <f>Пицца!R3</f>
        <v>45658</v>
      </c>
      <c r="S3" s="129">
        <f>Пицца!S3</f>
        <v>45689</v>
      </c>
      <c r="T3" s="129">
        <f>Пицца!T3</f>
        <v>45717</v>
      </c>
      <c r="U3" s="129">
        <f>Пицца!U3</f>
        <v>45748</v>
      </c>
      <c r="V3" s="129">
        <f>Пицца!V3</f>
        <v>45778</v>
      </c>
      <c r="W3" s="129">
        <f>Пицца!W3</f>
        <v>45809</v>
      </c>
      <c r="X3" s="129">
        <f>Пицца!X3</f>
        <v>45839</v>
      </c>
      <c r="Y3" s="129">
        <f>Пицца!Y3</f>
        <v>45870</v>
      </c>
      <c r="Z3" s="129">
        <f>Пицца!Z3</f>
        <v>45901</v>
      </c>
      <c r="AA3" s="129">
        <f>Пицца!AA3</f>
        <v>45931</v>
      </c>
      <c r="AB3" s="129">
        <f>Пицца!AB3</f>
        <v>45962</v>
      </c>
      <c r="AC3" s="129">
        <f>Пицца!AC3</f>
        <v>45992</v>
      </c>
      <c r="AD3" s="129">
        <f>Пицца!AD3</f>
        <v>46023</v>
      </c>
      <c r="AE3" s="129">
        <f>Пицца!AE3</f>
        <v>46054</v>
      </c>
      <c r="AF3" s="129">
        <f>Пицца!AF3</f>
        <v>46082</v>
      </c>
      <c r="AG3" s="129">
        <f>Пицца!AG3</f>
        <v>46113</v>
      </c>
      <c r="AH3" s="129">
        <f>Пицца!AH3</f>
        <v>46143</v>
      </c>
      <c r="AI3" s="129">
        <f>Пицца!AI3</f>
        <v>46174</v>
      </c>
      <c r="AJ3" s="129">
        <f>Пицца!AJ3</f>
        <v>46204</v>
      </c>
      <c r="AK3" s="129">
        <f>Пицца!AK3</f>
        <v>46235</v>
      </c>
      <c r="AL3" s="129">
        <f>Пицца!AL3</f>
        <v>46266</v>
      </c>
      <c r="AM3" s="129">
        <f>Пицца!AM3</f>
        <v>46296</v>
      </c>
      <c r="AN3" s="129">
        <f>Пицца!AN3</f>
        <v>46327</v>
      </c>
      <c r="AO3" s="129">
        <f>Пицца!AO3</f>
        <v>46357</v>
      </c>
      <c r="AP3" s="129">
        <f>Пицца!AP3</f>
        <v>46388</v>
      </c>
      <c r="AQ3" s="129">
        <f>Пицца!AQ3</f>
        <v>46419</v>
      </c>
      <c r="AR3" s="129">
        <f>Пицца!AR3</f>
        <v>46447</v>
      </c>
      <c r="AS3" s="129">
        <f>Пицца!AS3</f>
        <v>46478</v>
      </c>
      <c r="AT3" s="129">
        <f>Пицца!AT3</f>
        <v>46508</v>
      </c>
      <c r="AU3" s="129">
        <f>Пицца!AU3</f>
        <v>46539</v>
      </c>
      <c r="AV3" s="129">
        <f>Пицца!AV3</f>
        <v>46569</v>
      </c>
      <c r="AW3" s="129">
        <f>Пицца!AW3</f>
        <v>46600</v>
      </c>
      <c r="AX3" s="129">
        <f>Пицца!AX3</f>
        <v>46631</v>
      </c>
      <c r="AY3" s="129">
        <f>Пицца!AY3</f>
        <v>46661</v>
      </c>
      <c r="AZ3" s="129">
        <f>Пицца!AZ3</f>
        <v>46692</v>
      </c>
      <c r="BA3" s="129">
        <f>Пицца!BA3</f>
        <v>46722</v>
      </c>
      <c r="BB3" s="129">
        <f>Пицца!BB3</f>
        <v>46753</v>
      </c>
      <c r="BC3" s="129">
        <f>Пицца!BC3</f>
        <v>46784</v>
      </c>
      <c r="BD3" s="129">
        <f>Пицца!BD3</f>
        <v>46813</v>
      </c>
      <c r="BE3" s="129">
        <f>Пицца!BE3</f>
        <v>46844</v>
      </c>
      <c r="BF3" s="129">
        <f>Пицца!BF3</f>
        <v>46874</v>
      </c>
      <c r="BG3" s="129">
        <f>Пицца!BG3</f>
        <v>46905</v>
      </c>
      <c r="BH3" s="129">
        <f>Пицца!BH3</f>
        <v>46935</v>
      </c>
      <c r="BI3" s="129">
        <f>Пицца!BI3</f>
        <v>46966</v>
      </c>
      <c r="BJ3" s="129">
        <f>Пицца!BJ3</f>
        <v>46997</v>
      </c>
      <c r="BK3" s="129">
        <f>Пицца!BK3</f>
        <v>47027</v>
      </c>
      <c r="BL3" s="129">
        <f>Пицца!BL3</f>
        <v>47058</v>
      </c>
      <c r="BM3" s="129">
        <f>Пицца!BM3</f>
        <v>47088</v>
      </c>
      <c r="BN3" s="129">
        <f>Пицца!BN3</f>
        <v>47119</v>
      </c>
      <c r="BO3" s="129">
        <f>Пицца!BO3</f>
        <v>47150</v>
      </c>
      <c r="BP3" s="129">
        <f>Пицца!BP3</f>
        <v>47178</v>
      </c>
      <c r="BQ3" s="129">
        <f>Пицца!BQ3</f>
        <v>47209</v>
      </c>
      <c r="BR3" s="129">
        <f>Пицца!BR3</f>
        <v>47239</v>
      </c>
      <c r="BS3" s="129">
        <f>Пицца!BS3</f>
        <v>47270</v>
      </c>
      <c r="BT3" s="129">
        <f>Пицца!BT3</f>
        <v>47300</v>
      </c>
      <c r="BU3" s="129">
        <f>Пицца!BU3</f>
        <v>47331</v>
      </c>
      <c r="BV3" s="129">
        <f>Пицца!BV3</f>
        <v>47362</v>
      </c>
      <c r="BW3" s="129">
        <f>Пицца!BW3</f>
        <v>47392</v>
      </c>
      <c r="BX3" s="129">
        <f>Пицца!BX3</f>
        <v>47423</v>
      </c>
      <c r="BY3" s="129">
        <f>Пицца!BY3</f>
        <v>47453</v>
      </c>
      <c r="BZ3" s="129">
        <f>Пицца!BZ3</f>
        <v>47484</v>
      </c>
      <c r="CA3" s="129">
        <f>Пицца!CA3</f>
        <v>47515</v>
      </c>
      <c r="CB3" s="129">
        <f>Пицца!CB3</f>
        <v>47543</v>
      </c>
      <c r="CC3" s="129">
        <f>Пицца!CC3</f>
        <v>47574</v>
      </c>
      <c r="CD3" s="129">
        <f>Пицца!CD3</f>
        <v>47604</v>
      </c>
      <c r="CE3" s="129">
        <f>Пицца!CE3</f>
        <v>47635</v>
      </c>
      <c r="CF3" s="129">
        <f>Пицца!CF3</f>
        <v>47665</v>
      </c>
      <c r="CG3" s="129">
        <f>Пицца!CG3</f>
        <v>47696</v>
      </c>
      <c r="CH3" s="129">
        <f>Пицца!CH3</f>
        <v>47727</v>
      </c>
      <c r="CI3" s="129">
        <f>Пицца!CI3</f>
        <v>47757</v>
      </c>
      <c r="CJ3" s="129">
        <f>Пицца!CJ3</f>
        <v>47788</v>
      </c>
      <c r="CK3" s="129">
        <f>Пицца!CK3</f>
        <v>47818</v>
      </c>
      <c r="CM3" s="130">
        <v>2024</v>
      </c>
      <c r="CN3" s="130">
        <f>CM3+1</f>
        <v>2025</v>
      </c>
      <c r="CO3" s="130">
        <f t="shared" ref="CO3" si="2">CN3+1</f>
        <v>2026</v>
      </c>
      <c r="CP3" s="130">
        <f t="shared" ref="CP3" si="3">CO3+1</f>
        <v>2027</v>
      </c>
      <c r="CQ3" s="130">
        <f t="shared" ref="CQ3" si="4">CP3+1</f>
        <v>2028</v>
      </c>
      <c r="CR3" s="130">
        <f t="shared" ref="CR3" si="5">CQ3+1</f>
        <v>2029</v>
      </c>
      <c r="CS3" s="130">
        <f t="shared" ref="CS3" si="6">CR3+1</f>
        <v>2030</v>
      </c>
    </row>
    <row r="4" spans="2:97" x14ac:dyDescent="0.2">
      <c r="B4" s="90" t="s">
        <v>0</v>
      </c>
      <c r="C4" s="91" t="s">
        <v>4</v>
      </c>
      <c r="D4" s="9"/>
      <c r="F4" s="10">
        <f t="shared" ref="F4:K4" si="7">F39/1.2</f>
        <v>0</v>
      </c>
      <c r="G4" s="10">
        <f t="shared" si="7"/>
        <v>0</v>
      </c>
      <c r="H4" s="10">
        <f t="shared" si="7"/>
        <v>0</v>
      </c>
      <c r="I4" s="10">
        <f t="shared" si="7"/>
        <v>0</v>
      </c>
      <c r="J4" s="10">
        <f t="shared" si="7"/>
        <v>0</v>
      </c>
      <c r="K4" s="10">
        <f t="shared" si="7"/>
        <v>0</v>
      </c>
      <c r="L4" s="10">
        <f>L39/1.2</f>
        <v>0</v>
      </c>
      <c r="M4" s="10">
        <f t="shared" ref="M4:AW4" si="8">M39/1.2</f>
        <v>0</v>
      </c>
      <c r="N4" s="10">
        <f t="shared" si="8"/>
        <v>0</v>
      </c>
      <c r="O4" s="10">
        <f t="shared" si="8"/>
        <v>0</v>
      </c>
      <c r="P4" s="10">
        <f t="shared" si="8"/>
        <v>0</v>
      </c>
      <c r="Q4" s="10">
        <f t="shared" si="8"/>
        <v>0</v>
      </c>
      <c r="R4" s="10">
        <f t="shared" si="8"/>
        <v>0</v>
      </c>
      <c r="S4" s="10">
        <f t="shared" si="8"/>
        <v>0</v>
      </c>
      <c r="T4" s="10">
        <f t="shared" si="8"/>
        <v>0</v>
      </c>
      <c r="U4" s="10">
        <f t="shared" si="8"/>
        <v>0</v>
      </c>
      <c r="V4" s="10">
        <f t="shared" si="8"/>
        <v>0</v>
      </c>
      <c r="W4" s="10">
        <f t="shared" si="8"/>
        <v>0</v>
      </c>
      <c r="X4" s="10">
        <f t="shared" si="8"/>
        <v>0</v>
      </c>
      <c r="Y4" s="10">
        <f t="shared" si="8"/>
        <v>0</v>
      </c>
      <c r="Z4" s="10">
        <f t="shared" si="8"/>
        <v>0</v>
      </c>
      <c r="AA4" s="10">
        <f t="shared" si="8"/>
        <v>0</v>
      </c>
      <c r="AB4" s="10">
        <f t="shared" si="8"/>
        <v>0</v>
      </c>
      <c r="AC4" s="10">
        <f t="shared" si="8"/>
        <v>0</v>
      </c>
      <c r="AD4" s="10">
        <f t="shared" si="8"/>
        <v>0</v>
      </c>
      <c r="AE4" s="10">
        <f t="shared" si="8"/>
        <v>0</v>
      </c>
      <c r="AF4" s="10">
        <f t="shared" si="8"/>
        <v>0</v>
      </c>
      <c r="AG4" s="10">
        <f t="shared" si="8"/>
        <v>0</v>
      </c>
      <c r="AH4" s="10">
        <f t="shared" si="8"/>
        <v>283.33333333333337</v>
      </c>
      <c r="AI4" s="10">
        <f t="shared" si="8"/>
        <v>289</v>
      </c>
      <c r="AJ4" s="10">
        <f t="shared" si="8"/>
        <v>303.45</v>
      </c>
      <c r="AK4" s="10">
        <f t="shared" si="8"/>
        <v>333.79500000000002</v>
      </c>
      <c r="AL4" s="10">
        <f t="shared" si="8"/>
        <v>432.56827845000015</v>
      </c>
      <c r="AM4" s="10">
        <f t="shared" si="8"/>
        <v>475.82510629500018</v>
      </c>
      <c r="AN4" s="10">
        <f t="shared" si="8"/>
        <v>523.4076169245003</v>
      </c>
      <c r="AO4" s="10">
        <f t="shared" si="8"/>
        <v>601.91875946317532</v>
      </c>
      <c r="AP4" s="10">
        <f t="shared" si="8"/>
        <v>607.93794705780715</v>
      </c>
      <c r="AQ4" s="10">
        <f t="shared" si="8"/>
        <v>614.01732652838518</v>
      </c>
      <c r="AR4" s="10">
        <f t="shared" si="8"/>
        <v>626.29767305895291</v>
      </c>
      <c r="AS4" s="10">
        <f t="shared" si="8"/>
        <v>638.82362652013194</v>
      </c>
      <c r="AT4" s="10">
        <f t="shared" si="8"/>
        <v>651.6000990505346</v>
      </c>
      <c r="AU4" s="10">
        <f t="shared" si="8"/>
        <v>658.11610004103989</v>
      </c>
      <c r="AV4" s="10">
        <f t="shared" si="8"/>
        <v>664.69726104145025</v>
      </c>
      <c r="AW4" s="10">
        <f t="shared" si="8"/>
        <v>671.34423365186478</v>
      </c>
      <c r="AX4" s="10">
        <f t="shared" ref="AX4:BU4" si="9">AX39/1.2</f>
        <v>678.05767598838349</v>
      </c>
      <c r="AY4" s="10">
        <f t="shared" si="9"/>
        <v>691.61882950815118</v>
      </c>
      <c r="AZ4" s="10">
        <f t="shared" si="9"/>
        <v>705.45120609831417</v>
      </c>
      <c r="BA4" s="10">
        <f t="shared" si="9"/>
        <v>719.56023022028057</v>
      </c>
      <c r="BB4" s="10">
        <f t="shared" si="9"/>
        <v>726.75583252248339</v>
      </c>
      <c r="BC4" s="10">
        <f t="shared" si="9"/>
        <v>734.02339084770824</v>
      </c>
      <c r="BD4" s="10">
        <f t="shared" si="9"/>
        <v>748.70385866466245</v>
      </c>
      <c r="BE4" s="10">
        <f t="shared" si="9"/>
        <v>763.67793583795572</v>
      </c>
      <c r="BF4" s="10">
        <f t="shared" si="9"/>
        <v>778.95149455471483</v>
      </c>
      <c r="BG4" s="10">
        <f t="shared" si="9"/>
        <v>786.74100950026207</v>
      </c>
      <c r="BH4" s="10">
        <f t="shared" si="9"/>
        <v>794.60841959526465</v>
      </c>
      <c r="BI4" s="10">
        <f t="shared" si="9"/>
        <v>802.55450379121737</v>
      </c>
      <c r="BJ4" s="10">
        <f t="shared" si="9"/>
        <v>810.58004882912951</v>
      </c>
      <c r="BK4" s="10">
        <f t="shared" si="9"/>
        <v>826.79164980571204</v>
      </c>
      <c r="BL4" s="10">
        <f t="shared" si="9"/>
        <v>843.32748280182636</v>
      </c>
      <c r="BM4" s="10">
        <f t="shared" si="9"/>
        <v>860.19403245786293</v>
      </c>
      <c r="BN4" s="10">
        <f t="shared" si="9"/>
        <v>868.79597278244148</v>
      </c>
      <c r="BO4" s="10">
        <f t="shared" si="9"/>
        <v>877.48393251026584</v>
      </c>
      <c r="BP4" s="10">
        <f t="shared" si="9"/>
        <v>895.0336111604712</v>
      </c>
      <c r="BQ4" s="10">
        <f t="shared" si="9"/>
        <v>912.93428338368062</v>
      </c>
      <c r="BR4" s="10">
        <f t="shared" si="9"/>
        <v>931.19296905135423</v>
      </c>
      <c r="BS4" s="10">
        <f t="shared" si="9"/>
        <v>940.50489874186781</v>
      </c>
      <c r="BT4" s="10">
        <f t="shared" si="9"/>
        <v>949.90994772928661</v>
      </c>
      <c r="BU4" s="10">
        <f t="shared" si="9"/>
        <v>959.40904720657943</v>
      </c>
      <c r="BV4" s="10">
        <f t="shared" ref="BV4:BX4" si="10">BV39/1.2</f>
        <v>969.0031376786452</v>
      </c>
      <c r="BW4" s="10">
        <f t="shared" si="10"/>
        <v>988.38320043221813</v>
      </c>
      <c r="BX4" s="10">
        <f t="shared" si="10"/>
        <v>1008.1508644408625</v>
      </c>
      <c r="BY4" s="10">
        <f t="shared" ref="BY4:CK4" si="11">BY39/1.2</f>
        <v>1028.3138817296797</v>
      </c>
      <c r="BZ4" s="10">
        <f t="shared" si="11"/>
        <v>1048.8801593642734</v>
      </c>
      <c r="CA4" s="10">
        <f t="shared" si="11"/>
        <v>1069.8577625515588</v>
      </c>
      <c r="CB4" s="10">
        <f t="shared" si="11"/>
        <v>1091.2549178025902</v>
      </c>
      <c r="CC4" s="10">
        <f t="shared" si="11"/>
        <v>1113.0800161586419</v>
      </c>
      <c r="CD4" s="10">
        <f t="shared" si="11"/>
        <v>1135.3416164818145</v>
      </c>
      <c r="CE4" s="10">
        <f t="shared" si="11"/>
        <v>1158.048448811451</v>
      </c>
      <c r="CF4" s="10">
        <f t="shared" si="11"/>
        <v>1181.2094177876802</v>
      </c>
      <c r="CG4" s="10">
        <f t="shared" si="11"/>
        <v>1204.8336061434336</v>
      </c>
      <c r="CH4" s="10">
        <f t="shared" si="11"/>
        <v>1228.9302782663024</v>
      </c>
      <c r="CI4" s="10">
        <f t="shared" si="11"/>
        <v>1253.5088838316285</v>
      </c>
      <c r="CJ4" s="10">
        <f t="shared" si="11"/>
        <v>1278.579061508261</v>
      </c>
      <c r="CK4" s="10">
        <f t="shared" si="11"/>
        <v>1304.1506427384263</v>
      </c>
      <c r="CM4" s="10">
        <f t="shared" ref="CM4:CQ5" si="12">SUMIF($L$2:$CK$2,CM$3,$L4:$CK4)</f>
        <v>0</v>
      </c>
      <c r="CN4" s="10">
        <f t="shared" si="12"/>
        <v>0</v>
      </c>
      <c r="CO4" s="10">
        <f t="shared" si="12"/>
        <v>3243.2980944660094</v>
      </c>
      <c r="CP4" s="10">
        <f t="shared" si="12"/>
        <v>7927.5222087652955</v>
      </c>
      <c r="CQ4" s="10">
        <f t="shared" si="12"/>
        <v>9476.909659208799</v>
      </c>
      <c r="CR4" s="10">
        <f t="shared" ref="CR4:CS5" si="13">SUMIF($L$2:$CK$2,CR$3,$L4:$CK4)</f>
        <v>11329.115746847352</v>
      </c>
      <c r="CS4" s="10">
        <f t="shared" si="13"/>
        <v>14067.674811446059</v>
      </c>
    </row>
    <row r="5" spans="2:97" x14ac:dyDescent="0.2">
      <c r="B5" s="90" t="s">
        <v>50</v>
      </c>
      <c r="C5" s="91" t="s">
        <v>4</v>
      </c>
      <c r="D5" s="9"/>
      <c r="F5" s="11">
        <f t="shared" ref="F5:K5" si="14">-F44/1.2-F79</f>
        <v>0</v>
      </c>
      <c r="G5" s="11">
        <f t="shared" si="14"/>
        <v>0</v>
      </c>
      <c r="H5" s="11">
        <f t="shared" si="14"/>
        <v>0</v>
      </c>
      <c r="I5" s="11">
        <f t="shared" si="14"/>
        <v>0</v>
      </c>
      <c r="J5" s="11">
        <f t="shared" si="14"/>
        <v>0</v>
      </c>
      <c r="K5" s="11">
        <f t="shared" si="14"/>
        <v>0</v>
      </c>
      <c r="L5" s="11">
        <f t="shared" ref="L5:AW5" si="15">-L44/1.2-L79</f>
        <v>0</v>
      </c>
      <c r="M5" s="11">
        <f t="shared" si="15"/>
        <v>0</v>
      </c>
      <c r="N5" s="11">
        <f t="shared" si="15"/>
        <v>0</v>
      </c>
      <c r="O5" s="11">
        <f t="shared" si="15"/>
        <v>0</v>
      </c>
      <c r="P5" s="11">
        <f t="shared" si="15"/>
        <v>0</v>
      </c>
      <c r="Q5" s="11">
        <f t="shared" si="15"/>
        <v>0</v>
      </c>
      <c r="R5" s="11">
        <f t="shared" si="15"/>
        <v>0</v>
      </c>
      <c r="S5" s="11">
        <f t="shared" si="15"/>
        <v>0</v>
      </c>
      <c r="T5" s="11">
        <f t="shared" si="15"/>
        <v>0</v>
      </c>
      <c r="U5" s="11">
        <f t="shared" si="15"/>
        <v>0</v>
      </c>
      <c r="V5" s="11">
        <f t="shared" si="15"/>
        <v>0</v>
      </c>
      <c r="W5" s="11">
        <f t="shared" si="15"/>
        <v>0</v>
      </c>
      <c r="X5" s="11">
        <f t="shared" si="15"/>
        <v>0</v>
      </c>
      <c r="Y5" s="11">
        <f t="shared" si="15"/>
        <v>0</v>
      </c>
      <c r="Z5" s="11">
        <f t="shared" si="15"/>
        <v>0</v>
      </c>
      <c r="AA5" s="11">
        <f t="shared" si="15"/>
        <v>0</v>
      </c>
      <c r="AB5" s="11">
        <f t="shared" si="15"/>
        <v>0</v>
      </c>
      <c r="AC5" s="11">
        <f t="shared" si="15"/>
        <v>0</v>
      </c>
      <c r="AD5" s="11">
        <f t="shared" si="15"/>
        <v>0</v>
      </c>
      <c r="AE5" s="11">
        <f t="shared" si="15"/>
        <v>0</v>
      </c>
      <c r="AF5" s="11">
        <f t="shared" si="15"/>
        <v>0</v>
      </c>
      <c r="AG5" s="11">
        <f t="shared" si="15"/>
        <v>0</v>
      </c>
      <c r="AH5" s="11">
        <f t="shared" si="15"/>
        <v>-186.66666666666669</v>
      </c>
      <c r="AI5" s="11">
        <f t="shared" si="15"/>
        <v>-190.06666666666669</v>
      </c>
      <c r="AJ5" s="11">
        <f t="shared" si="15"/>
        <v>-198.73666666666665</v>
      </c>
      <c r="AK5" s="11">
        <f t="shared" si="15"/>
        <v>-216.94366666666667</v>
      </c>
      <c r="AL5" s="11">
        <f t="shared" si="15"/>
        <v>-276.20763373666671</v>
      </c>
      <c r="AM5" s="11">
        <f t="shared" si="15"/>
        <v>-302.16173044366678</v>
      </c>
      <c r="AN5" s="11">
        <f t="shared" si="15"/>
        <v>-330.71123682136681</v>
      </c>
      <c r="AO5" s="11">
        <f t="shared" si="15"/>
        <v>-377.8179223445718</v>
      </c>
      <c r="AP5" s="11">
        <f t="shared" si="15"/>
        <v>-381.42943490135093</v>
      </c>
      <c r="AQ5" s="11">
        <f t="shared" si="15"/>
        <v>-385.07706258369774</v>
      </c>
      <c r="AR5" s="11">
        <f t="shared" si="15"/>
        <v>-392.4452705020384</v>
      </c>
      <c r="AS5" s="11">
        <f t="shared" si="15"/>
        <v>-399.96084257874583</v>
      </c>
      <c r="AT5" s="11">
        <f t="shared" si="15"/>
        <v>-407.62672609698734</v>
      </c>
      <c r="AU5" s="11">
        <f t="shared" si="15"/>
        <v>-411.53632669129053</v>
      </c>
      <c r="AV5" s="11">
        <f t="shared" si="15"/>
        <v>-415.48502329153678</v>
      </c>
      <c r="AW5" s="11">
        <f t="shared" si="15"/>
        <v>-419.4732068577855</v>
      </c>
      <c r="AX5" s="11">
        <f t="shared" ref="AX5:BU5" si="16">-AX44/1.2-AX79</f>
        <v>-423.50127225969675</v>
      </c>
      <c r="AY5" s="11">
        <f t="shared" si="16"/>
        <v>-431.63796437155736</v>
      </c>
      <c r="AZ5" s="11">
        <f t="shared" si="16"/>
        <v>-439.93739032565514</v>
      </c>
      <c r="BA5" s="11">
        <f t="shared" si="16"/>
        <v>-448.40280479883501</v>
      </c>
      <c r="BB5" s="11">
        <f t="shared" si="16"/>
        <v>-452.7201661801567</v>
      </c>
      <c r="BC5" s="11">
        <f t="shared" si="16"/>
        <v>-457.08070117529161</v>
      </c>
      <c r="BD5" s="11">
        <f t="shared" si="16"/>
        <v>-465.88898186546413</v>
      </c>
      <c r="BE5" s="11">
        <f t="shared" si="16"/>
        <v>-474.87342816944005</v>
      </c>
      <c r="BF5" s="11">
        <f t="shared" si="16"/>
        <v>-484.03756339949553</v>
      </c>
      <c r="BG5" s="11">
        <f t="shared" si="16"/>
        <v>-488.71127236682383</v>
      </c>
      <c r="BH5" s="11">
        <f t="shared" si="16"/>
        <v>-493.43171842382543</v>
      </c>
      <c r="BI5" s="11">
        <f t="shared" si="16"/>
        <v>-498.1993689413971</v>
      </c>
      <c r="BJ5" s="11">
        <f t="shared" si="16"/>
        <v>-503.01469596414432</v>
      </c>
      <c r="BK5" s="11">
        <f t="shared" si="16"/>
        <v>-512.74165655009392</v>
      </c>
      <c r="BL5" s="11">
        <f t="shared" si="16"/>
        <v>-522.66315634776254</v>
      </c>
      <c r="BM5" s="11">
        <f t="shared" si="16"/>
        <v>-532.78308614138439</v>
      </c>
      <c r="BN5" s="11">
        <f t="shared" si="16"/>
        <v>-537.94425033613152</v>
      </c>
      <c r="BO5" s="11">
        <f t="shared" si="16"/>
        <v>-543.15702617282614</v>
      </c>
      <c r="BP5" s="11">
        <f t="shared" si="16"/>
        <v>-553.68683336294941</v>
      </c>
      <c r="BQ5" s="11">
        <f t="shared" si="16"/>
        <v>-564.42723669687496</v>
      </c>
      <c r="BR5" s="11">
        <f t="shared" si="16"/>
        <v>-575.38244809747926</v>
      </c>
      <c r="BS5" s="11">
        <f t="shared" si="16"/>
        <v>-580.96960591178731</v>
      </c>
      <c r="BT5" s="11">
        <f t="shared" si="16"/>
        <v>-586.61263530423855</v>
      </c>
      <c r="BU5" s="11">
        <f t="shared" si="16"/>
        <v>-592.31209499061424</v>
      </c>
      <c r="BV5" s="11">
        <f t="shared" ref="BV5:BX5" si="17">-BV44/1.2-BV79</f>
        <v>-598.06854927385371</v>
      </c>
      <c r="BW5" s="11">
        <f t="shared" si="17"/>
        <v>-609.69658692599751</v>
      </c>
      <c r="BX5" s="11">
        <f t="shared" si="17"/>
        <v>-621.5571853311842</v>
      </c>
      <c r="BY5" s="11">
        <f t="shared" ref="BY5:CK5" si="18">-BY44/1.2-BY79</f>
        <v>-633.65499570447457</v>
      </c>
      <c r="BZ5" s="11">
        <f t="shared" si="18"/>
        <v>-645.99476228523076</v>
      </c>
      <c r="CA5" s="11">
        <f t="shared" si="18"/>
        <v>-658.58132419760193</v>
      </c>
      <c r="CB5" s="11">
        <f t="shared" si="18"/>
        <v>-671.41961734822064</v>
      </c>
      <c r="CC5" s="11">
        <f t="shared" si="18"/>
        <v>-684.51467636185168</v>
      </c>
      <c r="CD5" s="11">
        <f t="shared" si="18"/>
        <v>-697.87163655575546</v>
      </c>
      <c r="CE5" s="11">
        <f t="shared" si="18"/>
        <v>-711.49573595353718</v>
      </c>
      <c r="CF5" s="11">
        <f t="shared" si="18"/>
        <v>-725.39231733927465</v>
      </c>
      <c r="CG5" s="11">
        <f t="shared" si="18"/>
        <v>-739.56683035272692</v>
      </c>
      <c r="CH5" s="11">
        <f t="shared" si="18"/>
        <v>-754.02483362644818</v>
      </c>
      <c r="CI5" s="11">
        <f t="shared" si="18"/>
        <v>-768.77199696564378</v>
      </c>
      <c r="CJ5" s="11">
        <f t="shared" si="18"/>
        <v>-783.81410357162326</v>
      </c>
      <c r="CK5" s="11">
        <f t="shared" si="18"/>
        <v>-799.15705230972253</v>
      </c>
      <c r="CM5" s="11">
        <f t="shared" si="12"/>
        <v>0</v>
      </c>
      <c r="CN5" s="11">
        <f t="shared" si="12"/>
        <v>0</v>
      </c>
      <c r="CO5" s="11">
        <f t="shared" si="12"/>
        <v>-2079.312190012939</v>
      </c>
      <c r="CP5" s="11">
        <f t="shared" si="12"/>
        <v>-4956.5133252591768</v>
      </c>
      <c r="CQ5" s="11">
        <f t="shared" si="12"/>
        <v>-5886.145795525279</v>
      </c>
      <c r="CR5" s="11">
        <f t="shared" si="13"/>
        <v>-6997.4694481084116</v>
      </c>
      <c r="CS5" s="11">
        <f t="shared" si="13"/>
        <v>-8640.6048868676371</v>
      </c>
    </row>
    <row r="6" spans="2:97" x14ac:dyDescent="0.2">
      <c r="B6" s="92"/>
      <c r="C6" s="91"/>
      <c r="D6" s="9"/>
    </row>
    <row r="7" spans="2:97" s="12" customFormat="1" x14ac:dyDescent="0.2">
      <c r="B7" s="88" t="s">
        <v>51</v>
      </c>
      <c r="C7" s="89" t="s">
        <v>4</v>
      </c>
      <c r="D7" s="13"/>
      <c r="F7" s="14">
        <f t="shared" ref="F7:K7" si="19">SUM(F4:F5)</f>
        <v>0</v>
      </c>
      <c r="G7" s="14">
        <f t="shared" si="19"/>
        <v>0</v>
      </c>
      <c r="H7" s="14">
        <f t="shared" si="19"/>
        <v>0</v>
      </c>
      <c r="I7" s="14">
        <f t="shared" si="19"/>
        <v>0</v>
      </c>
      <c r="J7" s="14">
        <f t="shared" si="19"/>
        <v>0</v>
      </c>
      <c r="K7" s="14">
        <f t="shared" si="19"/>
        <v>0</v>
      </c>
      <c r="L7" s="14">
        <f>SUM(L4:L5)</f>
        <v>0</v>
      </c>
      <c r="M7" s="14">
        <f t="shared" ref="M7:AW7" si="20">SUM(M4:M5)</f>
        <v>0</v>
      </c>
      <c r="N7" s="14">
        <f t="shared" si="20"/>
        <v>0</v>
      </c>
      <c r="O7" s="14">
        <f t="shared" si="20"/>
        <v>0</v>
      </c>
      <c r="P7" s="14">
        <f t="shared" si="20"/>
        <v>0</v>
      </c>
      <c r="Q7" s="14">
        <f t="shared" si="20"/>
        <v>0</v>
      </c>
      <c r="R7" s="14">
        <f t="shared" si="20"/>
        <v>0</v>
      </c>
      <c r="S7" s="14">
        <f t="shared" si="20"/>
        <v>0</v>
      </c>
      <c r="T7" s="14">
        <f t="shared" si="20"/>
        <v>0</v>
      </c>
      <c r="U7" s="14">
        <f t="shared" si="20"/>
        <v>0</v>
      </c>
      <c r="V7" s="14">
        <f t="shared" si="20"/>
        <v>0</v>
      </c>
      <c r="W7" s="14">
        <f t="shared" si="20"/>
        <v>0</v>
      </c>
      <c r="X7" s="14">
        <f t="shared" si="20"/>
        <v>0</v>
      </c>
      <c r="Y7" s="14">
        <f t="shared" si="20"/>
        <v>0</v>
      </c>
      <c r="Z7" s="14">
        <f t="shared" si="20"/>
        <v>0</v>
      </c>
      <c r="AA7" s="14">
        <f t="shared" si="20"/>
        <v>0</v>
      </c>
      <c r="AB7" s="14">
        <f t="shared" si="20"/>
        <v>0</v>
      </c>
      <c r="AC7" s="14">
        <f t="shared" si="20"/>
        <v>0</v>
      </c>
      <c r="AD7" s="14">
        <f t="shared" si="20"/>
        <v>0</v>
      </c>
      <c r="AE7" s="14">
        <f t="shared" si="20"/>
        <v>0</v>
      </c>
      <c r="AF7" s="14">
        <f t="shared" si="20"/>
        <v>0</v>
      </c>
      <c r="AG7" s="14">
        <f t="shared" si="20"/>
        <v>0</v>
      </c>
      <c r="AH7" s="14">
        <f t="shared" si="20"/>
        <v>96.666666666666686</v>
      </c>
      <c r="AI7" s="14">
        <f t="shared" si="20"/>
        <v>98.933333333333309</v>
      </c>
      <c r="AJ7" s="14">
        <f t="shared" si="20"/>
        <v>104.71333333333334</v>
      </c>
      <c r="AK7" s="14">
        <f t="shared" si="20"/>
        <v>116.85133333333334</v>
      </c>
      <c r="AL7" s="14">
        <f t="shared" si="20"/>
        <v>156.36064471333344</v>
      </c>
      <c r="AM7" s="14">
        <f t="shared" si="20"/>
        <v>173.6633758513334</v>
      </c>
      <c r="AN7" s="14">
        <f t="shared" si="20"/>
        <v>192.69638010313349</v>
      </c>
      <c r="AO7" s="14">
        <f t="shared" si="20"/>
        <v>224.10083711860352</v>
      </c>
      <c r="AP7" s="14">
        <f t="shared" si="20"/>
        <v>226.50851215645622</v>
      </c>
      <c r="AQ7" s="14">
        <f t="shared" si="20"/>
        <v>228.94026394468744</v>
      </c>
      <c r="AR7" s="14">
        <f t="shared" si="20"/>
        <v>233.85240255691451</v>
      </c>
      <c r="AS7" s="14">
        <f t="shared" si="20"/>
        <v>238.86278394138611</v>
      </c>
      <c r="AT7" s="14">
        <f t="shared" si="20"/>
        <v>243.97337295354725</v>
      </c>
      <c r="AU7" s="14">
        <f t="shared" si="20"/>
        <v>246.57977334974936</v>
      </c>
      <c r="AV7" s="14">
        <f t="shared" si="20"/>
        <v>249.21223774991347</v>
      </c>
      <c r="AW7" s="14">
        <f t="shared" si="20"/>
        <v>251.87102679407928</v>
      </c>
      <c r="AX7" s="14">
        <f t="shared" ref="AX7:BU7" si="21">SUM(AX4:AX5)</f>
        <v>254.55640372868675</v>
      </c>
      <c r="AY7" s="14">
        <f t="shared" si="21"/>
        <v>259.98086513659382</v>
      </c>
      <c r="AZ7" s="14">
        <f t="shared" si="21"/>
        <v>265.51381577265903</v>
      </c>
      <c r="BA7" s="14">
        <f t="shared" si="21"/>
        <v>271.15742542144557</v>
      </c>
      <c r="BB7" s="14">
        <f t="shared" si="21"/>
        <v>274.03566634232669</v>
      </c>
      <c r="BC7" s="14">
        <f t="shared" si="21"/>
        <v>276.94268967241663</v>
      </c>
      <c r="BD7" s="14">
        <f t="shared" si="21"/>
        <v>282.81487679919832</v>
      </c>
      <c r="BE7" s="14">
        <f t="shared" si="21"/>
        <v>288.80450766851567</v>
      </c>
      <c r="BF7" s="14">
        <f t="shared" si="21"/>
        <v>294.9139311552193</v>
      </c>
      <c r="BG7" s="14">
        <f t="shared" si="21"/>
        <v>298.02973713343823</v>
      </c>
      <c r="BH7" s="14">
        <f t="shared" si="21"/>
        <v>301.17670117143922</v>
      </c>
      <c r="BI7" s="14">
        <f t="shared" si="21"/>
        <v>304.35513484982027</v>
      </c>
      <c r="BJ7" s="14">
        <f t="shared" si="21"/>
        <v>307.56535286498519</v>
      </c>
      <c r="BK7" s="14">
        <f t="shared" si="21"/>
        <v>314.04999325561812</v>
      </c>
      <c r="BL7" s="14">
        <f t="shared" si="21"/>
        <v>320.66432645406383</v>
      </c>
      <c r="BM7" s="14">
        <f t="shared" si="21"/>
        <v>327.41094631647854</v>
      </c>
      <c r="BN7" s="14">
        <f t="shared" si="21"/>
        <v>330.85172244630996</v>
      </c>
      <c r="BO7" s="14">
        <f t="shared" si="21"/>
        <v>334.32690633743971</v>
      </c>
      <c r="BP7" s="14">
        <f t="shared" si="21"/>
        <v>341.34677779752178</v>
      </c>
      <c r="BQ7" s="14">
        <f t="shared" si="21"/>
        <v>348.50704668680567</v>
      </c>
      <c r="BR7" s="14">
        <f t="shared" si="21"/>
        <v>355.81052095387497</v>
      </c>
      <c r="BS7" s="14">
        <f t="shared" si="21"/>
        <v>359.53529283008049</v>
      </c>
      <c r="BT7" s="14">
        <f t="shared" si="21"/>
        <v>363.29731242504806</v>
      </c>
      <c r="BU7" s="14">
        <f t="shared" si="21"/>
        <v>367.09695221596519</v>
      </c>
      <c r="BV7" s="14">
        <f t="shared" ref="BV7:BX7" si="22">SUM(BV4:BV5)</f>
        <v>370.9345884047915</v>
      </c>
      <c r="BW7" s="14">
        <f t="shared" si="22"/>
        <v>378.68661350622062</v>
      </c>
      <c r="BX7" s="14">
        <f t="shared" si="22"/>
        <v>386.59367910967831</v>
      </c>
      <c r="BY7" s="14">
        <f t="shared" ref="BY7:CK7" si="23">SUM(BY4:BY5)</f>
        <v>394.65888602520511</v>
      </c>
      <c r="BZ7" s="14">
        <f t="shared" si="23"/>
        <v>402.8853970790426</v>
      </c>
      <c r="CA7" s="14">
        <f t="shared" si="23"/>
        <v>411.27643835395691</v>
      </c>
      <c r="CB7" s="14">
        <f t="shared" si="23"/>
        <v>419.83530045436953</v>
      </c>
      <c r="CC7" s="14">
        <f t="shared" si="23"/>
        <v>428.56533979679023</v>
      </c>
      <c r="CD7" s="14">
        <f t="shared" si="23"/>
        <v>437.46997992605907</v>
      </c>
      <c r="CE7" s="14">
        <f t="shared" si="23"/>
        <v>446.55271285791378</v>
      </c>
      <c r="CF7" s="14">
        <f t="shared" si="23"/>
        <v>455.81710044840554</v>
      </c>
      <c r="CG7" s="14">
        <f t="shared" si="23"/>
        <v>465.26677579070667</v>
      </c>
      <c r="CH7" s="14">
        <f t="shared" si="23"/>
        <v>474.90544463985418</v>
      </c>
      <c r="CI7" s="14">
        <f t="shared" si="23"/>
        <v>484.73688686598473</v>
      </c>
      <c r="CJ7" s="14">
        <f t="shared" si="23"/>
        <v>494.76495793663776</v>
      </c>
      <c r="CK7" s="14">
        <f t="shared" si="23"/>
        <v>504.99359042870378</v>
      </c>
      <c r="CM7" s="14">
        <f t="shared" ref="CM7:CO7" si="24">SUM(CM4:CM5)</f>
        <v>0</v>
      </c>
      <c r="CN7" s="14">
        <f t="shared" si="24"/>
        <v>0</v>
      </c>
      <c r="CO7" s="14">
        <f t="shared" si="24"/>
        <v>1163.9859044530704</v>
      </c>
      <c r="CP7" s="14">
        <f t="shared" ref="CP7:CQ7" si="25">SUM(CP4:CP5)</f>
        <v>2971.0088835061188</v>
      </c>
      <c r="CQ7" s="14">
        <f t="shared" si="25"/>
        <v>3590.76386368352</v>
      </c>
      <c r="CR7" s="14">
        <f t="shared" ref="CR7:CS7" si="26">SUM(CR4:CR5)</f>
        <v>4331.6462987389405</v>
      </c>
      <c r="CS7" s="14">
        <f t="shared" si="26"/>
        <v>5427.0699245784217</v>
      </c>
    </row>
    <row r="8" spans="2:97" s="5" customFormat="1" x14ac:dyDescent="0.2">
      <c r="B8" s="191" t="s">
        <v>58</v>
      </c>
      <c r="C8" s="192" t="s">
        <v>59</v>
      </c>
      <c r="D8" s="15"/>
      <c r="F8" s="16" t="str">
        <f t="shared" ref="F8:K8" si="27">IFERROR(F7/F4,"")</f>
        <v/>
      </c>
      <c r="G8" s="16" t="str">
        <f t="shared" si="27"/>
        <v/>
      </c>
      <c r="H8" s="16" t="str">
        <f t="shared" si="27"/>
        <v/>
      </c>
      <c r="I8" s="16" t="str">
        <f t="shared" si="27"/>
        <v/>
      </c>
      <c r="J8" s="16" t="str">
        <f t="shared" si="27"/>
        <v/>
      </c>
      <c r="K8" s="16" t="str">
        <f t="shared" si="27"/>
        <v/>
      </c>
      <c r="L8" s="16" t="str">
        <f>IFERROR(L7/L4,"")</f>
        <v/>
      </c>
      <c r="M8" s="16" t="str">
        <f t="shared" ref="M8:AW8" si="28">IFERROR(M7/M4,"")</f>
        <v/>
      </c>
      <c r="N8" s="16" t="str">
        <f t="shared" si="28"/>
        <v/>
      </c>
      <c r="O8" s="16" t="str">
        <f t="shared" si="28"/>
        <v/>
      </c>
      <c r="P8" s="16" t="str">
        <f t="shared" si="28"/>
        <v/>
      </c>
      <c r="Q8" s="16" t="str">
        <f t="shared" si="28"/>
        <v/>
      </c>
      <c r="R8" s="16" t="str">
        <f t="shared" si="28"/>
        <v/>
      </c>
      <c r="S8" s="16" t="str">
        <f t="shared" si="28"/>
        <v/>
      </c>
      <c r="T8" s="16" t="str">
        <f t="shared" si="28"/>
        <v/>
      </c>
      <c r="U8" s="16" t="str">
        <f t="shared" si="28"/>
        <v/>
      </c>
      <c r="V8" s="16" t="str">
        <f t="shared" si="28"/>
        <v/>
      </c>
      <c r="W8" s="16" t="str">
        <f t="shared" si="28"/>
        <v/>
      </c>
      <c r="X8" s="16" t="str">
        <f t="shared" si="28"/>
        <v/>
      </c>
      <c r="Y8" s="16" t="str">
        <f t="shared" si="28"/>
        <v/>
      </c>
      <c r="Z8" s="16" t="str">
        <f t="shared" si="28"/>
        <v/>
      </c>
      <c r="AA8" s="16" t="str">
        <f t="shared" si="28"/>
        <v/>
      </c>
      <c r="AB8" s="16" t="str">
        <f t="shared" si="28"/>
        <v/>
      </c>
      <c r="AC8" s="16" t="str">
        <f t="shared" si="28"/>
        <v/>
      </c>
      <c r="AD8" s="16" t="str">
        <f t="shared" si="28"/>
        <v/>
      </c>
      <c r="AE8" s="16" t="str">
        <f t="shared" si="28"/>
        <v/>
      </c>
      <c r="AF8" s="16" t="str">
        <f t="shared" si="28"/>
        <v/>
      </c>
      <c r="AG8" s="16" t="str">
        <f t="shared" si="28"/>
        <v/>
      </c>
      <c r="AH8" s="16">
        <f t="shared" si="28"/>
        <v>0.3411764705882353</v>
      </c>
      <c r="AI8" s="16">
        <f t="shared" si="28"/>
        <v>0.34232987312572077</v>
      </c>
      <c r="AJ8" s="16">
        <f t="shared" si="28"/>
        <v>0.3450760696435437</v>
      </c>
      <c r="AK8" s="16">
        <f t="shared" si="28"/>
        <v>0.35006915422140339</v>
      </c>
      <c r="AL8" s="16">
        <f t="shared" si="28"/>
        <v>0.36147043716107102</v>
      </c>
      <c r="AM8" s="16">
        <f t="shared" si="28"/>
        <v>0.36497312469188259</v>
      </c>
      <c r="AN8" s="16">
        <f t="shared" si="28"/>
        <v>0.36815738608352971</v>
      </c>
      <c r="AO8" s="16">
        <f t="shared" si="28"/>
        <v>0.37231077050741718</v>
      </c>
      <c r="AP8" s="16">
        <f t="shared" si="28"/>
        <v>0.3725849212944724</v>
      </c>
      <c r="AQ8" s="16">
        <f t="shared" si="28"/>
        <v>0.37285635771729947</v>
      </c>
      <c r="AR8" s="16">
        <f t="shared" si="28"/>
        <v>0.37338858599735236</v>
      </c>
      <c r="AS8" s="16">
        <f t="shared" si="28"/>
        <v>0.37391037842877678</v>
      </c>
      <c r="AT8" s="16">
        <f t="shared" si="28"/>
        <v>0.3744219396360558</v>
      </c>
      <c r="AU8" s="16">
        <f t="shared" si="28"/>
        <v>0.37467518775847108</v>
      </c>
      <c r="AV8" s="16">
        <f t="shared" si="28"/>
        <v>0.37492592847373368</v>
      </c>
      <c r="AW8" s="16">
        <f t="shared" si="28"/>
        <v>0.37517418660765711</v>
      </c>
      <c r="AX8" s="16">
        <f t="shared" ref="AX8:BU8" si="29">IFERROR(AX7/AX4,"")</f>
        <v>0.37541998674025456</v>
      </c>
      <c r="AY8" s="16">
        <f t="shared" si="29"/>
        <v>0.37590194778456326</v>
      </c>
      <c r="AZ8" s="16">
        <f t="shared" si="29"/>
        <v>0.37637445861231694</v>
      </c>
      <c r="BA8" s="16">
        <f t="shared" si="29"/>
        <v>0.37683770452187937</v>
      </c>
      <c r="BB8" s="16">
        <f t="shared" si="29"/>
        <v>0.37706703418007859</v>
      </c>
      <c r="BC8" s="16">
        <f t="shared" si="29"/>
        <v>0.37729409324760255</v>
      </c>
      <c r="BD8" s="16">
        <f t="shared" si="29"/>
        <v>0.37773930710549269</v>
      </c>
      <c r="BE8" s="16">
        <f t="shared" si="29"/>
        <v>0.37817579127989487</v>
      </c>
      <c r="BF8" s="16">
        <f t="shared" si="29"/>
        <v>0.37860371694107336</v>
      </c>
      <c r="BG8" s="16">
        <f t="shared" si="29"/>
        <v>0.37881556132779548</v>
      </c>
      <c r="BH8" s="16">
        <f t="shared" si="29"/>
        <v>0.37902530824534197</v>
      </c>
      <c r="BI8" s="16">
        <f t="shared" si="29"/>
        <v>0.37923297846073462</v>
      </c>
      <c r="BJ8" s="16">
        <f t="shared" si="29"/>
        <v>0.37943859253538087</v>
      </c>
      <c r="BK8" s="16">
        <f t="shared" si="29"/>
        <v>0.37984175738762821</v>
      </c>
      <c r="BL8" s="16">
        <f t="shared" si="29"/>
        <v>0.38023701704669427</v>
      </c>
      <c r="BM8" s="16">
        <f t="shared" si="29"/>
        <v>0.38062452651636702</v>
      </c>
      <c r="BN8" s="16">
        <f t="shared" si="29"/>
        <v>0.3808163628874921</v>
      </c>
      <c r="BO8" s="16">
        <f t="shared" si="29"/>
        <v>0.38100629988860607</v>
      </c>
      <c r="BP8" s="16">
        <f t="shared" si="29"/>
        <v>0.38137872538098627</v>
      </c>
      <c r="BQ8" s="16">
        <f t="shared" si="29"/>
        <v>0.38174384841273173</v>
      </c>
      <c r="BR8" s="16">
        <f t="shared" si="29"/>
        <v>0.38210181216934469</v>
      </c>
      <c r="BS8" s="16">
        <f t="shared" si="29"/>
        <v>0.38227902194984636</v>
      </c>
      <c r="BT8" s="16">
        <f t="shared" si="29"/>
        <v>0.38245447717806574</v>
      </c>
      <c r="BU8" s="16">
        <f t="shared" si="29"/>
        <v>0.38262819522580765</v>
      </c>
      <c r="BV8" s="16">
        <f t="shared" ref="BV8:BX8" si="30">IFERROR(BV7/BV4,"")</f>
        <v>0.38280019329287884</v>
      </c>
      <c r="BW8" s="16">
        <f t="shared" si="30"/>
        <v>0.38313744440478315</v>
      </c>
      <c r="BX8" s="16">
        <f t="shared" si="30"/>
        <v>0.38346808274978733</v>
      </c>
      <c r="BY8" s="16">
        <f t="shared" ref="BY8:CK8" si="31">IFERROR(BY7/BY4,"")</f>
        <v>0.38379223798998752</v>
      </c>
      <c r="BZ8" s="16">
        <f t="shared" si="31"/>
        <v>0.38411003724508586</v>
      </c>
      <c r="CA8" s="16">
        <f t="shared" si="31"/>
        <v>0.38442160514224111</v>
      </c>
      <c r="CB8" s="16">
        <f t="shared" si="31"/>
        <v>0.38472706386494238</v>
      </c>
      <c r="CC8" s="16">
        <f t="shared" si="31"/>
        <v>0.38502653320092389</v>
      </c>
      <c r="CD8" s="16">
        <f t="shared" si="31"/>
        <v>0.38532013058914089</v>
      </c>
      <c r="CE8" s="16">
        <f t="shared" si="31"/>
        <v>0.38560797116582451</v>
      </c>
      <c r="CF8" s="16">
        <f t="shared" si="31"/>
        <v>0.38589016780963192</v>
      </c>
      <c r="CG8" s="16">
        <f t="shared" si="31"/>
        <v>0.38616683118591344</v>
      </c>
      <c r="CH8" s="16">
        <f t="shared" si="31"/>
        <v>0.38643806979011125</v>
      </c>
      <c r="CI8" s="16">
        <f t="shared" si="31"/>
        <v>0.3867039899903052</v>
      </c>
      <c r="CJ8" s="16">
        <f t="shared" si="31"/>
        <v>0.38696469606892669</v>
      </c>
      <c r="CK8" s="16">
        <f t="shared" si="31"/>
        <v>0.38722029026365357</v>
      </c>
      <c r="CM8" s="16" t="str">
        <f>IFERROR(CM7/CM4,"")</f>
        <v/>
      </c>
      <c r="CN8" s="16" t="e">
        <f t="shared" ref="CN8:CO8" si="32">CN7/CN4</f>
        <v>#DIV/0!</v>
      </c>
      <c r="CO8" s="16">
        <f t="shared" si="32"/>
        <v>0.35888958416716671</v>
      </c>
      <c r="CP8" s="16">
        <f t="shared" ref="CP8:CQ8" si="33">CP7/CP4</f>
        <v>0.37477143617726311</v>
      </c>
      <c r="CQ8" s="16">
        <f t="shared" si="33"/>
        <v>0.37889607401652736</v>
      </c>
      <c r="CR8" s="16">
        <f t="shared" ref="CR8:CS8" si="34">CR7/CR4</f>
        <v>0.38234637155546264</v>
      </c>
      <c r="CS8" s="16">
        <f t="shared" si="34"/>
        <v>0.38578300943967847</v>
      </c>
    </row>
    <row r="9" spans="2:97" x14ac:dyDescent="0.2">
      <c r="B9" s="92"/>
      <c r="C9" s="91"/>
      <c r="D9" s="9"/>
    </row>
    <row r="10" spans="2:97" x14ac:dyDescent="0.2">
      <c r="B10" s="90" t="s">
        <v>52</v>
      </c>
      <c r="C10" s="91" t="s">
        <v>4</v>
      </c>
      <c r="D10" s="9"/>
      <c r="F10" s="11">
        <f t="shared" ref="F10:K10" si="35">-F55/1.2-F82</f>
        <v>0</v>
      </c>
      <c r="G10" s="11">
        <f t="shared" si="35"/>
        <v>0</v>
      </c>
      <c r="H10" s="11">
        <f t="shared" si="35"/>
        <v>0</v>
      </c>
      <c r="I10" s="11">
        <f t="shared" si="35"/>
        <v>0</v>
      </c>
      <c r="J10" s="11">
        <f t="shared" si="35"/>
        <v>0</v>
      </c>
      <c r="K10" s="11">
        <f t="shared" si="35"/>
        <v>0</v>
      </c>
      <c r="L10" s="11">
        <f t="shared" ref="L10:AW10" si="36">-L55/1.2-L82</f>
        <v>0</v>
      </c>
      <c r="M10" s="11">
        <f t="shared" si="36"/>
        <v>0</v>
      </c>
      <c r="N10" s="11">
        <f t="shared" si="36"/>
        <v>0</v>
      </c>
      <c r="O10" s="11">
        <f t="shared" si="36"/>
        <v>0</v>
      </c>
      <c r="P10" s="11">
        <f t="shared" si="36"/>
        <v>0</v>
      </c>
      <c r="Q10" s="11">
        <f t="shared" si="36"/>
        <v>0</v>
      </c>
      <c r="R10" s="11">
        <f t="shared" si="36"/>
        <v>0</v>
      </c>
      <c r="S10" s="11">
        <f t="shared" si="36"/>
        <v>0</v>
      </c>
      <c r="T10" s="11">
        <f t="shared" si="36"/>
        <v>0</v>
      </c>
      <c r="U10" s="11">
        <f t="shared" si="36"/>
        <v>0</v>
      </c>
      <c r="V10" s="11">
        <f t="shared" si="36"/>
        <v>0</v>
      </c>
      <c r="W10" s="11">
        <f t="shared" si="36"/>
        <v>0</v>
      </c>
      <c r="X10" s="11">
        <f t="shared" si="36"/>
        <v>0</v>
      </c>
      <c r="Y10" s="11">
        <f t="shared" si="36"/>
        <v>0</v>
      </c>
      <c r="Z10" s="11">
        <f t="shared" si="36"/>
        <v>0</v>
      </c>
      <c r="AA10" s="11">
        <f t="shared" si="36"/>
        <v>0</v>
      </c>
      <c r="AB10" s="11">
        <f t="shared" si="36"/>
        <v>0</v>
      </c>
      <c r="AC10" s="11">
        <f t="shared" si="36"/>
        <v>0</v>
      </c>
      <c r="AD10" s="11">
        <f t="shared" si="36"/>
        <v>0</v>
      </c>
      <c r="AE10" s="11">
        <f t="shared" si="36"/>
        <v>0</v>
      </c>
      <c r="AF10" s="11">
        <f t="shared" si="36"/>
        <v>0</v>
      </c>
      <c r="AG10" s="11">
        <f t="shared" si="36"/>
        <v>0</v>
      </c>
      <c r="AH10" s="11">
        <f t="shared" si="36"/>
        <v>-187.63333333333333</v>
      </c>
      <c r="AI10" s="11">
        <f t="shared" si="36"/>
        <v>-438.05266666666665</v>
      </c>
      <c r="AJ10" s="11">
        <f t="shared" si="36"/>
        <v>-439.12196666666671</v>
      </c>
      <c r="AK10" s="11">
        <f t="shared" si="36"/>
        <v>-441.36749666666668</v>
      </c>
      <c r="AL10" s="11">
        <f t="shared" si="36"/>
        <v>-198.67671927196668</v>
      </c>
      <c r="AM10" s="11">
        <f t="shared" si="36"/>
        <v>-49.485811054680013</v>
      </c>
      <c r="AN10" s="11">
        <f t="shared" si="36"/>
        <v>-54.434392160148029</v>
      </c>
      <c r="AO10" s="11">
        <f t="shared" si="36"/>
        <v>-62.599550984170236</v>
      </c>
      <c r="AP10" s="11">
        <f t="shared" si="36"/>
        <v>-63.225546494011937</v>
      </c>
      <c r="AQ10" s="11">
        <f t="shared" si="36"/>
        <v>-63.857801958952059</v>
      </c>
      <c r="AR10" s="11">
        <f t="shared" si="36"/>
        <v>-65.134957998131085</v>
      </c>
      <c r="AS10" s="11">
        <f t="shared" si="36"/>
        <v>-66.437657158093714</v>
      </c>
      <c r="AT10" s="11">
        <f t="shared" si="36"/>
        <v>-67.76641030125559</v>
      </c>
      <c r="AU10" s="11">
        <f t="shared" si="36"/>
        <v>-68.44407440426815</v>
      </c>
      <c r="AV10" s="11">
        <f t="shared" si="36"/>
        <v>-69.128515148310825</v>
      </c>
      <c r="AW10" s="11">
        <f t="shared" si="36"/>
        <v>-69.81980029979394</v>
      </c>
      <c r="AX10" s="11">
        <f t="shared" ref="AX10:BU10" si="37">-AX55/1.2-AX82</f>
        <v>-70.517998302791881</v>
      </c>
      <c r="AY10" s="11">
        <f t="shared" si="37"/>
        <v>-71.928358268847717</v>
      </c>
      <c r="AZ10" s="11">
        <f t="shared" si="37"/>
        <v>-73.366925434224669</v>
      </c>
      <c r="BA10" s="11">
        <f t="shared" si="37"/>
        <v>-74.834263942909189</v>
      </c>
      <c r="BB10" s="11">
        <f t="shared" si="37"/>
        <v>-75.582606582338258</v>
      </c>
      <c r="BC10" s="11">
        <f t="shared" si="37"/>
        <v>-76.338432648161643</v>
      </c>
      <c r="BD10" s="11">
        <f t="shared" si="37"/>
        <v>-77.865201301124898</v>
      </c>
      <c r="BE10" s="11">
        <f t="shared" si="37"/>
        <v>-79.422505327147377</v>
      </c>
      <c r="BF10" s="11">
        <f t="shared" si="37"/>
        <v>-81.010955433690341</v>
      </c>
      <c r="BG10" s="11">
        <f t="shared" si="37"/>
        <v>-81.821064988027246</v>
      </c>
      <c r="BH10" s="11">
        <f t="shared" si="37"/>
        <v>-82.639275637907531</v>
      </c>
      <c r="BI10" s="11">
        <f t="shared" si="37"/>
        <v>-83.465668394286595</v>
      </c>
      <c r="BJ10" s="11">
        <f t="shared" si="37"/>
        <v>-84.300325078229463</v>
      </c>
      <c r="BK10" s="11">
        <f t="shared" si="37"/>
        <v>-85.98633157979404</v>
      </c>
      <c r="BL10" s="11">
        <f t="shared" si="37"/>
        <v>-87.706058211389944</v>
      </c>
      <c r="BM10" s="11">
        <f t="shared" si="37"/>
        <v>-89.460179375617741</v>
      </c>
      <c r="BN10" s="11">
        <f t="shared" si="37"/>
        <v>-90.354781169373922</v>
      </c>
      <c r="BO10" s="11">
        <f t="shared" si="37"/>
        <v>-91.258328981067649</v>
      </c>
      <c r="BP10" s="11">
        <f t="shared" si="37"/>
        <v>-93.083495560688988</v>
      </c>
      <c r="BQ10" s="11">
        <f t="shared" si="37"/>
        <v>-94.945165471902783</v>
      </c>
      <c r="BR10" s="11">
        <f t="shared" si="37"/>
        <v>-96.844068781340837</v>
      </c>
      <c r="BS10" s="11">
        <f t="shared" si="37"/>
        <v>-97.81250946915425</v>
      </c>
      <c r="BT10" s="11">
        <f t="shared" si="37"/>
        <v>-98.790634563845799</v>
      </c>
      <c r="BU10" s="11">
        <f t="shared" si="37"/>
        <v>-99.778540909484249</v>
      </c>
      <c r="BV10" s="11">
        <f t="shared" ref="BV10:BX10" si="38">-BV55/1.2-BV82</f>
        <v>-100.77632631857909</v>
      </c>
      <c r="BW10" s="11">
        <f t="shared" si="38"/>
        <v>-102.79185284495068</v>
      </c>
      <c r="BX10" s="11">
        <f t="shared" si="38"/>
        <v>-104.84768990184969</v>
      </c>
      <c r="BY10" s="11">
        <f t="shared" ref="BY10:CK10" si="39">-BY55/1.2-BY82</f>
        <v>-106.94464369988668</v>
      </c>
      <c r="BZ10" s="11">
        <f t="shared" si="39"/>
        <v>-109.08353657388443</v>
      </c>
      <c r="CA10" s="11">
        <f t="shared" si="39"/>
        <v>-111.26520730536211</v>
      </c>
      <c r="CB10" s="11">
        <f t="shared" si="39"/>
        <v>-113.49051145146936</v>
      </c>
      <c r="CC10" s="11">
        <f t="shared" si="39"/>
        <v>-115.76032168049875</v>
      </c>
      <c r="CD10" s="11">
        <f t="shared" si="39"/>
        <v>-118.07552811410871</v>
      </c>
      <c r="CE10" s="11">
        <f t="shared" si="39"/>
        <v>-120.4370386763909</v>
      </c>
      <c r="CF10" s="11">
        <f t="shared" si="39"/>
        <v>-122.84577944991872</v>
      </c>
      <c r="CG10" s="11">
        <f t="shared" si="39"/>
        <v>-125.30269503891711</v>
      </c>
      <c r="CH10" s="11">
        <f t="shared" si="39"/>
        <v>-127.80874893969545</v>
      </c>
      <c r="CI10" s="11">
        <f t="shared" si="39"/>
        <v>-130.36492391848935</v>
      </c>
      <c r="CJ10" s="11">
        <f t="shared" si="39"/>
        <v>-132.97222239685914</v>
      </c>
      <c r="CK10" s="11">
        <f t="shared" si="39"/>
        <v>-135.63166684479631</v>
      </c>
      <c r="CM10" s="11">
        <f t="shared" ref="CM10:CQ12" si="40">SUMIF($L$2:$CK$2,CM$3,$L10:$CK10)</f>
        <v>0</v>
      </c>
      <c r="CN10" s="11">
        <f t="shared" si="40"/>
        <v>0</v>
      </c>
      <c r="CO10" s="11">
        <f t="shared" si="40"/>
        <v>-1871.3719368042985</v>
      </c>
      <c r="CP10" s="11">
        <f t="shared" si="40"/>
        <v>-824.46230971159082</v>
      </c>
      <c r="CQ10" s="11">
        <f t="shared" si="40"/>
        <v>-985.59860455771513</v>
      </c>
      <c r="CR10" s="11">
        <f t="shared" ref="CR10:CS12" si="41">SUMIF($L$2:$CK$2,CR$3,$L10:$CK10)</f>
        <v>-1178.2280376721246</v>
      </c>
      <c r="CS10" s="11">
        <f t="shared" si="41"/>
        <v>-1463.0381803903906</v>
      </c>
    </row>
    <row r="11" spans="2:97" x14ac:dyDescent="0.2">
      <c r="B11" s="90" t="s">
        <v>53</v>
      </c>
      <c r="C11" s="91" t="s">
        <v>4</v>
      </c>
      <c r="D11" s="9"/>
      <c r="F11" s="11">
        <f t="shared" ref="F11:K11" si="42">-F48/1.2-F51/1.2-F80-F81</f>
        <v>0</v>
      </c>
      <c r="G11" s="11">
        <f t="shared" si="42"/>
        <v>0</v>
      </c>
      <c r="H11" s="11">
        <f t="shared" si="42"/>
        <v>0</v>
      </c>
      <c r="I11" s="11">
        <f t="shared" si="42"/>
        <v>0</v>
      </c>
      <c r="J11" s="11">
        <f t="shared" si="42"/>
        <v>0</v>
      </c>
      <c r="K11" s="11">
        <f t="shared" si="42"/>
        <v>0</v>
      </c>
      <c r="L11" s="11">
        <f t="shared" ref="L11:AW11" si="43">-L48/1.2-L51/1.2-L80-L81</f>
        <v>0</v>
      </c>
      <c r="M11" s="11">
        <f t="shared" si="43"/>
        <v>0</v>
      </c>
      <c r="N11" s="11">
        <f t="shared" si="43"/>
        <v>0</v>
      </c>
      <c r="O11" s="11">
        <f t="shared" si="43"/>
        <v>0</v>
      </c>
      <c r="P11" s="11">
        <f t="shared" si="43"/>
        <v>0</v>
      </c>
      <c r="Q11" s="11">
        <f t="shared" si="43"/>
        <v>0</v>
      </c>
      <c r="R11" s="11">
        <f t="shared" si="43"/>
        <v>0</v>
      </c>
      <c r="S11" s="11">
        <f t="shared" si="43"/>
        <v>0</v>
      </c>
      <c r="T11" s="11">
        <f t="shared" si="43"/>
        <v>0</v>
      </c>
      <c r="U11" s="11">
        <f t="shared" si="43"/>
        <v>0</v>
      </c>
      <c r="V11" s="11">
        <f t="shared" si="43"/>
        <v>0</v>
      </c>
      <c r="W11" s="11">
        <f t="shared" si="43"/>
        <v>0</v>
      </c>
      <c r="X11" s="11">
        <f t="shared" si="43"/>
        <v>0</v>
      </c>
      <c r="Y11" s="11">
        <f t="shared" si="43"/>
        <v>0</v>
      </c>
      <c r="Z11" s="11">
        <f t="shared" si="43"/>
        <v>0</v>
      </c>
      <c r="AA11" s="11">
        <f t="shared" si="43"/>
        <v>0</v>
      </c>
      <c r="AB11" s="11">
        <f t="shared" si="43"/>
        <v>0</v>
      </c>
      <c r="AC11" s="11">
        <f t="shared" si="43"/>
        <v>0</v>
      </c>
      <c r="AD11" s="11">
        <f t="shared" si="43"/>
        <v>-83.333333333333343</v>
      </c>
      <c r="AE11" s="11">
        <f t="shared" si="43"/>
        <v>-50</v>
      </c>
      <c r="AF11" s="11">
        <f t="shared" si="43"/>
        <v>-50</v>
      </c>
      <c r="AG11" s="11">
        <f t="shared" si="43"/>
        <v>-50</v>
      </c>
      <c r="AH11" s="11">
        <f t="shared" si="43"/>
        <v>-113.16200000000001</v>
      </c>
      <c r="AI11" s="11">
        <f t="shared" si="43"/>
        <v>-113.50857333333333</v>
      </c>
      <c r="AJ11" s="11">
        <f t="shared" si="43"/>
        <v>-127.72566866666666</v>
      </c>
      <c r="AK11" s="11">
        <f t="shared" si="43"/>
        <v>-129.58156886666669</v>
      </c>
      <c r="AL11" s="11">
        <f t="shared" si="43"/>
        <v>-135.62254257666868</v>
      </c>
      <c r="AM11" s="11">
        <f t="shared" si="43"/>
        <v>-138.26813016766889</v>
      </c>
      <c r="AN11" s="11">
        <f t="shared" si="43"/>
        <v>-141.17827651776909</v>
      </c>
      <c r="AO11" s="11">
        <f t="shared" si="43"/>
        <v>-145.98001799543448</v>
      </c>
      <c r="AP11" s="11">
        <f t="shared" si="43"/>
        <v>-151.34815150872214</v>
      </c>
      <c r="AQ11" s="11">
        <f t="shared" si="43"/>
        <v>-151.71996635714271</v>
      </c>
      <c r="AR11" s="11">
        <f t="shared" si="43"/>
        <v>-152.47103235095221</v>
      </c>
      <c r="AS11" s="11">
        <f t="shared" si="43"/>
        <v>-153.23711966463793</v>
      </c>
      <c r="AT11" s="11">
        <f t="shared" si="43"/>
        <v>-154.01852872459736</v>
      </c>
      <c r="AU11" s="11">
        <f t="shared" si="43"/>
        <v>-154.41704734517666</v>
      </c>
      <c r="AV11" s="11">
        <f t="shared" si="43"/>
        <v>-154.81955115196178</v>
      </c>
      <c r="AW11" s="11">
        <f t="shared" si="43"/>
        <v>-155.22607999681472</v>
      </c>
      <c r="AX11" s="11">
        <f t="shared" ref="AX11:BU11" si="44">-AX48/1.2-AX51/1.2-AX80-AX81</f>
        <v>-165.63667413011621</v>
      </c>
      <c r="AY11" s="11">
        <f t="shared" si="44"/>
        <v>-166.4660742793852</v>
      </c>
      <c r="AZ11" s="11">
        <f t="shared" si="44"/>
        <v>-167.31206243163956</v>
      </c>
      <c r="BA11" s="11">
        <f t="shared" si="44"/>
        <v>-168.17497034693903</v>
      </c>
      <c r="BB11" s="11">
        <f t="shared" si="44"/>
        <v>-168.61505338374175</v>
      </c>
      <c r="BC11" s="11">
        <f t="shared" si="44"/>
        <v>-169.05953725091251</v>
      </c>
      <c r="BD11" s="11">
        <f t="shared" si="44"/>
        <v>-169.95739466259744</v>
      </c>
      <c r="BE11" s="11">
        <f t="shared" si="44"/>
        <v>-170.87320922251604</v>
      </c>
      <c r="BF11" s="11">
        <f t="shared" si="44"/>
        <v>-171.80734007363304</v>
      </c>
      <c r="BG11" s="11">
        <f t="shared" si="44"/>
        <v>-172.2837468077027</v>
      </c>
      <c r="BH11" s="11">
        <f t="shared" si="44"/>
        <v>-172.76491760911304</v>
      </c>
      <c r="BI11" s="11">
        <f t="shared" si="44"/>
        <v>-173.25090011853754</v>
      </c>
      <c r="BJ11" s="11">
        <f t="shared" si="44"/>
        <v>-173.74174245305625</v>
      </c>
      <c r="BK11" s="11">
        <f t="shared" si="44"/>
        <v>-174.73324396878402</v>
      </c>
      <c r="BL11" s="11">
        <f t="shared" si="44"/>
        <v>-175.74457551482638</v>
      </c>
      <c r="BM11" s="11">
        <f t="shared" si="44"/>
        <v>-176.7761336917896</v>
      </c>
      <c r="BN11" s="11">
        <f t="shared" si="44"/>
        <v>-177.30222836204081</v>
      </c>
      <c r="BO11" s="11">
        <f t="shared" si="44"/>
        <v>-177.83358397899454</v>
      </c>
      <c r="BP11" s="11">
        <f t="shared" si="44"/>
        <v>-178.90692232524108</v>
      </c>
      <c r="BQ11" s="11">
        <f t="shared" si="44"/>
        <v>-180.00172743841256</v>
      </c>
      <c r="BR11" s="11">
        <f t="shared" si="44"/>
        <v>-181.1184286538475</v>
      </c>
      <c r="BS11" s="11">
        <f t="shared" si="44"/>
        <v>-181.68794627371932</v>
      </c>
      <c r="BT11" s="11">
        <f t="shared" si="44"/>
        <v>-182.26315906978982</v>
      </c>
      <c r="BU11" s="11">
        <f t="shared" si="44"/>
        <v>-182.84412399382106</v>
      </c>
      <c r="BV11" s="11">
        <f t="shared" ref="BV11:BX11" si="45">-BV48/1.2-BV51/1.2-BV80-BV81</f>
        <v>-183.43089856709264</v>
      </c>
      <c r="BW11" s="11">
        <f t="shared" si="45"/>
        <v>-184.61618320510115</v>
      </c>
      <c r="BX11" s="11">
        <f t="shared" si="45"/>
        <v>-185.82517353586982</v>
      </c>
      <c r="BY11" s="11">
        <f t="shared" ref="BY11:CK11" si="46">-BY48/1.2-BY51/1.2-BY80-BY81</f>
        <v>-187.05834367325389</v>
      </c>
      <c r="BZ11" s="11">
        <f t="shared" si="46"/>
        <v>-188.31617721338563</v>
      </c>
      <c r="CA11" s="11">
        <f t="shared" si="46"/>
        <v>-189.59916742432003</v>
      </c>
      <c r="CB11" s="11">
        <f t="shared" si="46"/>
        <v>-190.90781743947309</v>
      </c>
      <c r="CC11" s="11">
        <f t="shared" si="46"/>
        <v>-192.24264045492922</v>
      </c>
      <c r="CD11" s="11">
        <f t="shared" si="46"/>
        <v>-193.60415993069446</v>
      </c>
      <c r="CE11" s="11">
        <f t="shared" si="46"/>
        <v>-194.99290979597501</v>
      </c>
      <c r="CF11" s="11">
        <f t="shared" si="46"/>
        <v>-196.4094346585612</v>
      </c>
      <c r="CG11" s="11">
        <f t="shared" si="46"/>
        <v>-197.85429001839907</v>
      </c>
      <c r="CH11" s="11">
        <f t="shared" si="46"/>
        <v>-199.32804248543371</v>
      </c>
      <c r="CI11" s="11">
        <f t="shared" si="46"/>
        <v>-200.83127000180906</v>
      </c>
      <c r="CJ11" s="11">
        <f t="shared" si="46"/>
        <v>-202.3645620685119</v>
      </c>
      <c r="CK11" s="11">
        <f t="shared" si="46"/>
        <v>-203.92851997654884</v>
      </c>
      <c r="CM11" s="11">
        <f t="shared" si="40"/>
        <v>0</v>
      </c>
      <c r="CN11" s="11">
        <f t="shared" si="40"/>
        <v>0</v>
      </c>
      <c r="CO11" s="11">
        <f t="shared" si="40"/>
        <v>-1278.3601114575413</v>
      </c>
      <c r="CP11" s="11">
        <f t="shared" si="40"/>
        <v>-1894.8472582880854</v>
      </c>
      <c r="CQ11" s="11">
        <f t="shared" si="40"/>
        <v>-2069.6077947572107</v>
      </c>
      <c r="CR11" s="11">
        <f t="shared" si="41"/>
        <v>-2182.8887190771848</v>
      </c>
      <c r="CS11" s="11">
        <f t="shared" si="41"/>
        <v>-2350.378991468041</v>
      </c>
    </row>
    <row r="12" spans="2:97" x14ac:dyDescent="0.2">
      <c r="B12" s="90" t="s">
        <v>56</v>
      </c>
      <c r="C12" s="91" t="s">
        <v>4</v>
      </c>
      <c r="D12" s="9"/>
      <c r="F12" s="11">
        <f t="shared" ref="F12:K12" si="47">-F83*0.3</f>
        <v>0</v>
      </c>
      <c r="G12" s="11">
        <f t="shared" si="47"/>
        <v>0</v>
      </c>
      <c r="H12" s="11">
        <f t="shared" si="47"/>
        <v>0</v>
      </c>
      <c r="I12" s="11">
        <f t="shared" si="47"/>
        <v>0</v>
      </c>
      <c r="J12" s="11">
        <f t="shared" si="47"/>
        <v>0</v>
      </c>
      <c r="K12" s="11">
        <f t="shared" si="47"/>
        <v>0</v>
      </c>
      <c r="L12" s="11">
        <f>-L83*0.3</f>
        <v>0</v>
      </c>
      <c r="M12" s="11">
        <f t="shared" ref="M12:AW12" si="48">-M83*0.3</f>
        <v>0</v>
      </c>
      <c r="N12" s="11">
        <f t="shared" si="48"/>
        <v>0</v>
      </c>
      <c r="O12" s="11">
        <f t="shared" si="48"/>
        <v>0</v>
      </c>
      <c r="P12" s="11">
        <f t="shared" si="48"/>
        <v>0</v>
      </c>
      <c r="Q12" s="11">
        <f t="shared" si="48"/>
        <v>0</v>
      </c>
      <c r="R12" s="11">
        <f t="shared" si="48"/>
        <v>0</v>
      </c>
      <c r="S12" s="11">
        <f t="shared" si="48"/>
        <v>0</v>
      </c>
      <c r="T12" s="11">
        <f t="shared" si="48"/>
        <v>0</v>
      </c>
      <c r="U12" s="11">
        <f t="shared" si="48"/>
        <v>0</v>
      </c>
      <c r="V12" s="11">
        <f t="shared" si="48"/>
        <v>0</v>
      </c>
      <c r="W12" s="11">
        <f t="shared" si="48"/>
        <v>0</v>
      </c>
      <c r="X12" s="11">
        <f t="shared" si="48"/>
        <v>0</v>
      </c>
      <c r="Y12" s="11">
        <f t="shared" si="48"/>
        <v>0</v>
      </c>
      <c r="Z12" s="11">
        <f t="shared" si="48"/>
        <v>0</v>
      </c>
      <c r="AA12" s="11">
        <f t="shared" si="48"/>
        <v>0</v>
      </c>
      <c r="AB12" s="11">
        <f t="shared" si="48"/>
        <v>0</v>
      </c>
      <c r="AC12" s="11">
        <f t="shared" si="48"/>
        <v>0</v>
      </c>
      <c r="AD12" s="11">
        <f t="shared" si="48"/>
        <v>0</v>
      </c>
      <c r="AE12" s="11">
        <f t="shared" si="48"/>
        <v>-15</v>
      </c>
      <c r="AF12" s="11">
        <f t="shared" si="48"/>
        <v>-15</v>
      </c>
      <c r="AG12" s="11">
        <f t="shared" si="48"/>
        <v>-15</v>
      </c>
      <c r="AH12" s="11">
        <f t="shared" si="48"/>
        <v>-20.538599999999999</v>
      </c>
      <c r="AI12" s="11">
        <f t="shared" si="48"/>
        <v>-20.649371999999996</v>
      </c>
      <c r="AJ12" s="11">
        <f t="shared" si="48"/>
        <v>-22.431840599999997</v>
      </c>
      <c r="AK12" s="11">
        <f t="shared" si="48"/>
        <v>-23.025024659999996</v>
      </c>
      <c r="AL12" s="11">
        <f t="shared" si="48"/>
        <v>-24.955844707140603</v>
      </c>
      <c r="AM12" s="11">
        <f t="shared" si="48"/>
        <v>-25.801429177854661</v>
      </c>
      <c r="AN12" s="11">
        <f t="shared" si="48"/>
        <v>-26.731572095640132</v>
      </c>
      <c r="AO12" s="11">
        <f t="shared" si="48"/>
        <v>-28.266307909986146</v>
      </c>
      <c r="AP12" s="11">
        <f t="shared" si="48"/>
        <v>-29.883970989086009</v>
      </c>
      <c r="AQ12" s="11">
        <f t="shared" si="48"/>
        <v>-30.002810698976873</v>
      </c>
      <c r="AR12" s="11">
        <f t="shared" si="48"/>
        <v>-30.242866912956405</v>
      </c>
      <c r="AS12" s="11">
        <f t="shared" si="48"/>
        <v>-30.487724251215536</v>
      </c>
      <c r="AT12" s="11">
        <f t="shared" si="48"/>
        <v>-30.737478736239851</v>
      </c>
      <c r="AU12" s="11">
        <f t="shared" si="48"/>
        <v>-30.86485352360225</v>
      </c>
      <c r="AV12" s="11">
        <f t="shared" si="48"/>
        <v>-30.993502058838267</v>
      </c>
      <c r="AW12" s="11">
        <f t="shared" si="48"/>
        <v>-31.123437079426648</v>
      </c>
      <c r="AX12" s="11">
        <f t="shared" ref="AX12:BU12" si="49">-AX83*0.3</f>
        <v>-34.254671450220918</v>
      </c>
      <c r="AY12" s="11">
        <f t="shared" si="49"/>
        <v>-34.519764879225335</v>
      </c>
      <c r="AZ12" s="11">
        <f t="shared" si="49"/>
        <v>-34.790160176809842</v>
      </c>
      <c r="BA12" s="11">
        <f t="shared" si="49"/>
        <v>-35.065963380346041</v>
      </c>
      <c r="BB12" s="11">
        <f t="shared" si="49"/>
        <v>-35.2066230141495</v>
      </c>
      <c r="BC12" s="11">
        <f t="shared" si="49"/>
        <v>-35.348689244291002</v>
      </c>
      <c r="BD12" s="11">
        <f t="shared" si="49"/>
        <v>-35.635663029176818</v>
      </c>
      <c r="BE12" s="11">
        <f t="shared" si="49"/>
        <v>-35.928376289760358</v>
      </c>
      <c r="BF12" s="11">
        <f t="shared" si="49"/>
        <v>-36.226943815555565</v>
      </c>
      <c r="BG12" s="11">
        <f t="shared" si="49"/>
        <v>-36.379213253711121</v>
      </c>
      <c r="BH12" s="11">
        <f t="shared" si="49"/>
        <v>-36.533005386248227</v>
      </c>
      <c r="BI12" s="11">
        <f t="shared" si="49"/>
        <v>-36.688335440110713</v>
      </c>
      <c r="BJ12" s="11">
        <f t="shared" si="49"/>
        <v>-36.845218794511823</v>
      </c>
      <c r="BK12" s="11">
        <f t="shared" si="49"/>
        <v>-37.162123170402054</v>
      </c>
      <c r="BL12" s="11">
        <f t="shared" si="49"/>
        <v>-37.485365633810105</v>
      </c>
      <c r="BM12" s="11">
        <f t="shared" si="49"/>
        <v>-37.815072946486303</v>
      </c>
      <c r="BN12" s="11">
        <f t="shared" si="49"/>
        <v>-37.983223675951166</v>
      </c>
      <c r="BO12" s="11">
        <f t="shared" si="49"/>
        <v>-38.153055912710677</v>
      </c>
      <c r="BP12" s="11">
        <f t="shared" si="49"/>
        <v>-38.496117030964889</v>
      </c>
      <c r="BQ12" s="11">
        <f t="shared" si="49"/>
        <v>-38.84603937158419</v>
      </c>
      <c r="BR12" s="11">
        <f t="shared" si="49"/>
        <v>-39.202960159015866</v>
      </c>
      <c r="BS12" s="11">
        <f t="shared" si="49"/>
        <v>-39.384989760606025</v>
      </c>
      <c r="BT12" s="11">
        <f t="shared" si="49"/>
        <v>-39.568839658212092</v>
      </c>
      <c r="BU12" s="11">
        <f t="shared" si="49"/>
        <v>-39.754528054794214</v>
      </c>
      <c r="BV12" s="11">
        <f t="shared" ref="BV12:BX12" si="50">-BV83*0.3</f>
        <v>-39.942073335342151</v>
      </c>
      <c r="BW12" s="11">
        <f t="shared" si="50"/>
        <v>-40.320914802048996</v>
      </c>
      <c r="BX12" s="11">
        <f t="shared" si="50"/>
        <v>-40.707333098089975</v>
      </c>
      <c r="BY12" s="11">
        <f t="shared" ref="BY12:CK12" si="51">-BY83*0.3</f>
        <v>-41.101479760051774</v>
      </c>
      <c r="BZ12" s="11">
        <f t="shared" si="51"/>
        <v>-41.50350935525281</v>
      </c>
      <c r="CA12" s="11">
        <f t="shared" si="51"/>
        <v>-41.913579542357873</v>
      </c>
      <c r="CB12" s="11">
        <f t="shared" si="51"/>
        <v>-42.331851133205028</v>
      </c>
      <c r="CC12" s="11">
        <f t="shared" si="51"/>
        <v>-42.758488155869124</v>
      </c>
      <c r="CD12" s="11">
        <f t="shared" si="51"/>
        <v>-43.19365791898651</v>
      </c>
      <c r="CE12" s="11">
        <f t="shared" si="51"/>
        <v>-43.637531077366233</v>
      </c>
      <c r="CF12" s="11">
        <f t="shared" si="51"/>
        <v>-44.090281698913564</v>
      </c>
      <c r="CG12" s="11">
        <f t="shared" si="51"/>
        <v>-44.552087332891837</v>
      </c>
      <c r="CH12" s="11">
        <f t="shared" si="51"/>
        <v>-45.023129079549683</v>
      </c>
      <c r="CI12" s="11">
        <f t="shared" si="51"/>
        <v>-45.503591661140668</v>
      </c>
      <c r="CJ12" s="11">
        <f t="shared" si="51"/>
        <v>-45.993663494363481</v>
      </c>
      <c r="CK12" s="11">
        <f t="shared" si="51"/>
        <v>-46.493536764250749</v>
      </c>
      <c r="CM12" s="11">
        <f t="shared" si="40"/>
        <v>0</v>
      </c>
      <c r="CN12" s="11">
        <f t="shared" si="40"/>
        <v>0</v>
      </c>
      <c r="CO12" s="11">
        <f t="shared" si="40"/>
        <v>-237.39999115062156</v>
      </c>
      <c r="CP12" s="11">
        <f t="shared" si="40"/>
        <v>-382.96720413694396</v>
      </c>
      <c r="CQ12" s="11">
        <f t="shared" si="40"/>
        <v>-437.25463001821356</v>
      </c>
      <c r="CR12" s="11">
        <f t="shared" si="41"/>
        <v>-473.46155461937201</v>
      </c>
      <c r="CS12" s="11">
        <f t="shared" si="41"/>
        <v>-526.99490721414759</v>
      </c>
    </row>
    <row r="13" spans="2:97" x14ac:dyDescent="0.2">
      <c r="B13" s="92"/>
      <c r="C13" s="91"/>
      <c r="D13" s="9"/>
    </row>
    <row r="14" spans="2:97" s="12" customFormat="1" x14ac:dyDescent="0.2">
      <c r="B14" s="88" t="s">
        <v>54</v>
      </c>
      <c r="C14" s="89" t="s">
        <v>4</v>
      </c>
      <c r="D14" s="13"/>
      <c r="F14" s="14">
        <f t="shared" ref="F14:K14" si="52">SUM(F7,F10:F12)</f>
        <v>0</v>
      </c>
      <c r="G14" s="14">
        <f t="shared" si="52"/>
        <v>0</v>
      </c>
      <c r="H14" s="14">
        <f t="shared" si="52"/>
        <v>0</v>
      </c>
      <c r="I14" s="14">
        <f t="shared" si="52"/>
        <v>0</v>
      </c>
      <c r="J14" s="14">
        <f t="shared" si="52"/>
        <v>0</v>
      </c>
      <c r="K14" s="14">
        <f t="shared" si="52"/>
        <v>0</v>
      </c>
      <c r="L14" s="14">
        <f>SUM(L7,L10:L12)</f>
        <v>0</v>
      </c>
      <c r="M14" s="14">
        <f t="shared" ref="M14:CO14" si="53">SUM(M7,M10:M12)</f>
        <v>0</v>
      </c>
      <c r="N14" s="14">
        <f t="shared" si="53"/>
        <v>0</v>
      </c>
      <c r="O14" s="14">
        <f t="shared" si="53"/>
        <v>0</v>
      </c>
      <c r="P14" s="14">
        <f t="shared" si="53"/>
        <v>0</v>
      </c>
      <c r="Q14" s="14">
        <f t="shared" si="53"/>
        <v>0</v>
      </c>
      <c r="R14" s="14">
        <f t="shared" si="53"/>
        <v>0</v>
      </c>
      <c r="S14" s="14">
        <f t="shared" si="53"/>
        <v>0</v>
      </c>
      <c r="T14" s="14">
        <f t="shared" si="53"/>
        <v>0</v>
      </c>
      <c r="U14" s="14">
        <f t="shared" si="53"/>
        <v>0</v>
      </c>
      <c r="V14" s="14">
        <f t="shared" si="53"/>
        <v>0</v>
      </c>
      <c r="W14" s="14">
        <f t="shared" si="53"/>
        <v>0</v>
      </c>
      <c r="X14" s="14">
        <f t="shared" si="53"/>
        <v>0</v>
      </c>
      <c r="Y14" s="14">
        <f t="shared" si="53"/>
        <v>0</v>
      </c>
      <c r="Z14" s="14">
        <f t="shared" si="53"/>
        <v>0</v>
      </c>
      <c r="AA14" s="14">
        <f t="shared" si="53"/>
        <v>0</v>
      </c>
      <c r="AB14" s="14">
        <f t="shared" si="53"/>
        <v>0</v>
      </c>
      <c r="AC14" s="14">
        <f t="shared" si="53"/>
        <v>0</v>
      </c>
      <c r="AD14" s="14">
        <f t="shared" si="53"/>
        <v>-83.333333333333343</v>
      </c>
      <c r="AE14" s="14">
        <f t="shared" si="53"/>
        <v>-65</v>
      </c>
      <c r="AF14" s="14">
        <f t="shared" si="53"/>
        <v>-65</v>
      </c>
      <c r="AG14" s="14">
        <f t="shared" si="53"/>
        <v>-65</v>
      </c>
      <c r="AH14" s="14">
        <f t="shared" si="53"/>
        <v>-224.66726666666665</v>
      </c>
      <c r="AI14" s="14">
        <f t="shared" si="53"/>
        <v>-473.27727866666663</v>
      </c>
      <c r="AJ14" s="14">
        <f t="shared" si="53"/>
        <v>-484.56614259999998</v>
      </c>
      <c r="AK14" s="14">
        <f t="shared" si="53"/>
        <v>-477.12275685999998</v>
      </c>
      <c r="AL14" s="14">
        <f t="shared" si="53"/>
        <v>-202.89446184244252</v>
      </c>
      <c r="AM14" s="14">
        <f t="shared" si="53"/>
        <v>-39.891994548870159</v>
      </c>
      <c r="AN14" s="14">
        <f t="shared" si="53"/>
        <v>-29.647860670423768</v>
      </c>
      <c r="AO14" s="14">
        <f t="shared" si="53"/>
        <v>-12.74503977098734</v>
      </c>
      <c r="AP14" s="14">
        <f t="shared" si="53"/>
        <v>-17.94915683536388</v>
      </c>
      <c r="AQ14" s="14">
        <f t="shared" si="53"/>
        <v>-16.64031507038419</v>
      </c>
      <c r="AR14" s="14">
        <f t="shared" si="53"/>
        <v>-13.996454705125192</v>
      </c>
      <c r="AS14" s="14">
        <f t="shared" si="53"/>
        <v>-11.299717132561067</v>
      </c>
      <c r="AT14" s="14">
        <f t="shared" si="53"/>
        <v>-8.5490448085455313</v>
      </c>
      <c r="AU14" s="14">
        <f t="shared" si="53"/>
        <v>-7.1462019232976957</v>
      </c>
      <c r="AV14" s="14">
        <f t="shared" si="53"/>
        <v>-5.7293306091974117</v>
      </c>
      <c r="AW14" s="14">
        <f t="shared" si="53"/>
        <v>-4.2982905819560209</v>
      </c>
      <c r="AX14" s="14">
        <f t="shared" ref="AX14:BU14" si="54">SUM(AX7,AX10:AX12)</f>
        <v>-15.852940154442258</v>
      </c>
      <c r="AY14" s="14">
        <f t="shared" si="54"/>
        <v>-12.933332290864428</v>
      </c>
      <c r="AZ14" s="14">
        <f t="shared" si="54"/>
        <v>-9.9553322700150417</v>
      </c>
      <c r="BA14" s="14">
        <f t="shared" si="54"/>
        <v>-6.9177722487486975</v>
      </c>
      <c r="BB14" s="14">
        <f t="shared" si="54"/>
        <v>-5.368616637902818</v>
      </c>
      <c r="BC14" s="14">
        <f t="shared" si="54"/>
        <v>-3.8039694709485232</v>
      </c>
      <c r="BD14" s="14">
        <f t="shared" si="54"/>
        <v>-0.64338219370083749</v>
      </c>
      <c r="BE14" s="14">
        <f t="shared" si="54"/>
        <v>2.5804168290918952</v>
      </c>
      <c r="BF14" s="14">
        <f t="shared" si="54"/>
        <v>5.868691832340339</v>
      </c>
      <c r="BG14" s="14">
        <f t="shared" si="54"/>
        <v>7.5457120839971665</v>
      </c>
      <c r="BH14" s="14">
        <f t="shared" si="54"/>
        <v>9.2395025381704201</v>
      </c>
      <c r="BI14" s="14">
        <f t="shared" si="54"/>
        <v>10.950230896885436</v>
      </c>
      <c r="BJ14" s="14">
        <f t="shared" si="54"/>
        <v>12.678066539187654</v>
      </c>
      <c r="BK14" s="14">
        <f t="shared" si="54"/>
        <v>16.168294536638001</v>
      </c>
      <c r="BL14" s="14">
        <f t="shared" si="54"/>
        <v>19.728327094037397</v>
      </c>
      <c r="BM14" s="14">
        <f t="shared" si="54"/>
        <v>23.359560302584903</v>
      </c>
      <c r="BN14" s="14">
        <f t="shared" si="54"/>
        <v>25.211489238944068</v>
      </c>
      <c r="BO14" s="14">
        <f t="shared" si="54"/>
        <v>27.081937464666844</v>
      </c>
      <c r="BP14" s="14">
        <f t="shared" si="54"/>
        <v>30.860242880626821</v>
      </c>
      <c r="BQ14" s="14">
        <f t="shared" si="54"/>
        <v>34.714114404906134</v>
      </c>
      <c r="BR14" s="14">
        <f t="shared" si="54"/>
        <v>38.645063359670736</v>
      </c>
      <c r="BS14" s="14">
        <f t="shared" si="54"/>
        <v>40.649847326600913</v>
      </c>
      <c r="BT14" s="14">
        <f t="shared" si="54"/>
        <v>42.67467913320035</v>
      </c>
      <c r="BU14" s="14">
        <f t="shared" si="54"/>
        <v>44.719759257865654</v>
      </c>
      <c r="BV14" s="14">
        <f t="shared" ref="BV14:BX14" si="55">SUM(BV7,BV10:BV12)</f>
        <v>46.785290183777612</v>
      </c>
      <c r="BW14" s="14">
        <f t="shared" si="55"/>
        <v>50.957662654119822</v>
      </c>
      <c r="BX14" s="14">
        <f t="shared" si="55"/>
        <v>55.213482573868845</v>
      </c>
      <c r="BY14" s="14">
        <f t="shared" ref="BY14:CK14" si="56">SUM(BY7,BY10:BY12)</f>
        <v>59.554418892012762</v>
      </c>
      <c r="BZ14" s="14">
        <f t="shared" si="56"/>
        <v>63.982173936519736</v>
      </c>
      <c r="CA14" s="14">
        <f t="shared" si="56"/>
        <v>68.498484081916928</v>
      </c>
      <c r="CB14" s="14">
        <f t="shared" si="56"/>
        <v>73.10512043022203</v>
      </c>
      <c r="CC14" s="14">
        <f t="shared" si="56"/>
        <v>77.803889505493146</v>
      </c>
      <c r="CD14" s="14">
        <f t="shared" si="56"/>
        <v>82.596633962269408</v>
      </c>
      <c r="CE14" s="14">
        <f t="shared" si="56"/>
        <v>87.485233308181634</v>
      </c>
      <c r="CF14" s="14">
        <f t="shared" si="56"/>
        <v>92.47160464101205</v>
      </c>
      <c r="CG14" s="14">
        <f t="shared" si="56"/>
        <v>97.557703400498639</v>
      </c>
      <c r="CH14" s="14">
        <f t="shared" si="56"/>
        <v>102.74552413517537</v>
      </c>
      <c r="CI14" s="14">
        <f t="shared" si="56"/>
        <v>108.03710128454566</v>
      </c>
      <c r="CJ14" s="14">
        <f t="shared" si="56"/>
        <v>113.43450997690323</v>
      </c>
      <c r="CK14" s="14">
        <f t="shared" si="56"/>
        <v>118.93986684310788</v>
      </c>
      <c r="CM14" s="14">
        <f t="shared" si="53"/>
        <v>0</v>
      </c>
      <c r="CN14" s="14">
        <f t="shared" si="53"/>
        <v>0</v>
      </c>
      <c r="CO14" s="14">
        <f t="shared" si="53"/>
        <v>-2223.146134959391</v>
      </c>
      <c r="CP14" s="14">
        <f t="shared" ref="CP14:CQ14" si="57">SUM(CP7,CP10:CP12)</f>
        <v>-131.26788863050155</v>
      </c>
      <c r="CQ14" s="14">
        <f t="shared" si="57"/>
        <v>98.302834350380522</v>
      </c>
      <c r="CR14" s="14">
        <f t="shared" ref="CR14:CS14" si="58">SUM(CR7,CR10:CR12)</f>
        <v>497.06798737025906</v>
      </c>
      <c r="CS14" s="14">
        <f t="shared" si="58"/>
        <v>1086.6578455058425</v>
      </c>
    </row>
    <row r="15" spans="2:97" x14ac:dyDescent="0.2">
      <c r="B15" s="92"/>
      <c r="C15" s="91"/>
      <c r="D15" s="9"/>
    </row>
    <row r="16" spans="2:97" hidden="1" x14ac:dyDescent="0.2">
      <c r="B16" s="224" t="s">
        <v>55</v>
      </c>
      <c r="C16" s="91" t="s">
        <v>4</v>
      </c>
      <c r="D16" s="9"/>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M16" s="11">
        <f>SUMIF($L$2:$CK$2,CM$3,$L16:$CK16)</f>
        <v>0</v>
      </c>
      <c r="CN16" s="11">
        <f>SUMIF($L$2:$CK$2,CN$3,$L16:$CK16)</f>
        <v>0</v>
      </c>
      <c r="CO16" s="11">
        <f>SUMIF($L$2:$CK$2,CO$3,$L16:$CK16)</f>
        <v>0</v>
      </c>
      <c r="CP16" s="11">
        <f>SUMIF($L$2:$CK$2,CP$3,$L16:$CK16)</f>
        <v>0</v>
      </c>
      <c r="CQ16" s="11">
        <f>SUMIF($L$2:$CK$2,CQ$3,$L16:$CK16)</f>
        <v>0</v>
      </c>
      <c r="CR16" s="11">
        <f t="shared" ref="CR16:CS16" si="59">SUMIF($L$2:$CK$2,CR$3,$L16:$CK16)</f>
        <v>0</v>
      </c>
      <c r="CS16" s="11">
        <f t="shared" si="59"/>
        <v>0</v>
      </c>
    </row>
    <row r="17" spans="1:97" hidden="1" x14ac:dyDescent="0.2">
      <c r="B17" s="92"/>
      <c r="C17" s="91"/>
      <c r="D17" s="9"/>
    </row>
    <row r="18" spans="1:97" s="12" customFormat="1" x14ac:dyDescent="0.2">
      <c r="B18" s="88" t="s">
        <v>61</v>
      </c>
      <c r="C18" s="89" t="s">
        <v>4</v>
      </c>
      <c r="D18" s="13"/>
      <c r="F18" s="14">
        <f t="shared" ref="F18:K18" si="60">SUM(F14,F16)</f>
        <v>0</v>
      </c>
      <c r="G18" s="14">
        <f t="shared" si="60"/>
        <v>0</v>
      </c>
      <c r="H18" s="14">
        <f t="shared" si="60"/>
        <v>0</v>
      </c>
      <c r="I18" s="14">
        <f t="shared" si="60"/>
        <v>0</v>
      </c>
      <c r="J18" s="14">
        <f t="shared" si="60"/>
        <v>0</v>
      </c>
      <c r="K18" s="14">
        <f t="shared" si="60"/>
        <v>0</v>
      </c>
      <c r="L18" s="14">
        <f>SUM(L14,L16)</f>
        <v>0</v>
      </c>
      <c r="M18" s="14">
        <f t="shared" ref="M18:AW18" si="61">SUM(M14,M16)</f>
        <v>0</v>
      </c>
      <c r="N18" s="14">
        <f t="shared" si="61"/>
        <v>0</v>
      </c>
      <c r="O18" s="14">
        <f t="shared" si="61"/>
        <v>0</v>
      </c>
      <c r="P18" s="14">
        <f t="shared" si="61"/>
        <v>0</v>
      </c>
      <c r="Q18" s="14">
        <f t="shared" si="61"/>
        <v>0</v>
      </c>
      <c r="R18" s="14">
        <f t="shared" si="61"/>
        <v>0</v>
      </c>
      <c r="S18" s="14">
        <f t="shared" si="61"/>
        <v>0</v>
      </c>
      <c r="T18" s="14">
        <f t="shared" si="61"/>
        <v>0</v>
      </c>
      <c r="U18" s="14">
        <f t="shared" si="61"/>
        <v>0</v>
      </c>
      <c r="V18" s="14">
        <f t="shared" si="61"/>
        <v>0</v>
      </c>
      <c r="W18" s="14">
        <f t="shared" si="61"/>
        <v>0</v>
      </c>
      <c r="X18" s="14">
        <f t="shared" si="61"/>
        <v>0</v>
      </c>
      <c r="Y18" s="14">
        <f t="shared" si="61"/>
        <v>0</v>
      </c>
      <c r="Z18" s="14">
        <f t="shared" si="61"/>
        <v>0</v>
      </c>
      <c r="AA18" s="14">
        <f t="shared" si="61"/>
        <v>0</v>
      </c>
      <c r="AB18" s="14">
        <f t="shared" si="61"/>
        <v>0</v>
      </c>
      <c r="AC18" s="14">
        <f t="shared" si="61"/>
        <v>0</v>
      </c>
      <c r="AD18" s="14">
        <f t="shared" si="61"/>
        <v>-83.333333333333343</v>
      </c>
      <c r="AE18" s="14">
        <f t="shared" si="61"/>
        <v>-65</v>
      </c>
      <c r="AF18" s="14">
        <f t="shared" si="61"/>
        <v>-65</v>
      </c>
      <c r="AG18" s="14">
        <f t="shared" si="61"/>
        <v>-65</v>
      </c>
      <c r="AH18" s="14">
        <f t="shared" si="61"/>
        <v>-224.66726666666665</v>
      </c>
      <c r="AI18" s="14">
        <f t="shared" si="61"/>
        <v>-473.27727866666663</v>
      </c>
      <c r="AJ18" s="14">
        <f t="shared" si="61"/>
        <v>-484.56614259999998</v>
      </c>
      <c r="AK18" s="14">
        <f t="shared" si="61"/>
        <v>-477.12275685999998</v>
      </c>
      <c r="AL18" s="14">
        <f t="shared" si="61"/>
        <v>-202.89446184244252</v>
      </c>
      <c r="AM18" s="14">
        <f t="shared" si="61"/>
        <v>-39.891994548870159</v>
      </c>
      <c r="AN18" s="14">
        <f t="shared" si="61"/>
        <v>-29.647860670423768</v>
      </c>
      <c r="AO18" s="14">
        <f t="shared" si="61"/>
        <v>-12.74503977098734</v>
      </c>
      <c r="AP18" s="14">
        <f t="shared" si="61"/>
        <v>-17.94915683536388</v>
      </c>
      <c r="AQ18" s="14">
        <f t="shared" si="61"/>
        <v>-16.64031507038419</v>
      </c>
      <c r="AR18" s="14">
        <f t="shared" si="61"/>
        <v>-13.996454705125192</v>
      </c>
      <c r="AS18" s="14">
        <f t="shared" si="61"/>
        <v>-11.299717132561067</v>
      </c>
      <c r="AT18" s="14">
        <f t="shared" si="61"/>
        <v>-8.5490448085455313</v>
      </c>
      <c r="AU18" s="14">
        <f t="shared" si="61"/>
        <v>-7.1462019232976957</v>
      </c>
      <c r="AV18" s="14">
        <f t="shared" si="61"/>
        <v>-5.7293306091974117</v>
      </c>
      <c r="AW18" s="14">
        <f t="shared" si="61"/>
        <v>-4.2982905819560209</v>
      </c>
      <c r="AX18" s="14">
        <f t="shared" ref="AX18:BU18" si="62">SUM(AX14,AX16)</f>
        <v>-15.852940154442258</v>
      </c>
      <c r="AY18" s="14">
        <f t="shared" si="62"/>
        <v>-12.933332290864428</v>
      </c>
      <c r="AZ18" s="14">
        <f t="shared" si="62"/>
        <v>-9.9553322700150417</v>
      </c>
      <c r="BA18" s="14">
        <f t="shared" si="62"/>
        <v>-6.9177722487486975</v>
      </c>
      <c r="BB18" s="14">
        <f t="shared" si="62"/>
        <v>-5.368616637902818</v>
      </c>
      <c r="BC18" s="14">
        <f t="shared" si="62"/>
        <v>-3.8039694709485232</v>
      </c>
      <c r="BD18" s="14">
        <f t="shared" si="62"/>
        <v>-0.64338219370083749</v>
      </c>
      <c r="BE18" s="14">
        <f t="shared" si="62"/>
        <v>2.5804168290918952</v>
      </c>
      <c r="BF18" s="14">
        <f t="shared" si="62"/>
        <v>5.868691832340339</v>
      </c>
      <c r="BG18" s="14">
        <f t="shared" si="62"/>
        <v>7.5457120839971665</v>
      </c>
      <c r="BH18" s="14">
        <f t="shared" si="62"/>
        <v>9.2395025381704201</v>
      </c>
      <c r="BI18" s="14">
        <f t="shared" si="62"/>
        <v>10.950230896885436</v>
      </c>
      <c r="BJ18" s="14">
        <f t="shared" si="62"/>
        <v>12.678066539187654</v>
      </c>
      <c r="BK18" s="14">
        <f t="shared" si="62"/>
        <v>16.168294536638001</v>
      </c>
      <c r="BL18" s="14">
        <f t="shared" si="62"/>
        <v>19.728327094037397</v>
      </c>
      <c r="BM18" s="14">
        <f t="shared" si="62"/>
        <v>23.359560302584903</v>
      </c>
      <c r="BN18" s="14">
        <f t="shared" si="62"/>
        <v>25.211489238944068</v>
      </c>
      <c r="BO18" s="14">
        <f t="shared" si="62"/>
        <v>27.081937464666844</v>
      </c>
      <c r="BP18" s="14">
        <f t="shared" si="62"/>
        <v>30.860242880626821</v>
      </c>
      <c r="BQ18" s="14">
        <f t="shared" si="62"/>
        <v>34.714114404906134</v>
      </c>
      <c r="BR18" s="14">
        <f t="shared" si="62"/>
        <v>38.645063359670736</v>
      </c>
      <c r="BS18" s="14">
        <f t="shared" si="62"/>
        <v>40.649847326600913</v>
      </c>
      <c r="BT18" s="14">
        <f t="shared" si="62"/>
        <v>42.67467913320035</v>
      </c>
      <c r="BU18" s="14">
        <f t="shared" si="62"/>
        <v>44.719759257865654</v>
      </c>
      <c r="BV18" s="14">
        <f t="shared" ref="BV18:BX18" si="63">SUM(BV14,BV16)</f>
        <v>46.785290183777612</v>
      </c>
      <c r="BW18" s="14">
        <f t="shared" si="63"/>
        <v>50.957662654119822</v>
      </c>
      <c r="BX18" s="14">
        <f t="shared" si="63"/>
        <v>55.213482573868845</v>
      </c>
      <c r="BY18" s="14">
        <f t="shared" ref="BY18:CK18" si="64">SUM(BY14,BY16)</f>
        <v>59.554418892012762</v>
      </c>
      <c r="BZ18" s="14">
        <f t="shared" si="64"/>
        <v>63.982173936519736</v>
      </c>
      <c r="CA18" s="14">
        <f t="shared" si="64"/>
        <v>68.498484081916928</v>
      </c>
      <c r="CB18" s="14">
        <f t="shared" si="64"/>
        <v>73.10512043022203</v>
      </c>
      <c r="CC18" s="14">
        <f t="shared" si="64"/>
        <v>77.803889505493146</v>
      </c>
      <c r="CD18" s="14">
        <f t="shared" si="64"/>
        <v>82.596633962269408</v>
      </c>
      <c r="CE18" s="14">
        <f t="shared" si="64"/>
        <v>87.485233308181634</v>
      </c>
      <c r="CF18" s="14">
        <f t="shared" si="64"/>
        <v>92.47160464101205</v>
      </c>
      <c r="CG18" s="14">
        <f t="shared" si="64"/>
        <v>97.557703400498639</v>
      </c>
      <c r="CH18" s="14">
        <f t="shared" si="64"/>
        <v>102.74552413517537</v>
      </c>
      <c r="CI18" s="14">
        <f t="shared" si="64"/>
        <v>108.03710128454566</v>
      </c>
      <c r="CJ18" s="14">
        <f t="shared" si="64"/>
        <v>113.43450997690323</v>
      </c>
      <c r="CK18" s="14">
        <f t="shared" si="64"/>
        <v>118.93986684310788</v>
      </c>
      <c r="CM18" s="14">
        <f>SUM(CM14,CM16)</f>
        <v>0</v>
      </c>
      <c r="CN18" s="14">
        <f t="shared" ref="CN18:CO18" si="65">SUM(CN14,CN16)</f>
        <v>0</v>
      </c>
      <c r="CO18" s="14">
        <f t="shared" si="65"/>
        <v>-2223.146134959391</v>
      </c>
      <c r="CP18" s="14">
        <f t="shared" ref="CP18:CQ18" si="66">SUM(CP14,CP16)</f>
        <v>-131.26788863050155</v>
      </c>
      <c r="CQ18" s="14">
        <f t="shared" si="66"/>
        <v>98.302834350380522</v>
      </c>
      <c r="CR18" s="14">
        <f t="shared" ref="CR18:CS18" si="67">SUM(CR14,CR16)</f>
        <v>497.06798737025906</v>
      </c>
      <c r="CS18" s="14">
        <f t="shared" si="67"/>
        <v>1086.6578455058425</v>
      </c>
    </row>
    <row r="19" spans="1:97" x14ac:dyDescent="0.2">
      <c r="B19" s="92"/>
      <c r="C19" s="91"/>
      <c r="D19" s="9"/>
    </row>
    <row r="20" spans="1:97" x14ac:dyDescent="0.2">
      <c r="B20" s="90" t="s">
        <v>63</v>
      </c>
      <c r="C20" s="91" t="s">
        <v>4</v>
      </c>
      <c r="D20" s="9"/>
    </row>
    <row r="21" spans="1:97" x14ac:dyDescent="0.2">
      <c r="B21" s="92"/>
      <c r="C21" s="91"/>
      <c r="D21" s="9"/>
    </row>
    <row r="22" spans="1:97" s="12" customFormat="1" x14ac:dyDescent="0.2">
      <c r="B22" s="88" t="s">
        <v>62</v>
      </c>
      <c r="C22" s="89" t="s">
        <v>4</v>
      </c>
      <c r="D22" s="13"/>
      <c r="F22" s="14">
        <f t="shared" ref="F22:K22" si="68">F18+F20</f>
        <v>0</v>
      </c>
      <c r="G22" s="14">
        <f t="shared" si="68"/>
        <v>0</v>
      </c>
      <c r="H22" s="14">
        <f t="shared" si="68"/>
        <v>0</v>
      </c>
      <c r="I22" s="14">
        <f t="shared" si="68"/>
        <v>0</v>
      </c>
      <c r="J22" s="14">
        <f t="shared" si="68"/>
        <v>0</v>
      </c>
      <c r="K22" s="14">
        <f t="shared" si="68"/>
        <v>0</v>
      </c>
      <c r="L22" s="14">
        <f>L18+L20</f>
        <v>0</v>
      </c>
      <c r="M22" s="14">
        <f t="shared" ref="M22:AW22" si="69">M18+M20</f>
        <v>0</v>
      </c>
      <c r="N22" s="14">
        <f t="shared" si="69"/>
        <v>0</v>
      </c>
      <c r="O22" s="14">
        <f t="shared" si="69"/>
        <v>0</v>
      </c>
      <c r="P22" s="14">
        <f t="shared" si="69"/>
        <v>0</v>
      </c>
      <c r="Q22" s="14">
        <f t="shared" si="69"/>
        <v>0</v>
      </c>
      <c r="R22" s="14">
        <f t="shared" si="69"/>
        <v>0</v>
      </c>
      <c r="S22" s="14">
        <f t="shared" si="69"/>
        <v>0</v>
      </c>
      <c r="T22" s="14">
        <f t="shared" si="69"/>
        <v>0</v>
      </c>
      <c r="U22" s="14">
        <f t="shared" si="69"/>
        <v>0</v>
      </c>
      <c r="V22" s="14">
        <f t="shared" si="69"/>
        <v>0</v>
      </c>
      <c r="W22" s="14">
        <f t="shared" si="69"/>
        <v>0</v>
      </c>
      <c r="X22" s="14">
        <f t="shared" si="69"/>
        <v>0</v>
      </c>
      <c r="Y22" s="14">
        <f t="shared" si="69"/>
        <v>0</v>
      </c>
      <c r="Z22" s="14">
        <f t="shared" si="69"/>
        <v>0</v>
      </c>
      <c r="AA22" s="14">
        <f t="shared" si="69"/>
        <v>0</v>
      </c>
      <c r="AB22" s="14">
        <f t="shared" si="69"/>
        <v>0</v>
      </c>
      <c r="AC22" s="14">
        <f t="shared" si="69"/>
        <v>0</v>
      </c>
      <c r="AD22" s="14">
        <f t="shared" si="69"/>
        <v>-83.333333333333343</v>
      </c>
      <c r="AE22" s="14">
        <f t="shared" si="69"/>
        <v>-65</v>
      </c>
      <c r="AF22" s="14">
        <f t="shared" si="69"/>
        <v>-65</v>
      </c>
      <c r="AG22" s="14">
        <f t="shared" si="69"/>
        <v>-65</v>
      </c>
      <c r="AH22" s="14">
        <f t="shared" si="69"/>
        <v>-224.66726666666665</v>
      </c>
      <c r="AI22" s="14">
        <f t="shared" si="69"/>
        <v>-473.27727866666663</v>
      </c>
      <c r="AJ22" s="14">
        <f t="shared" si="69"/>
        <v>-484.56614259999998</v>
      </c>
      <c r="AK22" s="14">
        <f t="shared" si="69"/>
        <v>-477.12275685999998</v>
      </c>
      <c r="AL22" s="14">
        <f t="shared" si="69"/>
        <v>-202.89446184244252</v>
      </c>
      <c r="AM22" s="14">
        <f t="shared" si="69"/>
        <v>-39.891994548870159</v>
      </c>
      <c r="AN22" s="14">
        <f t="shared" si="69"/>
        <v>-29.647860670423768</v>
      </c>
      <c r="AO22" s="14">
        <f t="shared" si="69"/>
        <v>-12.74503977098734</v>
      </c>
      <c r="AP22" s="14">
        <f t="shared" si="69"/>
        <v>-17.94915683536388</v>
      </c>
      <c r="AQ22" s="14">
        <f t="shared" si="69"/>
        <v>-16.64031507038419</v>
      </c>
      <c r="AR22" s="14">
        <f t="shared" si="69"/>
        <v>-13.996454705125192</v>
      </c>
      <c r="AS22" s="14">
        <f t="shared" si="69"/>
        <v>-11.299717132561067</v>
      </c>
      <c r="AT22" s="14">
        <f t="shared" si="69"/>
        <v>-8.5490448085455313</v>
      </c>
      <c r="AU22" s="14">
        <f t="shared" si="69"/>
        <v>-7.1462019232976957</v>
      </c>
      <c r="AV22" s="14">
        <f t="shared" si="69"/>
        <v>-5.7293306091974117</v>
      </c>
      <c r="AW22" s="14">
        <f t="shared" si="69"/>
        <v>-4.2982905819560209</v>
      </c>
      <c r="AX22" s="14">
        <f t="shared" ref="AX22:BU22" si="70">AX18+AX20</f>
        <v>-15.852940154442258</v>
      </c>
      <c r="AY22" s="14">
        <f t="shared" si="70"/>
        <v>-12.933332290864428</v>
      </c>
      <c r="AZ22" s="14">
        <f t="shared" si="70"/>
        <v>-9.9553322700150417</v>
      </c>
      <c r="BA22" s="14">
        <f t="shared" si="70"/>
        <v>-6.9177722487486975</v>
      </c>
      <c r="BB22" s="14">
        <f t="shared" si="70"/>
        <v>-5.368616637902818</v>
      </c>
      <c r="BC22" s="14">
        <f t="shared" si="70"/>
        <v>-3.8039694709485232</v>
      </c>
      <c r="BD22" s="14">
        <f t="shared" si="70"/>
        <v>-0.64338219370083749</v>
      </c>
      <c r="BE22" s="14">
        <f t="shared" si="70"/>
        <v>2.5804168290918952</v>
      </c>
      <c r="BF22" s="14">
        <f t="shared" si="70"/>
        <v>5.868691832340339</v>
      </c>
      <c r="BG22" s="14">
        <f t="shared" si="70"/>
        <v>7.5457120839971665</v>
      </c>
      <c r="BH22" s="14">
        <f t="shared" si="70"/>
        <v>9.2395025381704201</v>
      </c>
      <c r="BI22" s="14">
        <f t="shared" si="70"/>
        <v>10.950230896885436</v>
      </c>
      <c r="BJ22" s="14">
        <f t="shared" si="70"/>
        <v>12.678066539187654</v>
      </c>
      <c r="BK22" s="14">
        <f t="shared" si="70"/>
        <v>16.168294536638001</v>
      </c>
      <c r="BL22" s="14">
        <f t="shared" si="70"/>
        <v>19.728327094037397</v>
      </c>
      <c r="BM22" s="14">
        <f t="shared" si="70"/>
        <v>23.359560302584903</v>
      </c>
      <c r="BN22" s="14">
        <f t="shared" si="70"/>
        <v>25.211489238944068</v>
      </c>
      <c r="BO22" s="14">
        <f t="shared" si="70"/>
        <v>27.081937464666844</v>
      </c>
      <c r="BP22" s="14">
        <f t="shared" si="70"/>
        <v>30.860242880626821</v>
      </c>
      <c r="BQ22" s="14">
        <f t="shared" si="70"/>
        <v>34.714114404906134</v>
      </c>
      <c r="BR22" s="14">
        <f t="shared" si="70"/>
        <v>38.645063359670736</v>
      </c>
      <c r="BS22" s="14">
        <f t="shared" si="70"/>
        <v>40.649847326600913</v>
      </c>
      <c r="BT22" s="14">
        <f t="shared" si="70"/>
        <v>42.67467913320035</v>
      </c>
      <c r="BU22" s="14">
        <f t="shared" si="70"/>
        <v>44.719759257865654</v>
      </c>
      <c r="BV22" s="14">
        <f t="shared" ref="BV22:BX22" si="71">BV18+BV20</f>
        <v>46.785290183777612</v>
      </c>
      <c r="BW22" s="14">
        <f t="shared" si="71"/>
        <v>50.957662654119822</v>
      </c>
      <c r="BX22" s="14">
        <f t="shared" si="71"/>
        <v>55.213482573868845</v>
      </c>
      <c r="BY22" s="14">
        <f t="shared" ref="BY22:CK22" si="72">BY18+BY20</f>
        <v>59.554418892012762</v>
      </c>
      <c r="BZ22" s="14">
        <f t="shared" si="72"/>
        <v>63.982173936519736</v>
      </c>
      <c r="CA22" s="14">
        <f t="shared" si="72"/>
        <v>68.498484081916928</v>
      </c>
      <c r="CB22" s="14">
        <f t="shared" si="72"/>
        <v>73.10512043022203</v>
      </c>
      <c r="CC22" s="14">
        <f t="shared" si="72"/>
        <v>77.803889505493146</v>
      </c>
      <c r="CD22" s="14">
        <f t="shared" si="72"/>
        <v>82.596633962269408</v>
      </c>
      <c r="CE22" s="14">
        <f t="shared" si="72"/>
        <v>87.485233308181634</v>
      </c>
      <c r="CF22" s="14">
        <f t="shared" si="72"/>
        <v>92.47160464101205</v>
      </c>
      <c r="CG22" s="14">
        <f t="shared" si="72"/>
        <v>97.557703400498639</v>
      </c>
      <c r="CH22" s="14">
        <f t="shared" si="72"/>
        <v>102.74552413517537</v>
      </c>
      <c r="CI22" s="14">
        <f t="shared" si="72"/>
        <v>108.03710128454566</v>
      </c>
      <c r="CJ22" s="14">
        <f t="shared" si="72"/>
        <v>113.43450997690323</v>
      </c>
      <c r="CK22" s="14">
        <f t="shared" si="72"/>
        <v>118.93986684310788</v>
      </c>
      <c r="CM22" s="14">
        <f>SUM(CM18,CM20)</f>
        <v>0</v>
      </c>
      <c r="CN22" s="14">
        <f t="shared" ref="CN22:CO22" si="73">SUM(CN18,CN20)</f>
        <v>0</v>
      </c>
      <c r="CO22" s="14">
        <f t="shared" si="73"/>
        <v>-2223.146134959391</v>
      </c>
      <c r="CP22" s="14">
        <f t="shared" ref="CP22:CQ22" si="74">SUM(CP18,CP20)</f>
        <v>-131.26788863050155</v>
      </c>
      <c r="CQ22" s="14">
        <f t="shared" si="74"/>
        <v>98.302834350380522</v>
      </c>
      <c r="CR22" s="14">
        <f t="shared" ref="CR22:CS22" si="75">SUM(CR18,CR20)</f>
        <v>497.06798737025906</v>
      </c>
      <c r="CS22" s="14">
        <f t="shared" si="75"/>
        <v>1086.6578455058425</v>
      </c>
    </row>
    <row r="23" spans="1:97" x14ac:dyDescent="0.2">
      <c r="B23" s="92"/>
      <c r="C23" s="91"/>
      <c r="D23" s="9" t="s">
        <v>322</v>
      </c>
    </row>
    <row r="24" spans="1:97" x14ac:dyDescent="0.2">
      <c r="B24" s="90" t="s">
        <v>60</v>
      </c>
      <c r="C24" s="91" t="s">
        <v>4</v>
      </c>
      <c r="D24" s="234">
        <v>0.25</v>
      </c>
      <c r="F24" s="11">
        <f>-IF(F22&lt;0,0,F22*0.2)</f>
        <v>0</v>
      </c>
      <c r="G24" s="11">
        <f t="shared" ref="G24:Q24" si="76">-IF(G22&lt;0,0,G22*0.2)</f>
        <v>0</v>
      </c>
      <c r="H24" s="11">
        <f t="shared" si="76"/>
        <v>0</v>
      </c>
      <c r="I24" s="11">
        <f t="shared" si="76"/>
        <v>0</v>
      </c>
      <c r="J24" s="11">
        <f t="shared" si="76"/>
        <v>0</v>
      </c>
      <c r="K24" s="11">
        <f t="shared" si="76"/>
        <v>0</v>
      </c>
      <c r="L24" s="11">
        <f t="shared" si="76"/>
        <v>0</v>
      </c>
      <c r="M24" s="11">
        <f t="shared" si="76"/>
        <v>0</v>
      </c>
      <c r="N24" s="11">
        <f t="shared" si="76"/>
        <v>0</v>
      </c>
      <c r="O24" s="11">
        <f t="shared" si="76"/>
        <v>0</v>
      </c>
      <c r="P24" s="11">
        <f t="shared" si="76"/>
        <v>0</v>
      </c>
      <c r="Q24" s="11">
        <f t="shared" si="76"/>
        <v>0</v>
      </c>
      <c r="R24" s="11">
        <f>-IF(R22&lt;0,0,R22*$D24)</f>
        <v>0</v>
      </c>
      <c r="S24" s="11">
        <f t="shared" ref="S24:BX24" si="77">-IF(S22&lt;0,0,S22*$D24)</f>
        <v>0</v>
      </c>
      <c r="T24" s="11">
        <f t="shared" si="77"/>
        <v>0</v>
      </c>
      <c r="U24" s="11">
        <f t="shared" si="77"/>
        <v>0</v>
      </c>
      <c r="V24" s="11">
        <f t="shared" si="77"/>
        <v>0</v>
      </c>
      <c r="W24" s="11">
        <f t="shared" si="77"/>
        <v>0</v>
      </c>
      <c r="X24" s="11">
        <f t="shared" si="77"/>
        <v>0</v>
      </c>
      <c r="Y24" s="11">
        <f t="shared" si="77"/>
        <v>0</v>
      </c>
      <c r="Z24" s="11">
        <f t="shared" si="77"/>
        <v>0</v>
      </c>
      <c r="AA24" s="11">
        <f t="shared" si="77"/>
        <v>0</v>
      </c>
      <c r="AB24" s="11">
        <f t="shared" si="77"/>
        <v>0</v>
      </c>
      <c r="AC24" s="11">
        <f t="shared" si="77"/>
        <v>0</v>
      </c>
      <c r="AD24" s="11">
        <f t="shared" si="77"/>
        <v>0</v>
      </c>
      <c r="AE24" s="11">
        <f t="shared" si="77"/>
        <v>0</v>
      </c>
      <c r="AF24" s="11">
        <f t="shared" si="77"/>
        <v>0</v>
      </c>
      <c r="AG24" s="11">
        <f t="shared" si="77"/>
        <v>0</v>
      </c>
      <c r="AH24" s="11">
        <f t="shared" si="77"/>
        <v>0</v>
      </c>
      <c r="AI24" s="11">
        <f t="shared" si="77"/>
        <v>0</v>
      </c>
      <c r="AJ24" s="11">
        <f t="shared" si="77"/>
        <v>0</v>
      </c>
      <c r="AK24" s="11">
        <f t="shared" si="77"/>
        <v>0</v>
      </c>
      <c r="AL24" s="11">
        <f t="shared" si="77"/>
        <v>0</v>
      </c>
      <c r="AM24" s="11">
        <f t="shared" si="77"/>
        <v>0</v>
      </c>
      <c r="AN24" s="11">
        <f t="shared" si="77"/>
        <v>0</v>
      </c>
      <c r="AO24" s="11">
        <f t="shared" si="77"/>
        <v>0</v>
      </c>
      <c r="AP24" s="11">
        <f t="shared" si="77"/>
        <v>0</v>
      </c>
      <c r="AQ24" s="11">
        <f t="shared" si="77"/>
        <v>0</v>
      </c>
      <c r="AR24" s="11">
        <f t="shared" si="77"/>
        <v>0</v>
      </c>
      <c r="AS24" s="11">
        <f t="shared" si="77"/>
        <v>0</v>
      </c>
      <c r="AT24" s="11">
        <f t="shared" si="77"/>
        <v>0</v>
      </c>
      <c r="AU24" s="11">
        <f t="shared" si="77"/>
        <v>0</v>
      </c>
      <c r="AV24" s="11">
        <f t="shared" si="77"/>
        <v>0</v>
      </c>
      <c r="AW24" s="11">
        <f t="shared" si="77"/>
        <v>0</v>
      </c>
      <c r="AX24" s="11">
        <f t="shared" si="77"/>
        <v>0</v>
      </c>
      <c r="AY24" s="11">
        <f t="shared" si="77"/>
        <v>0</v>
      </c>
      <c r="AZ24" s="11">
        <f t="shared" si="77"/>
        <v>0</v>
      </c>
      <c r="BA24" s="11">
        <f t="shared" si="77"/>
        <v>0</v>
      </c>
      <c r="BB24" s="11">
        <f t="shared" si="77"/>
        <v>0</v>
      </c>
      <c r="BC24" s="11">
        <f t="shared" si="77"/>
        <v>0</v>
      </c>
      <c r="BD24" s="11">
        <f t="shared" si="77"/>
        <v>0</v>
      </c>
      <c r="BE24" s="11">
        <f t="shared" si="77"/>
        <v>-0.6451042072729738</v>
      </c>
      <c r="BF24" s="11">
        <f t="shared" si="77"/>
        <v>-1.4671729580850847</v>
      </c>
      <c r="BG24" s="11">
        <f t="shared" si="77"/>
        <v>-1.8864280209992916</v>
      </c>
      <c r="BH24" s="11">
        <f t="shared" si="77"/>
        <v>-2.309875634542605</v>
      </c>
      <c r="BI24" s="11">
        <f t="shared" si="77"/>
        <v>-2.7375577242213591</v>
      </c>
      <c r="BJ24" s="11">
        <f t="shared" si="77"/>
        <v>-3.1695166347969135</v>
      </c>
      <c r="BK24" s="11">
        <f t="shared" si="77"/>
        <v>-4.0420736341595003</v>
      </c>
      <c r="BL24" s="11">
        <f t="shared" si="77"/>
        <v>-4.9320817735093492</v>
      </c>
      <c r="BM24" s="11">
        <f t="shared" si="77"/>
        <v>-5.8398900756462258</v>
      </c>
      <c r="BN24" s="11">
        <f t="shared" si="77"/>
        <v>-6.3028723097360171</v>
      </c>
      <c r="BO24" s="11">
        <f t="shared" si="77"/>
        <v>-6.7704843661667109</v>
      </c>
      <c r="BP24" s="11">
        <f t="shared" si="77"/>
        <v>-7.7150607201567052</v>
      </c>
      <c r="BQ24" s="11">
        <f t="shared" si="77"/>
        <v>-8.6785286012265335</v>
      </c>
      <c r="BR24" s="11">
        <f t="shared" si="77"/>
        <v>-9.6612658399176841</v>
      </c>
      <c r="BS24" s="11">
        <f t="shared" si="77"/>
        <v>-10.162461831650228</v>
      </c>
      <c r="BT24" s="11">
        <f t="shared" si="77"/>
        <v>-10.668669783300087</v>
      </c>
      <c r="BU24" s="11">
        <f t="shared" si="77"/>
        <v>-11.179939814466413</v>
      </c>
      <c r="BV24" s="11">
        <f t="shared" si="77"/>
        <v>-11.696322545944403</v>
      </c>
      <c r="BW24" s="11">
        <f t="shared" si="77"/>
        <v>-12.739415663529956</v>
      </c>
      <c r="BX24" s="11">
        <f t="shared" si="77"/>
        <v>-13.803370643467211</v>
      </c>
      <c r="BY24" s="11">
        <f t="shared" ref="BY24:CK24" si="78">-IF(BY22&lt;0,0,BY22*$D24)</f>
        <v>-14.888604723003191</v>
      </c>
      <c r="BZ24" s="11">
        <f t="shared" si="78"/>
        <v>-15.995543484129934</v>
      </c>
      <c r="CA24" s="11">
        <f t="shared" si="78"/>
        <v>-17.124621020479232</v>
      </c>
      <c r="CB24" s="11">
        <f t="shared" si="78"/>
        <v>-18.276280107555507</v>
      </c>
      <c r="CC24" s="11">
        <f t="shared" si="78"/>
        <v>-19.450972376373286</v>
      </c>
      <c r="CD24" s="11">
        <f t="shared" si="78"/>
        <v>-20.649158490567352</v>
      </c>
      <c r="CE24" s="11">
        <f t="shared" si="78"/>
        <v>-21.871308327045409</v>
      </c>
      <c r="CF24" s="11">
        <f t="shared" si="78"/>
        <v>-23.117901160253012</v>
      </c>
      <c r="CG24" s="11">
        <f t="shared" si="78"/>
        <v>-24.38942585012466</v>
      </c>
      <c r="CH24" s="11">
        <f t="shared" si="78"/>
        <v>-25.686381033793843</v>
      </c>
      <c r="CI24" s="11">
        <f t="shared" si="78"/>
        <v>-27.009275321136414</v>
      </c>
      <c r="CJ24" s="11">
        <f t="shared" si="78"/>
        <v>-28.358627494225807</v>
      </c>
      <c r="CK24" s="11">
        <f t="shared" si="78"/>
        <v>-29.73496671077697</v>
      </c>
      <c r="CM24" s="11">
        <f>SUMIF($L$2:$CK$2,CM$3,$L24:$CK24)</f>
        <v>0</v>
      </c>
      <c r="CN24" s="11">
        <f>SUMIF($L$2:$CK$2,CN$3,$L24:$CK24)</f>
        <v>0</v>
      </c>
      <c r="CO24" s="11">
        <f>SUMIF($L$2:$CK$2,CO$3,$L24:$CK24)</f>
        <v>0</v>
      </c>
      <c r="CP24" s="11">
        <f>SUMIF($L$2:$CK$2,CP$3,$L24:$CK24)</f>
        <v>0</v>
      </c>
      <c r="CQ24" s="11">
        <f>SUMIF($L$2:$CK$2,CQ$3,$L24:$CK24)</f>
        <v>-27.029700663233307</v>
      </c>
      <c r="CR24" s="11">
        <f t="shared" ref="CR24:CS24" si="79">SUMIF($L$2:$CK$2,CR$3,$L24:$CK24)</f>
        <v>-124.26699684256513</v>
      </c>
      <c r="CS24" s="11">
        <f t="shared" si="79"/>
        <v>-271.66446137646142</v>
      </c>
    </row>
    <row r="25" spans="1:97" x14ac:dyDescent="0.2">
      <c r="B25" s="92"/>
      <c r="C25" s="91"/>
      <c r="D25" s="9"/>
    </row>
    <row r="26" spans="1:97" s="12" customFormat="1" x14ac:dyDescent="0.2">
      <c r="B26" s="88" t="s">
        <v>57</v>
      </c>
      <c r="C26" s="89" t="s">
        <v>4</v>
      </c>
      <c r="D26" s="13"/>
      <c r="F26" s="93">
        <f t="shared" ref="F26:K26" si="80">F22+F24</f>
        <v>0</v>
      </c>
      <c r="G26" s="93">
        <f t="shared" si="80"/>
        <v>0</v>
      </c>
      <c r="H26" s="93">
        <f t="shared" si="80"/>
        <v>0</v>
      </c>
      <c r="I26" s="93">
        <f t="shared" si="80"/>
        <v>0</v>
      </c>
      <c r="J26" s="93">
        <f t="shared" si="80"/>
        <v>0</v>
      </c>
      <c r="K26" s="93">
        <f t="shared" si="80"/>
        <v>0</v>
      </c>
      <c r="L26" s="93">
        <f>L22+L24</f>
        <v>0</v>
      </c>
      <c r="M26" s="93">
        <f t="shared" ref="M26:AW26" si="81">M22+M24</f>
        <v>0</v>
      </c>
      <c r="N26" s="93">
        <f t="shared" si="81"/>
        <v>0</v>
      </c>
      <c r="O26" s="93">
        <f t="shared" si="81"/>
        <v>0</v>
      </c>
      <c r="P26" s="93">
        <f t="shared" si="81"/>
        <v>0</v>
      </c>
      <c r="Q26" s="93">
        <f t="shared" si="81"/>
        <v>0</v>
      </c>
      <c r="R26" s="93">
        <f t="shared" si="81"/>
        <v>0</v>
      </c>
      <c r="S26" s="93">
        <f t="shared" si="81"/>
        <v>0</v>
      </c>
      <c r="T26" s="93">
        <f t="shared" si="81"/>
        <v>0</v>
      </c>
      <c r="U26" s="93">
        <f t="shared" si="81"/>
        <v>0</v>
      </c>
      <c r="V26" s="93">
        <f t="shared" si="81"/>
        <v>0</v>
      </c>
      <c r="W26" s="93">
        <f t="shared" si="81"/>
        <v>0</v>
      </c>
      <c r="X26" s="93">
        <f t="shared" si="81"/>
        <v>0</v>
      </c>
      <c r="Y26" s="93">
        <f t="shared" si="81"/>
        <v>0</v>
      </c>
      <c r="Z26" s="93">
        <f t="shared" si="81"/>
        <v>0</v>
      </c>
      <c r="AA26" s="93">
        <f t="shared" si="81"/>
        <v>0</v>
      </c>
      <c r="AB26" s="93">
        <f t="shared" si="81"/>
        <v>0</v>
      </c>
      <c r="AC26" s="93">
        <f t="shared" si="81"/>
        <v>0</v>
      </c>
      <c r="AD26" s="93">
        <f t="shared" si="81"/>
        <v>-83.333333333333343</v>
      </c>
      <c r="AE26" s="93">
        <f t="shared" si="81"/>
        <v>-65</v>
      </c>
      <c r="AF26" s="93">
        <f t="shared" si="81"/>
        <v>-65</v>
      </c>
      <c r="AG26" s="93">
        <f t="shared" si="81"/>
        <v>-65</v>
      </c>
      <c r="AH26" s="93">
        <f t="shared" si="81"/>
        <v>-224.66726666666665</v>
      </c>
      <c r="AI26" s="93">
        <f t="shared" si="81"/>
        <v>-473.27727866666663</v>
      </c>
      <c r="AJ26" s="93">
        <f t="shared" si="81"/>
        <v>-484.56614259999998</v>
      </c>
      <c r="AK26" s="93">
        <f t="shared" si="81"/>
        <v>-477.12275685999998</v>
      </c>
      <c r="AL26" s="93">
        <f t="shared" si="81"/>
        <v>-202.89446184244252</v>
      </c>
      <c r="AM26" s="93">
        <f t="shared" si="81"/>
        <v>-39.891994548870159</v>
      </c>
      <c r="AN26" s="93">
        <f t="shared" si="81"/>
        <v>-29.647860670423768</v>
      </c>
      <c r="AO26" s="93">
        <f t="shared" si="81"/>
        <v>-12.74503977098734</v>
      </c>
      <c r="AP26" s="93">
        <f t="shared" si="81"/>
        <v>-17.94915683536388</v>
      </c>
      <c r="AQ26" s="93">
        <f t="shared" si="81"/>
        <v>-16.64031507038419</v>
      </c>
      <c r="AR26" s="93">
        <f t="shared" si="81"/>
        <v>-13.996454705125192</v>
      </c>
      <c r="AS26" s="93">
        <f t="shared" si="81"/>
        <v>-11.299717132561067</v>
      </c>
      <c r="AT26" s="93">
        <f t="shared" si="81"/>
        <v>-8.5490448085455313</v>
      </c>
      <c r="AU26" s="93">
        <f t="shared" si="81"/>
        <v>-7.1462019232976957</v>
      </c>
      <c r="AV26" s="93">
        <f t="shared" si="81"/>
        <v>-5.7293306091974117</v>
      </c>
      <c r="AW26" s="93">
        <f t="shared" si="81"/>
        <v>-4.2982905819560209</v>
      </c>
      <c r="AX26" s="93">
        <f t="shared" ref="AX26:BU26" si="82">AX22+AX24</f>
        <v>-15.852940154442258</v>
      </c>
      <c r="AY26" s="93">
        <f t="shared" si="82"/>
        <v>-12.933332290864428</v>
      </c>
      <c r="AZ26" s="93">
        <f t="shared" si="82"/>
        <v>-9.9553322700150417</v>
      </c>
      <c r="BA26" s="93">
        <f t="shared" si="82"/>
        <v>-6.9177722487486975</v>
      </c>
      <c r="BB26" s="93">
        <f t="shared" si="82"/>
        <v>-5.368616637902818</v>
      </c>
      <c r="BC26" s="93">
        <f t="shared" si="82"/>
        <v>-3.8039694709485232</v>
      </c>
      <c r="BD26" s="93">
        <f t="shared" si="82"/>
        <v>-0.64338219370083749</v>
      </c>
      <c r="BE26" s="93">
        <f t="shared" si="82"/>
        <v>1.9353126218189214</v>
      </c>
      <c r="BF26" s="93">
        <f t="shared" si="82"/>
        <v>4.4015188742552542</v>
      </c>
      <c r="BG26" s="93">
        <f t="shared" si="82"/>
        <v>5.6592840629978749</v>
      </c>
      <c r="BH26" s="93">
        <f t="shared" si="82"/>
        <v>6.9296269036278151</v>
      </c>
      <c r="BI26" s="93">
        <f t="shared" si="82"/>
        <v>8.2126731726640774</v>
      </c>
      <c r="BJ26" s="93">
        <f t="shared" si="82"/>
        <v>9.5085499043907404</v>
      </c>
      <c r="BK26" s="93">
        <f t="shared" si="82"/>
        <v>12.126220902478501</v>
      </c>
      <c r="BL26" s="93">
        <f t="shared" si="82"/>
        <v>14.796245320528048</v>
      </c>
      <c r="BM26" s="93">
        <f t="shared" si="82"/>
        <v>17.519670226938679</v>
      </c>
      <c r="BN26" s="93">
        <f t="shared" si="82"/>
        <v>18.908616929208051</v>
      </c>
      <c r="BO26" s="93">
        <f t="shared" si="82"/>
        <v>20.311453098500131</v>
      </c>
      <c r="BP26" s="93">
        <f t="shared" si="82"/>
        <v>23.145182160470114</v>
      </c>
      <c r="BQ26" s="93">
        <f t="shared" si="82"/>
        <v>26.035585803679602</v>
      </c>
      <c r="BR26" s="93">
        <f t="shared" si="82"/>
        <v>28.983797519753054</v>
      </c>
      <c r="BS26" s="93">
        <f t="shared" si="82"/>
        <v>30.487385494950686</v>
      </c>
      <c r="BT26" s="93">
        <f t="shared" si="82"/>
        <v>32.00600934990026</v>
      </c>
      <c r="BU26" s="93">
        <f t="shared" si="82"/>
        <v>33.539819443399239</v>
      </c>
      <c r="BV26" s="93">
        <f t="shared" ref="BV26:BX26" si="83">BV22+BV24</f>
        <v>35.088967637833207</v>
      </c>
      <c r="BW26" s="93">
        <f t="shared" si="83"/>
        <v>38.218246990589869</v>
      </c>
      <c r="BX26" s="93">
        <f t="shared" si="83"/>
        <v>41.410111930401634</v>
      </c>
      <c r="BY26" s="93">
        <f t="shared" ref="BY26:CK26" si="84">BY22+BY24</f>
        <v>44.665814169009572</v>
      </c>
      <c r="BZ26" s="93">
        <f t="shared" si="84"/>
        <v>47.986630452389804</v>
      </c>
      <c r="CA26" s="93">
        <f t="shared" si="84"/>
        <v>51.373863061437696</v>
      </c>
      <c r="CB26" s="93">
        <f t="shared" si="84"/>
        <v>54.828840322666522</v>
      </c>
      <c r="CC26" s="93">
        <f t="shared" si="84"/>
        <v>58.352917129119859</v>
      </c>
      <c r="CD26" s="93">
        <f t="shared" si="84"/>
        <v>61.947475471702056</v>
      </c>
      <c r="CE26" s="93">
        <f t="shared" si="84"/>
        <v>65.613924981136222</v>
      </c>
      <c r="CF26" s="93">
        <f t="shared" si="84"/>
        <v>69.353703480759037</v>
      </c>
      <c r="CG26" s="93">
        <f t="shared" si="84"/>
        <v>73.168277550373972</v>
      </c>
      <c r="CH26" s="93">
        <f t="shared" si="84"/>
        <v>77.059143101381522</v>
      </c>
      <c r="CI26" s="93">
        <f t="shared" si="84"/>
        <v>81.027825963409242</v>
      </c>
      <c r="CJ26" s="93">
        <f t="shared" si="84"/>
        <v>85.075882482677429</v>
      </c>
      <c r="CK26" s="93">
        <f t="shared" si="84"/>
        <v>89.204900132330906</v>
      </c>
      <c r="CM26" s="94">
        <f>CM22+CM24</f>
        <v>0</v>
      </c>
      <c r="CN26" s="94">
        <f t="shared" ref="CN26:CO26" si="85">CN22+CN24</f>
        <v>0</v>
      </c>
      <c r="CO26" s="94">
        <f t="shared" si="85"/>
        <v>-2223.146134959391</v>
      </c>
      <c r="CP26" s="94">
        <f t="shared" ref="CP26:CQ26" si="86">CP22+CP24</f>
        <v>-131.26788863050155</v>
      </c>
      <c r="CQ26" s="94">
        <f t="shared" si="86"/>
        <v>71.273133687147208</v>
      </c>
      <c r="CR26" s="94">
        <f t="shared" ref="CR26:CS26" si="87">CR22+CR24</f>
        <v>372.8009905276939</v>
      </c>
      <c r="CS26" s="94">
        <f t="shared" si="87"/>
        <v>814.99338412938107</v>
      </c>
    </row>
    <row r="27" spans="1:97" s="5" customFormat="1" x14ac:dyDescent="0.2">
      <c r="B27" s="5" t="s">
        <v>64</v>
      </c>
      <c r="C27" s="15" t="s">
        <v>59</v>
      </c>
      <c r="L27" s="16" t="str">
        <f>IFERROR(L26/L4,"")</f>
        <v/>
      </c>
      <c r="M27" s="16" t="str">
        <f t="shared" ref="M27:AW27" si="88">IFERROR(M26/M4,"")</f>
        <v/>
      </c>
      <c r="N27" s="16" t="str">
        <f t="shared" si="88"/>
        <v/>
      </c>
      <c r="O27" s="16" t="str">
        <f t="shared" si="88"/>
        <v/>
      </c>
      <c r="P27" s="16" t="str">
        <f t="shared" si="88"/>
        <v/>
      </c>
      <c r="Q27" s="16" t="str">
        <f t="shared" si="88"/>
        <v/>
      </c>
      <c r="R27" s="16" t="str">
        <f t="shared" si="88"/>
        <v/>
      </c>
      <c r="S27" s="16" t="str">
        <f t="shared" si="88"/>
        <v/>
      </c>
      <c r="T27" s="16" t="str">
        <f t="shared" si="88"/>
        <v/>
      </c>
      <c r="U27" s="16" t="str">
        <f t="shared" si="88"/>
        <v/>
      </c>
      <c r="V27" s="16" t="str">
        <f t="shared" si="88"/>
        <v/>
      </c>
      <c r="W27" s="16" t="str">
        <f t="shared" si="88"/>
        <v/>
      </c>
      <c r="X27" s="16" t="str">
        <f t="shared" si="88"/>
        <v/>
      </c>
      <c r="Y27" s="16" t="str">
        <f t="shared" si="88"/>
        <v/>
      </c>
      <c r="Z27" s="16" t="str">
        <f t="shared" si="88"/>
        <v/>
      </c>
      <c r="AA27" s="16" t="str">
        <f t="shared" si="88"/>
        <v/>
      </c>
      <c r="AB27" s="16" t="str">
        <f t="shared" si="88"/>
        <v/>
      </c>
      <c r="AC27" s="16" t="str">
        <f t="shared" si="88"/>
        <v/>
      </c>
      <c r="AD27" s="16" t="str">
        <f t="shared" si="88"/>
        <v/>
      </c>
      <c r="AE27" s="16" t="str">
        <f t="shared" si="88"/>
        <v/>
      </c>
      <c r="AF27" s="16" t="str">
        <f t="shared" si="88"/>
        <v/>
      </c>
      <c r="AG27" s="16" t="str">
        <f t="shared" si="88"/>
        <v/>
      </c>
      <c r="AH27" s="16">
        <f t="shared" si="88"/>
        <v>-0.79294329411764686</v>
      </c>
      <c r="AI27" s="16">
        <f t="shared" si="88"/>
        <v>-1.6376376424452133</v>
      </c>
      <c r="AJ27" s="16">
        <f t="shared" si="88"/>
        <v>-1.5968566241555446</v>
      </c>
      <c r="AK27" s="16">
        <f t="shared" si="88"/>
        <v>-1.4293885674141313</v>
      </c>
      <c r="AL27" s="16">
        <f t="shared" si="88"/>
        <v>-0.46904609503374567</v>
      </c>
      <c r="AM27" s="16">
        <f t="shared" si="88"/>
        <v>-8.3837515131322385E-2</v>
      </c>
      <c r="AN27" s="16">
        <f t="shared" si="88"/>
        <v>-5.6643922846656564E-2</v>
      </c>
      <c r="AO27" s="16">
        <f t="shared" si="88"/>
        <v>-2.117401986665788E-2</v>
      </c>
      <c r="AP27" s="16">
        <f t="shared" si="88"/>
        <v>-2.9524652840361591E-2</v>
      </c>
      <c r="AQ27" s="16">
        <f t="shared" si="88"/>
        <v>-2.7100725584516434E-2</v>
      </c>
      <c r="AR27" s="16">
        <f t="shared" si="88"/>
        <v>-2.2347927043643537E-2</v>
      </c>
      <c r="AS27" s="16">
        <f t="shared" si="88"/>
        <v>-1.7688320631023133E-2</v>
      </c>
      <c r="AT27" s="16">
        <f t="shared" si="88"/>
        <v>-1.3120079050022541E-2</v>
      </c>
      <c r="AU27" s="16">
        <f t="shared" si="88"/>
        <v>-1.0858573316854064E-2</v>
      </c>
      <c r="AV27" s="16">
        <f t="shared" si="88"/>
        <v>-8.6194587295585871E-3</v>
      </c>
      <c r="AW27" s="16">
        <f t="shared" si="88"/>
        <v>-6.4025135936223165E-3</v>
      </c>
      <c r="AX27" s="16">
        <f t="shared" ref="AX27:BU27" si="89">IFERROR(AX26/AX4,"")</f>
        <v>-2.3379928752128531E-2</v>
      </c>
      <c r="AY27" s="16">
        <f t="shared" si="89"/>
        <v>-1.8700087011890701E-2</v>
      </c>
      <c r="AZ27" s="16">
        <f t="shared" si="89"/>
        <v>-1.4112006874402639E-2</v>
      </c>
      <c r="BA27" s="16">
        <f t="shared" si="89"/>
        <v>-9.6138890925516335E-3</v>
      </c>
      <c r="BB27" s="16">
        <f t="shared" si="89"/>
        <v>-7.3870981114372153E-3</v>
      </c>
      <c r="BC27" s="16">
        <f t="shared" si="89"/>
        <v>-5.1823545657794347E-3</v>
      </c>
      <c r="BD27" s="16">
        <f t="shared" si="89"/>
        <v>-8.5932800566612601E-4</v>
      </c>
      <c r="BE27" s="16">
        <f t="shared" si="89"/>
        <v>2.5341999958338117E-3</v>
      </c>
      <c r="BF27" s="16">
        <f t="shared" si="89"/>
        <v>5.6505686233664252E-3</v>
      </c>
      <c r="BG27" s="16">
        <f t="shared" si="89"/>
        <v>7.1933253696698134E-3</v>
      </c>
      <c r="BH27" s="16">
        <f t="shared" si="89"/>
        <v>8.7208072967027376E-3</v>
      </c>
      <c r="BI27" s="16">
        <f t="shared" si="89"/>
        <v>1.023316564029972E-2</v>
      </c>
      <c r="BJ27" s="16">
        <f t="shared" si="89"/>
        <v>1.1730550138910643E-2</v>
      </c>
      <c r="BK27" s="16">
        <f t="shared" si="89"/>
        <v>1.4666598175402527E-2</v>
      </c>
      <c r="BL27" s="16">
        <f t="shared" si="89"/>
        <v>1.7545076642551467E-2</v>
      </c>
      <c r="BM27" s="16">
        <f t="shared" si="89"/>
        <v>2.0367114355442695E-2</v>
      </c>
      <c r="BN27" s="16">
        <f t="shared" si="89"/>
        <v>2.176416272816107E-2</v>
      </c>
      <c r="BO27" s="16">
        <f t="shared" si="89"/>
        <v>2.3147378938773337E-2</v>
      </c>
      <c r="BP27" s="16">
        <f t="shared" si="89"/>
        <v>2.5859567587032659E-2</v>
      </c>
      <c r="BQ27" s="16">
        <f t="shared" si="89"/>
        <v>2.8518576065718389E-2</v>
      </c>
      <c r="BR27" s="16">
        <f t="shared" si="89"/>
        <v>3.1125447123253172E-2</v>
      </c>
      <c r="BS27" s="16">
        <f t="shared" si="89"/>
        <v>3.2415977349755723E-2</v>
      </c>
      <c r="BT27" s="16">
        <f t="shared" si="89"/>
        <v>3.3693730049263161E-2</v>
      </c>
      <c r="BU27" s="16">
        <f t="shared" si="89"/>
        <v>3.4958831731943696E-2</v>
      </c>
      <c r="BV27" s="16">
        <f t="shared" ref="BV27:BX27" si="90">IFERROR(BV26/BV4,"")</f>
        <v>3.6211407655389778E-2</v>
      </c>
      <c r="BW27" s="16">
        <f t="shared" si="90"/>
        <v>3.866743887783311E-2</v>
      </c>
      <c r="BX27" s="16">
        <f t="shared" si="90"/>
        <v>4.107531262532655E-2</v>
      </c>
      <c r="BY27" s="16">
        <f t="shared" ref="BY27:CK27" si="91">IFERROR(BY26/BY4,"")</f>
        <v>4.3435973162084765E-2</v>
      </c>
      <c r="BZ27" s="16">
        <f t="shared" si="91"/>
        <v>4.5750346237338035E-2</v>
      </c>
      <c r="CA27" s="16">
        <f t="shared" si="91"/>
        <v>4.801933944837071E-2</v>
      </c>
      <c r="CB27" s="16">
        <f t="shared" si="91"/>
        <v>5.0243842596441934E-2</v>
      </c>
      <c r="CC27" s="16">
        <f t="shared" si="91"/>
        <v>5.2424728035727397E-2</v>
      </c>
      <c r="CD27" s="16">
        <f t="shared" si="91"/>
        <v>5.4562851015418856E-2</v>
      </c>
      <c r="CE27" s="16">
        <f t="shared" si="91"/>
        <v>5.6659050015116626E-2</v>
      </c>
      <c r="CF27" s="16">
        <f t="shared" si="91"/>
        <v>5.8714147073643815E-2</v>
      </c>
      <c r="CG27" s="16">
        <f t="shared" si="91"/>
        <v>6.0728948111415312E-2</v>
      </c>
      <c r="CH27" s="16">
        <f t="shared" si="91"/>
        <v>6.2704243246485658E-2</v>
      </c>
      <c r="CI27" s="16">
        <f t="shared" si="91"/>
        <v>6.4640807104397763E-2</v>
      </c>
      <c r="CJ27" s="16">
        <f t="shared" si="91"/>
        <v>6.6539399121958595E-2</v>
      </c>
      <c r="CK27" s="16">
        <f t="shared" si="91"/>
        <v>6.8400763845057388E-2</v>
      </c>
      <c r="CM27" s="16" t="str">
        <f>IFERROR(CM26/CM4,"")</f>
        <v/>
      </c>
      <c r="CN27" s="16" t="str">
        <f t="shared" ref="CN27:CO27" si="92">IFERROR(CN26/CN4,"")</f>
        <v/>
      </c>
      <c r="CO27" s="16">
        <f t="shared" si="92"/>
        <v>-0.68545846549002443</v>
      </c>
      <c r="CP27" s="16">
        <f t="shared" ref="CP27:CQ27" si="93">IFERROR(CP26/CP4,"")</f>
        <v>-1.6558501530952684E-2</v>
      </c>
      <c r="CQ27" s="16">
        <f t="shared" si="93"/>
        <v>7.5207146897185474E-3</v>
      </c>
      <c r="CR27" s="16">
        <f t="shared" ref="CR27:CS27" si="94">IFERROR(CR26/CR4,"")</f>
        <v>3.2906450852656914E-2</v>
      </c>
      <c r="CS27" s="16">
        <f t="shared" si="94"/>
        <v>5.793376624445909E-2</v>
      </c>
    </row>
    <row r="31" spans="1:97" x14ac:dyDescent="0.2">
      <c r="A31" s="19"/>
      <c r="B31" s="20" t="s">
        <v>89</v>
      </c>
      <c r="C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row>
    <row r="33" spans="2:99" x14ac:dyDescent="0.2">
      <c r="B33" s="12" t="s">
        <v>65</v>
      </c>
      <c r="F33" s="188" t="s">
        <v>284</v>
      </c>
      <c r="G33" s="188" t="s">
        <v>284</v>
      </c>
      <c r="H33" s="188" t="s">
        <v>284</v>
      </c>
      <c r="I33" s="188" t="s">
        <v>284</v>
      </c>
      <c r="J33" s="188" t="s">
        <v>284</v>
      </c>
      <c r="K33" s="188" t="s">
        <v>284</v>
      </c>
      <c r="L33" s="188" t="s">
        <v>284</v>
      </c>
      <c r="M33" s="188" t="s">
        <v>284</v>
      </c>
      <c r="N33" s="188" t="s">
        <v>284</v>
      </c>
      <c r="O33" s="188" t="s">
        <v>284</v>
      </c>
      <c r="P33" s="188" t="s">
        <v>284</v>
      </c>
      <c r="Q33" s="188" t="s">
        <v>284</v>
      </c>
      <c r="R33" s="3">
        <v>1</v>
      </c>
      <c r="S33" s="3">
        <f>R33+1</f>
        <v>2</v>
      </c>
      <c r="T33" s="3">
        <f t="shared" ref="T33:BX33" si="95">S33+1</f>
        <v>3</v>
      </c>
      <c r="U33" s="3">
        <f t="shared" si="95"/>
        <v>4</v>
      </c>
      <c r="V33" s="3">
        <f t="shared" si="95"/>
        <v>5</v>
      </c>
      <c r="W33" s="3">
        <f t="shared" si="95"/>
        <v>6</v>
      </c>
      <c r="X33" s="3">
        <f t="shared" si="95"/>
        <v>7</v>
      </c>
      <c r="Y33" s="3">
        <f t="shared" si="95"/>
        <v>8</v>
      </c>
      <c r="Z33" s="3">
        <f t="shared" si="95"/>
        <v>9</v>
      </c>
      <c r="AA33" s="3">
        <f t="shared" si="95"/>
        <v>10</v>
      </c>
      <c r="AB33" s="3">
        <f t="shared" si="95"/>
        <v>11</v>
      </c>
      <c r="AC33" s="3">
        <f t="shared" si="95"/>
        <v>12</v>
      </c>
      <c r="AD33" s="3">
        <f t="shared" si="95"/>
        <v>13</v>
      </c>
      <c r="AE33" s="3">
        <f t="shared" si="95"/>
        <v>14</v>
      </c>
      <c r="AF33" s="3">
        <f t="shared" si="95"/>
        <v>15</v>
      </c>
      <c r="AG33" s="3">
        <f t="shared" si="95"/>
        <v>16</v>
      </c>
      <c r="AH33" s="3">
        <f t="shared" si="95"/>
        <v>17</v>
      </c>
      <c r="AI33" s="3">
        <f t="shared" si="95"/>
        <v>18</v>
      </c>
      <c r="AJ33" s="3">
        <f t="shared" si="95"/>
        <v>19</v>
      </c>
      <c r="AK33" s="3">
        <f t="shared" si="95"/>
        <v>20</v>
      </c>
      <c r="AL33" s="3">
        <f t="shared" si="95"/>
        <v>21</v>
      </c>
      <c r="AM33" s="3">
        <f t="shared" si="95"/>
        <v>22</v>
      </c>
      <c r="AN33" s="3">
        <f t="shared" si="95"/>
        <v>23</v>
      </c>
      <c r="AO33" s="3">
        <f t="shared" si="95"/>
        <v>24</v>
      </c>
      <c r="AP33" s="3">
        <f t="shared" si="95"/>
        <v>25</v>
      </c>
      <c r="AQ33" s="3">
        <f t="shared" si="95"/>
        <v>26</v>
      </c>
      <c r="AR33" s="3">
        <f t="shared" si="95"/>
        <v>27</v>
      </c>
      <c r="AS33" s="3">
        <f t="shared" si="95"/>
        <v>28</v>
      </c>
      <c r="AT33" s="3">
        <f t="shared" si="95"/>
        <v>29</v>
      </c>
      <c r="AU33" s="3">
        <f t="shared" si="95"/>
        <v>30</v>
      </c>
      <c r="AV33" s="3">
        <f t="shared" si="95"/>
        <v>31</v>
      </c>
      <c r="AW33" s="3">
        <f t="shared" si="95"/>
        <v>32</v>
      </c>
      <c r="AX33" s="3">
        <f t="shared" si="95"/>
        <v>33</v>
      </c>
      <c r="AY33" s="3">
        <f t="shared" si="95"/>
        <v>34</v>
      </c>
      <c r="AZ33" s="3">
        <f t="shared" si="95"/>
        <v>35</v>
      </c>
      <c r="BA33" s="3">
        <f t="shared" si="95"/>
        <v>36</v>
      </c>
      <c r="BB33" s="3">
        <f t="shared" si="95"/>
        <v>37</v>
      </c>
      <c r="BC33" s="3">
        <f t="shared" si="95"/>
        <v>38</v>
      </c>
      <c r="BD33" s="3">
        <f t="shared" si="95"/>
        <v>39</v>
      </c>
      <c r="BE33" s="3">
        <f t="shared" si="95"/>
        <v>40</v>
      </c>
      <c r="BF33" s="3">
        <f t="shared" si="95"/>
        <v>41</v>
      </c>
      <c r="BG33" s="3">
        <f t="shared" si="95"/>
        <v>42</v>
      </c>
      <c r="BH33" s="3">
        <f t="shared" si="95"/>
        <v>43</v>
      </c>
      <c r="BI33" s="3">
        <f t="shared" si="95"/>
        <v>44</v>
      </c>
      <c r="BJ33" s="3">
        <f t="shared" si="95"/>
        <v>45</v>
      </c>
      <c r="BK33" s="3">
        <f t="shared" si="95"/>
        <v>46</v>
      </c>
      <c r="BL33" s="3">
        <f t="shared" si="95"/>
        <v>47</v>
      </c>
      <c r="BM33" s="3">
        <f t="shared" si="95"/>
        <v>48</v>
      </c>
      <c r="BN33" s="3">
        <f t="shared" si="95"/>
        <v>49</v>
      </c>
      <c r="BO33" s="3">
        <f t="shared" si="95"/>
        <v>50</v>
      </c>
      <c r="BP33" s="3">
        <f t="shared" si="95"/>
        <v>51</v>
      </c>
      <c r="BQ33" s="3">
        <f t="shared" si="95"/>
        <v>52</v>
      </c>
      <c r="BR33" s="3">
        <f t="shared" si="95"/>
        <v>53</v>
      </c>
      <c r="BS33" s="3">
        <f t="shared" si="95"/>
        <v>54</v>
      </c>
      <c r="BT33" s="3">
        <f t="shared" si="95"/>
        <v>55</v>
      </c>
      <c r="BU33" s="3">
        <f t="shared" si="95"/>
        <v>56</v>
      </c>
      <c r="BV33" s="3">
        <f t="shared" si="95"/>
        <v>57</v>
      </c>
      <c r="BW33" s="3">
        <f t="shared" si="95"/>
        <v>58</v>
      </c>
      <c r="BX33" s="3">
        <f t="shared" si="95"/>
        <v>59</v>
      </c>
      <c r="BY33" s="3">
        <f t="shared" ref="BY33" si="96">BX33+1</f>
        <v>60</v>
      </c>
      <c r="BZ33" s="3">
        <f t="shared" ref="BZ33" si="97">BY33+1</f>
        <v>61</v>
      </c>
      <c r="CA33" s="3">
        <f t="shared" ref="CA33" si="98">BZ33+1</f>
        <v>62</v>
      </c>
      <c r="CB33" s="3">
        <f t="shared" ref="CB33" si="99">CA33+1</f>
        <v>63</v>
      </c>
      <c r="CC33" s="3">
        <f t="shared" ref="CC33" si="100">CB33+1</f>
        <v>64</v>
      </c>
      <c r="CD33" s="3">
        <f t="shared" ref="CD33" si="101">CC33+1</f>
        <v>65</v>
      </c>
      <c r="CE33" s="3">
        <f t="shared" ref="CE33" si="102">CD33+1</f>
        <v>66</v>
      </c>
      <c r="CF33" s="3">
        <f t="shared" ref="CF33" si="103">CE33+1</f>
        <v>67</v>
      </c>
      <c r="CG33" s="3">
        <f t="shared" ref="CG33" si="104">CF33+1</f>
        <v>68</v>
      </c>
      <c r="CH33" s="3">
        <f t="shared" ref="CH33" si="105">CG33+1</f>
        <v>69</v>
      </c>
      <c r="CI33" s="3">
        <f t="shared" ref="CI33" si="106">CH33+1</f>
        <v>70</v>
      </c>
      <c r="CJ33" s="3">
        <f t="shared" ref="CJ33" si="107">CI33+1</f>
        <v>71</v>
      </c>
      <c r="CK33" s="3">
        <f t="shared" ref="CK33" si="108">CJ33+1</f>
        <v>72</v>
      </c>
    </row>
    <row r="34" spans="2:99" x14ac:dyDescent="0.2">
      <c r="B34" s="200" t="s">
        <v>1</v>
      </c>
      <c r="C34" s="200" t="s">
        <v>2</v>
      </c>
      <c r="D34" s="102"/>
      <c r="F34" s="201">
        <f t="shared" ref="F34:K34" si="109">F3</f>
        <v>45292</v>
      </c>
      <c r="G34" s="201">
        <f t="shared" si="109"/>
        <v>45323</v>
      </c>
      <c r="H34" s="201">
        <f t="shared" si="109"/>
        <v>45352</v>
      </c>
      <c r="I34" s="201">
        <f t="shared" si="109"/>
        <v>45383</v>
      </c>
      <c r="J34" s="201">
        <f t="shared" si="109"/>
        <v>45413</v>
      </c>
      <c r="K34" s="201">
        <f t="shared" si="109"/>
        <v>45444</v>
      </c>
      <c r="L34" s="201">
        <f>L3</f>
        <v>45474</v>
      </c>
      <c r="M34" s="201">
        <f t="shared" ref="M34:BU34" si="110">M3</f>
        <v>45505</v>
      </c>
      <c r="N34" s="201">
        <f t="shared" si="110"/>
        <v>45536</v>
      </c>
      <c r="O34" s="201">
        <f t="shared" si="110"/>
        <v>45566</v>
      </c>
      <c r="P34" s="201">
        <f t="shared" si="110"/>
        <v>45597</v>
      </c>
      <c r="Q34" s="201">
        <f t="shared" si="110"/>
        <v>45627</v>
      </c>
      <c r="R34" s="201">
        <f t="shared" si="110"/>
        <v>45658</v>
      </c>
      <c r="S34" s="201">
        <f t="shared" si="110"/>
        <v>45689</v>
      </c>
      <c r="T34" s="201">
        <f t="shared" si="110"/>
        <v>45717</v>
      </c>
      <c r="U34" s="201">
        <f t="shared" si="110"/>
        <v>45748</v>
      </c>
      <c r="V34" s="201">
        <f t="shared" si="110"/>
        <v>45778</v>
      </c>
      <c r="W34" s="201">
        <f t="shared" si="110"/>
        <v>45809</v>
      </c>
      <c r="X34" s="201">
        <f t="shared" si="110"/>
        <v>45839</v>
      </c>
      <c r="Y34" s="201">
        <f t="shared" si="110"/>
        <v>45870</v>
      </c>
      <c r="Z34" s="201">
        <f t="shared" si="110"/>
        <v>45901</v>
      </c>
      <c r="AA34" s="201">
        <f t="shared" si="110"/>
        <v>45931</v>
      </c>
      <c r="AB34" s="201">
        <f t="shared" si="110"/>
        <v>45962</v>
      </c>
      <c r="AC34" s="201">
        <f t="shared" si="110"/>
        <v>45992</v>
      </c>
      <c r="AD34" s="201">
        <f t="shared" si="110"/>
        <v>46023</v>
      </c>
      <c r="AE34" s="201">
        <f t="shared" si="110"/>
        <v>46054</v>
      </c>
      <c r="AF34" s="201">
        <f t="shared" si="110"/>
        <v>46082</v>
      </c>
      <c r="AG34" s="201">
        <f t="shared" si="110"/>
        <v>46113</v>
      </c>
      <c r="AH34" s="201">
        <f t="shared" si="110"/>
        <v>46143</v>
      </c>
      <c r="AI34" s="201">
        <f t="shared" si="110"/>
        <v>46174</v>
      </c>
      <c r="AJ34" s="201">
        <f t="shared" si="110"/>
        <v>46204</v>
      </c>
      <c r="AK34" s="201">
        <f t="shared" si="110"/>
        <v>46235</v>
      </c>
      <c r="AL34" s="201">
        <f t="shared" si="110"/>
        <v>46266</v>
      </c>
      <c r="AM34" s="201">
        <f t="shared" si="110"/>
        <v>46296</v>
      </c>
      <c r="AN34" s="201">
        <f t="shared" si="110"/>
        <v>46327</v>
      </c>
      <c r="AO34" s="201">
        <f t="shared" si="110"/>
        <v>46357</v>
      </c>
      <c r="AP34" s="201">
        <f t="shared" si="110"/>
        <v>46388</v>
      </c>
      <c r="AQ34" s="201">
        <f t="shared" si="110"/>
        <v>46419</v>
      </c>
      <c r="AR34" s="201">
        <f t="shared" si="110"/>
        <v>46447</v>
      </c>
      <c r="AS34" s="201">
        <f t="shared" si="110"/>
        <v>46478</v>
      </c>
      <c r="AT34" s="201">
        <f t="shared" si="110"/>
        <v>46508</v>
      </c>
      <c r="AU34" s="201">
        <f t="shared" si="110"/>
        <v>46539</v>
      </c>
      <c r="AV34" s="201">
        <f t="shared" si="110"/>
        <v>46569</v>
      </c>
      <c r="AW34" s="201">
        <f t="shared" si="110"/>
        <v>46600</v>
      </c>
      <c r="AX34" s="201">
        <f t="shared" si="110"/>
        <v>46631</v>
      </c>
      <c r="AY34" s="201">
        <f t="shared" si="110"/>
        <v>46661</v>
      </c>
      <c r="AZ34" s="201">
        <f t="shared" si="110"/>
        <v>46692</v>
      </c>
      <c r="BA34" s="201">
        <f t="shared" si="110"/>
        <v>46722</v>
      </c>
      <c r="BB34" s="201">
        <f t="shared" si="110"/>
        <v>46753</v>
      </c>
      <c r="BC34" s="201">
        <f t="shared" si="110"/>
        <v>46784</v>
      </c>
      <c r="BD34" s="201">
        <f t="shared" si="110"/>
        <v>46813</v>
      </c>
      <c r="BE34" s="201">
        <f t="shared" si="110"/>
        <v>46844</v>
      </c>
      <c r="BF34" s="201">
        <f t="shared" si="110"/>
        <v>46874</v>
      </c>
      <c r="BG34" s="201">
        <f t="shared" si="110"/>
        <v>46905</v>
      </c>
      <c r="BH34" s="201">
        <f t="shared" si="110"/>
        <v>46935</v>
      </c>
      <c r="BI34" s="201">
        <f t="shared" si="110"/>
        <v>46966</v>
      </c>
      <c r="BJ34" s="201">
        <f t="shared" si="110"/>
        <v>46997</v>
      </c>
      <c r="BK34" s="201">
        <f t="shared" si="110"/>
        <v>47027</v>
      </c>
      <c r="BL34" s="201">
        <f t="shared" si="110"/>
        <v>47058</v>
      </c>
      <c r="BM34" s="201">
        <f t="shared" si="110"/>
        <v>47088</v>
      </c>
      <c r="BN34" s="201">
        <f t="shared" si="110"/>
        <v>47119</v>
      </c>
      <c r="BO34" s="201">
        <f t="shared" si="110"/>
        <v>47150</v>
      </c>
      <c r="BP34" s="201">
        <f t="shared" si="110"/>
        <v>47178</v>
      </c>
      <c r="BQ34" s="201">
        <f t="shared" si="110"/>
        <v>47209</v>
      </c>
      <c r="BR34" s="201">
        <f t="shared" si="110"/>
        <v>47239</v>
      </c>
      <c r="BS34" s="201">
        <f t="shared" si="110"/>
        <v>47270</v>
      </c>
      <c r="BT34" s="201">
        <f t="shared" si="110"/>
        <v>47300</v>
      </c>
      <c r="BU34" s="201">
        <f t="shared" si="110"/>
        <v>47331</v>
      </c>
      <c r="BV34" s="201">
        <f t="shared" ref="BV34:BX34" si="111">BV3</f>
        <v>47362</v>
      </c>
      <c r="BW34" s="201">
        <f t="shared" si="111"/>
        <v>47392</v>
      </c>
      <c r="BX34" s="201">
        <f t="shared" si="111"/>
        <v>47423</v>
      </c>
      <c r="BY34" s="201">
        <f t="shared" ref="BY34:CK34" si="112">BY3</f>
        <v>47453</v>
      </c>
      <c r="BZ34" s="201">
        <f t="shared" si="112"/>
        <v>47484</v>
      </c>
      <c r="CA34" s="201">
        <f t="shared" si="112"/>
        <v>47515</v>
      </c>
      <c r="CB34" s="201">
        <f t="shared" si="112"/>
        <v>47543</v>
      </c>
      <c r="CC34" s="201">
        <f t="shared" si="112"/>
        <v>47574</v>
      </c>
      <c r="CD34" s="201">
        <f t="shared" si="112"/>
        <v>47604</v>
      </c>
      <c r="CE34" s="201">
        <f t="shared" si="112"/>
        <v>47635</v>
      </c>
      <c r="CF34" s="201">
        <f t="shared" si="112"/>
        <v>47665</v>
      </c>
      <c r="CG34" s="201">
        <f t="shared" si="112"/>
        <v>47696</v>
      </c>
      <c r="CH34" s="201">
        <f t="shared" si="112"/>
        <v>47727</v>
      </c>
      <c r="CI34" s="201">
        <f t="shared" si="112"/>
        <v>47757</v>
      </c>
      <c r="CJ34" s="201">
        <f t="shared" si="112"/>
        <v>47788</v>
      </c>
      <c r="CK34" s="201">
        <f t="shared" si="112"/>
        <v>47818</v>
      </c>
      <c r="CM34" s="202">
        <f>CM3</f>
        <v>2024</v>
      </c>
      <c r="CN34" s="202">
        <f>CM34+1</f>
        <v>2025</v>
      </c>
      <c r="CO34" s="202">
        <f t="shared" ref="CO34" si="113">CN34+1</f>
        <v>2026</v>
      </c>
      <c r="CP34" s="202">
        <f t="shared" ref="CP34" si="114">CO34+1</f>
        <v>2027</v>
      </c>
      <c r="CQ34" s="202">
        <f t="shared" ref="CQ34" si="115">CP34+1</f>
        <v>2028</v>
      </c>
      <c r="CR34" s="202">
        <f t="shared" ref="CR34" si="116">CQ34+1</f>
        <v>2029</v>
      </c>
      <c r="CS34" s="202">
        <f t="shared" ref="CS34" si="117">CR34+1</f>
        <v>2030</v>
      </c>
    </row>
    <row r="35" spans="2:99" x14ac:dyDescent="0.2">
      <c r="B35" s="92" t="s">
        <v>3</v>
      </c>
      <c r="C35" s="91" t="s">
        <v>4</v>
      </c>
      <c r="D35" s="9"/>
      <c r="F35" s="10"/>
      <c r="G35" s="10"/>
      <c r="H35" s="10"/>
      <c r="I35" s="10"/>
      <c r="J35" s="10"/>
      <c r="K35" s="10"/>
      <c r="L35" s="10"/>
      <c r="M35" s="10"/>
      <c r="N35" s="10"/>
      <c r="O35" s="10">
        <v>0</v>
      </c>
      <c r="P35" s="10">
        <v>0</v>
      </c>
      <c r="Q35" s="10">
        <v>0</v>
      </c>
      <c r="R35" s="10">
        <v>0</v>
      </c>
      <c r="S35" s="10">
        <v>0</v>
      </c>
      <c r="T35" s="10">
        <v>0</v>
      </c>
      <c r="U35" s="10">
        <v>0</v>
      </c>
      <c r="V35" s="10">
        <v>0</v>
      </c>
      <c r="W35" s="10">
        <v>0</v>
      </c>
      <c r="X35" s="10">
        <v>0</v>
      </c>
      <c r="Y35" s="10">
        <v>0</v>
      </c>
      <c r="Z35" s="10">
        <v>0</v>
      </c>
      <c r="AA35" s="10">
        <v>0</v>
      </c>
      <c r="AB35" s="10">
        <v>0</v>
      </c>
      <c r="AC35" s="10">
        <v>0</v>
      </c>
      <c r="AD35" s="10">
        <v>0</v>
      </c>
      <c r="AE35" s="243"/>
      <c r="AF35" s="10"/>
      <c r="AG35" s="10"/>
      <c r="AH35" s="243">
        <v>170</v>
      </c>
      <c r="AI35" s="10">
        <v>173.4</v>
      </c>
      <c r="AJ35" s="10">
        <v>182.07</v>
      </c>
      <c r="AK35" s="10">
        <v>200.27699999999999</v>
      </c>
      <c r="AL35" s="10">
        <v>259.54096707000008</v>
      </c>
      <c r="AM35" s="10">
        <v>285.4950637770001</v>
      </c>
      <c r="AN35" s="10">
        <v>314.04457015470018</v>
      </c>
      <c r="AO35" s="10">
        <v>361.15125567790517</v>
      </c>
      <c r="AP35" s="10">
        <f>AO35*(1+AP40)</f>
        <v>364.76276823468424</v>
      </c>
      <c r="AQ35" s="10">
        <f t="shared" ref="AQ35:BA35" si="118">AP35*(1+AQ40)</f>
        <v>368.41039591703111</v>
      </c>
      <c r="AR35" s="10">
        <f t="shared" si="118"/>
        <v>375.77860383537171</v>
      </c>
      <c r="AS35" s="10">
        <f t="shared" si="118"/>
        <v>383.29417591207914</v>
      </c>
      <c r="AT35" s="10">
        <f t="shared" si="118"/>
        <v>390.96005943032071</v>
      </c>
      <c r="AU35" s="10">
        <f t="shared" si="118"/>
        <v>394.8696600246239</v>
      </c>
      <c r="AV35" s="10">
        <f t="shared" si="118"/>
        <v>398.81835662487015</v>
      </c>
      <c r="AW35" s="10">
        <f t="shared" si="118"/>
        <v>402.80654019111887</v>
      </c>
      <c r="AX35" s="10">
        <f t="shared" si="118"/>
        <v>406.83460559303006</v>
      </c>
      <c r="AY35" s="10">
        <f t="shared" si="118"/>
        <v>414.97129770489067</v>
      </c>
      <c r="AZ35" s="10">
        <f t="shared" si="118"/>
        <v>423.27072365898852</v>
      </c>
      <c r="BA35" s="10">
        <f t="shared" si="118"/>
        <v>431.73613813216832</v>
      </c>
      <c r="BB35" s="10">
        <f>BA35*(1+BB40)</f>
        <v>436.05349951349001</v>
      </c>
      <c r="BC35" s="10">
        <f t="shared" ref="BC35:BX35" si="119">BB35*(1+BC40)</f>
        <v>440.41403450862492</v>
      </c>
      <c r="BD35" s="10">
        <f t="shared" si="119"/>
        <v>449.22231519879745</v>
      </c>
      <c r="BE35" s="10">
        <f t="shared" si="119"/>
        <v>458.20676150277342</v>
      </c>
      <c r="BF35" s="10">
        <f t="shared" si="119"/>
        <v>467.3708967328289</v>
      </c>
      <c r="BG35" s="10">
        <f t="shared" si="119"/>
        <v>472.04460570015721</v>
      </c>
      <c r="BH35" s="10">
        <f t="shared" si="119"/>
        <v>476.7650517571588</v>
      </c>
      <c r="BI35" s="10">
        <f t="shared" si="119"/>
        <v>481.53270227473041</v>
      </c>
      <c r="BJ35" s="10">
        <f t="shared" si="119"/>
        <v>486.34802929747769</v>
      </c>
      <c r="BK35" s="10">
        <f t="shared" si="119"/>
        <v>496.07498988342724</v>
      </c>
      <c r="BL35" s="10">
        <f t="shared" si="119"/>
        <v>505.9964896810958</v>
      </c>
      <c r="BM35" s="10">
        <f t="shared" si="119"/>
        <v>516.11641947471776</v>
      </c>
      <c r="BN35" s="10">
        <f t="shared" si="119"/>
        <v>521.27758366946489</v>
      </c>
      <c r="BO35" s="10">
        <f t="shared" si="119"/>
        <v>526.49035950615951</v>
      </c>
      <c r="BP35" s="10">
        <f t="shared" si="119"/>
        <v>537.02016669628267</v>
      </c>
      <c r="BQ35" s="10">
        <f t="shared" si="119"/>
        <v>547.76057003020833</v>
      </c>
      <c r="BR35" s="10">
        <f t="shared" si="119"/>
        <v>558.71578143081251</v>
      </c>
      <c r="BS35" s="10">
        <f t="shared" si="119"/>
        <v>564.30293924512068</v>
      </c>
      <c r="BT35" s="10">
        <f t="shared" si="119"/>
        <v>569.94596863757192</v>
      </c>
      <c r="BU35" s="10">
        <f t="shared" si="119"/>
        <v>575.64542832394761</v>
      </c>
      <c r="BV35" s="10">
        <f t="shared" si="119"/>
        <v>581.40188260718708</v>
      </c>
      <c r="BW35" s="10">
        <f t="shared" si="119"/>
        <v>593.02992025933088</v>
      </c>
      <c r="BX35" s="10">
        <f t="shared" si="119"/>
        <v>604.89051866451746</v>
      </c>
      <c r="BY35" s="10">
        <f t="shared" ref="BY35" si="120">BX35*(1+BY40)</f>
        <v>616.98832903780783</v>
      </c>
      <c r="BZ35" s="10">
        <f t="shared" ref="BZ35" si="121">BY35*(1+BZ40)</f>
        <v>629.32809561856402</v>
      </c>
      <c r="CA35" s="10">
        <f t="shared" ref="CA35" si="122">BZ35*(1+CA40)</f>
        <v>641.9146575309353</v>
      </c>
      <c r="CB35" s="10">
        <f t="shared" ref="CB35" si="123">CA35*(1+CB40)</f>
        <v>654.75295068155401</v>
      </c>
      <c r="CC35" s="10">
        <f t="shared" ref="CC35" si="124">CB35*(1+CC40)</f>
        <v>667.84800969518506</v>
      </c>
      <c r="CD35" s="10">
        <f t="shared" ref="CD35" si="125">CC35*(1+CD40)</f>
        <v>681.20496988908872</v>
      </c>
      <c r="CE35" s="10">
        <f t="shared" ref="CE35" si="126">CD35*(1+CE40)</f>
        <v>694.82906928687055</v>
      </c>
      <c r="CF35" s="10">
        <f t="shared" ref="CF35" si="127">CE35*(1+CF40)</f>
        <v>708.72565067260803</v>
      </c>
      <c r="CG35" s="10">
        <f t="shared" ref="CG35" si="128">CF35*(1+CG40)</f>
        <v>722.90016368606018</v>
      </c>
      <c r="CH35" s="10">
        <f t="shared" ref="CH35" si="129">CG35*(1+CH40)</f>
        <v>737.35816695978144</v>
      </c>
      <c r="CI35" s="10">
        <f t="shared" ref="CI35" si="130">CH35*(1+CI40)</f>
        <v>752.10533029897704</v>
      </c>
      <c r="CJ35" s="10">
        <f t="shared" ref="CJ35" si="131">CI35*(1+CJ40)</f>
        <v>767.14743690495663</v>
      </c>
      <c r="CK35" s="10">
        <f t="shared" ref="CK35" si="132">CJ35*(1+CK40)</f>
        <v>782.49038564305579</v>
      </c>
      <c r="CM35" s="10">
        <f>SUMIF($L$2:$CK$2,CM$3,$L35:$CK35)</f>
        <v>0</v>
      </c>
      <c r="CN35" s="10">
        <f>SUMIF($L$2:$CK$2,CN$3,$L35:$CK35)</f>
        <v>0</v>
      </c>
      <c r="CO35" s="10">
        <f>SUMIF($L$2:$CK$2,CO$3,$L35:$CK35)</f>
        <v>1945.9788566796055</v>
      </c>
      <c r="CP35" s="10">
        <f>SUMIF($L$2:$CK$2,CP$3,$L35:$CK35)</f>
        <v>4756.5133252591777</v>
      </c>
      <c r="CQ35" s="10">
        <f>SUMIF($L$2:$CK$2,CQ$3,$L35:$CK35)</f>
        <v>5686.1457955252808</v>
      </c>
      <c r="CR35" s="10">
        <f t="shared" ref="CR35:CS35" si="133">SUMIF($L$2:$CK$2,CR$3,$L35:$CK35)</f>
        <v>6797.4694481084098</v>
      </c>
      <c r="CS35" s="10">
        <f t="shared" si="133"/>
        <v>8440.6048868676371</v>
      </c>
    </row>
    <row r="36" spans="2:99" x14ac:dyDescent="0.2">
      <c r="B36" s="190" t="s">
        <v>317</v>
      </c>
      <c r="C36" s="91"/>
      <c r="D36" s="9"/>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243"/>
      <c r="AF36" s="10"/>
      <c r="AG36" s="10"/>
      <c r="AH36" s="243"/>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M36" s="10"/>
      <c r="CN36" s="205"/>
      <c r="CO36" s="205"/>
      <c r="CP36" s="205">
        <f t="shared" ref="CP36:CQ36" si="134">CP35/CO35-1</f>
        <v>1.4442780089477152</v>
      </c>
      <c r="CQ36" s="205">
        <f t="shared" si="134"/>
        <v>0.19544410089830833</v>
      </c>
      <c r="CR36" s="205">
        <f t="shared" ref="CR36" si="135">CR35/CQ35-1</f>
        <v>0.19544410089830722</v>
      </c>
      <c r="CS36" s="205">
        <f t="shared" ref="CS36" si="136">CS35/CR35-1</f>
        <v>0.24172752099922667</v>
      </c>
    </row>
    <row r="37" spans="2:99" x14ac:dyDescent="0.2">
      <c r="B37" s="92" t="s">
        <v>5</v>
      </c>
      <c r="C37" s="91" t="s">
        <v>4</v>
      </c>
      <c r="D37" s="9"/>
      <c r="F37" s="10"/>
      <c r="G37" s="10"/>
      <c r="H37" s="10"/>
      <c r="I37" s="10"/>
      <c r="J37" s="10"/>
      <c r="K37" s="10"/>
      <c r="L37" s="10"/>
      <c r="M37" s="10"/>
      <c r="N37" s="10"/>
      <c r="O37" s="10">
        <v>0</v>
      </c>
      <c r="P37" s="10">
        <v>0</v>
      </c>
      <c r="Q37" s="10">
        <v>0</v>
      </c>
      <c r="R37" s="10">
        <v>0</v>
      </c>
      <c r="S37" s="10">
        <v>0</v>
      </c>
      <c r="T37" s="10">
        <v>0</v>
      </c>
      <c r="U37" s="10">
        <v>0</v>
      </c>
      <c r="V37" s="10">
        <v>0</v>
      </c>
      <c r="W37" s="10">
        <v>0</v>
      </c>
      <c r="X37" s="10">
        <v>0</v>
      </c>
      <c r="Y37" s="10">
        <v>0</v>
      </c>
      <c r="Z37" s="10">
        <v>0</v>
      </c>
      <c r="AA37" s="10">
        <v>0</v>
      </c>
      <c r="AB37" s="10">
        <v>0</v>
      </c>
      <c r="AC37" s="10">
        <v>0</v>
      </c>
      <c r="AD37" s="10">
        <v>0</v>
      </c>
      <c r="AE37" s="243"/>
      <c r="AF37" s="10"/>
      <c r="AG37" s="10"/>
      <c r="AH37" s="243">
        <v>170</v>
      </c>
      <c r="AI37" s="10">
        <v>173.4</v>
      </c>
      <c r="AJ37" s="10">
        <v>182.07</v>
      </c>
      <c r="AK37" s="10">
        <v>200.27699999999999</v>
      </c>
      <c r="AL37" s="10">
        <v>259.54096707000008</v>
      </c>
      <c r="AM37" s="10">
        <v>285.4950637770001</v>
      </c>
      <c r="AN37" s="10">
        <v>314.04457015470018</v>
      </c>
      <c r="AO37" s="10">
        <v>361.15125567790517</v>
      </c>
      <c r="AP37" s="10">
        <f>AO37*(1+AP40)</f>
        <v>364.76276823468424</v>
      </c>
      <c r="AQ37" s="10">
        <f t="shared" ref="AQ37:BX37" si="137">AP37*(1+AQ40)</f>
        <v>368.41039591703111</v>
      </c>
      <c r="AR37" s="10">
        <f t="shared" si="137"/>
        <v>375.77860383537171</v>
      </c>
      <c r="AS37" s="10">
        <f t="shared" si="137"/>
        <v>383.29417591207914</v>
      </c>
      <c r="AT37" s="10">
        <f t="shared" si="137"/>
        <v>390.96005943032071</v>
      </c>
      <c r="AU37" s="10">
        <f t="shared" si="137"/>
        <v>394.8696600246239</v>
      </c>
      <c r="AV37" s="10">
        <f t="shared" si="137"/>
        <v>398.81835662487015</v>
      </c>
      <c r="AW37" s="10">
        <f t="shared" si="137"/>
        <v>402.80654019111887</v>
      </c>
      <c r="AX37" s="10">
        <f t="shared" si="137"/>
        <v>406.83460559303006</v>
      </c>
      <c r="AY37" s="10">
        <f t="shared" si="137"/>
        <v>414.97129770489067</v>
      </c>
      <c r="AZ37" s="10">
        <f t="shared" si="137"/>
        <v>423.27072365898852</v>
      </c>
      <c r="BA37" s="10">
        <f t="shared" si="137"/>
        <v>431.73613813216832</v>
      </c>
      <c r="BB37" s="10">
        <f t="shared" si="137"/>
        <v>436.05349951349001</v>
      </c>
      <c r="BC37" s="10">
        <f t="shared" si="137"/>
        <v>440.41403450862492</v>
      </c>
      <c r="BD37" s="10">
        <f t="shared" si="137"/>
        <v>449.22231519879745</v>
      </c>
      <c r="BE37" s="10">
        <f t="shared" si="137"/>
        <v>458.20676150277342</v>
      </c>
      <c r="BF37" s="10">
        <f t="shared" si="137"/>
        <v>467.3708967328289</v>
      </c>
      <c r="BG37" s="10">
        <f t="shared" si="137"/>
        <v>472.04460570015721</v>
      </c>
      <c r="BH37" s="10">
        <f t="shared" si="137"/>
        <v>476.7650517571588</v>
      </c>
      <c r="BI37" s="10">
        <f t="shared" si="137"/>
        <v>481.53270227473041</v>
      </c>
      <c r="BJ37" s="10">
        <f t="shared" si="137"/>
        <v>486.34802929747769</v>
      </c>
      <c r="BK37" s="10">
        <f t="shared" si="137"/>
        <v>496.07498988342724</v>
      </c>
      <c r="BL37" s="10">
        <f t="shared" si="137"/>
        <v>505.9964896810958</v>
      </c>
      <c r="BM37" s="10">
        <f t="shared" si="137"/>
        <v>516.11641947471776</v>
      </c>
      <c r="BN37" s="10">
        <f t="shared" si="137"/>
        <v>521.27758366946489</v>
      </c>
      <c r="BO37" s="10">
        <f t="shared" si="137"/>
        <v>526.49035950615951</v>
      </c>
      <c r="BP37" s="10">
        <f t="shared" si="137"/>
        <v>537.02016669628267</v>
      </c>
      <c r="BQ37" s="10">
        <f t="shared" si="137"/>
        <v>547.76057003020833</v>
      </c>
      <c r="BR37" s="10">
        <f t="shared" si="137"/>
        <v>558.71578143081251</v>
      </c>
      <c r="BS37" s="10">
        <f t="shared" si="137"/>
        <v>564.30293924512068</v>
      </c>
      <c r="BT37" s="10">
        <f t="shared" si="137"/>
        <v>569.94596863757192</v>
      </c>
      <c r="BU37" s="10">
        <f t="shared" si="137"/>
        <v>575.64542832394761</v>
      </c>
      <c r="BV37" s="10">
        <f t="shared" si="137"/>
        <v>581.40188260718708</v>
      </c>
      <c r="BW37" s="10">
        <f t="shared" si="137"/>
        <v>593.02992025933088</v>
      </c>
      <c r="BX37" s="10">
        <f t="shared" si="137"/>
        <v>604.89051866451746</v>
      </c>
      <c r="BY37" s="10">
        <f t="shared" ref="BY37" si="138">BX37*(1+BY40)</f>
        <v>616.98832903780783</v>
      </c>
      <c r="BZ37" s="10">
        <f t="shared" ref="BZ37" si="139">BY37*(1+BZ40)</f>
        <v>629.32809561856402</v>
      </c>
      <c r="CA37" s="10">
        <f t="shared" ref="CA37" si="140">BZ37*(1+CA40)</f>
        <v>641.9146575309353</v>
      </c>
      <c r="CB37" s="10">
        <f t="shared" ref="CB37" si="141">CA37*(1+CB40)</f>
        <v>654.75295068155401</v>
      </c>
      <c r="CC37" s="10">
        <f t="shared" ref="CC37" si="142">CB37*(1+CC40)</f>
        <v>667.84800969518506</v>
      </c>
      <c r="CD37" s="10">
        <f t="shared" ref="CD37" si="143">CC37*(1+CD40)</f>
        <v>681.20496988908872</v>
      </c>
      <c r="CE37" s="10">
        <f t="shared" ref="CE37" si="144">CD37*(1+CE40)</f>
        <v>694.82906928687055</v>
      </c>
      <c r="CF37" s="10">
        <f t="shared" ref="CF37" si="145">CE37*(1+CF40)</f>
        <v>708.72565067260803</v>
      </c>
      <c r="CG37" s="10">
        <f t="shared" ref="CG37" si="146">CF37*(1+CG40)</f>
        <v>722.90016368606018</v>
      </c>
      <c r="CH37" s="10">
        <f t="shared" ref="CH37" si="147">CG37*(1+CH40)</f>
        <v>737.35816695978144</v>
      </c>
      <c r="CI37" s="10">
        <f t="shared" ref="CI37" si="148">CH37*(1+CI40)</f>
        <v>752.10533029897704</v>
      </c>
      <c r="CJ37" s="10">
        <f t="shared" ref="CJ37" si="149">CI37*(1+CJ40)</f>
        <v>767.14743690495663</v>
      </c>
      <c r="CK37" s="10">
        <f t="shared" ref="CK37" si="150">CJ37*(1+CK40)</f>
        <v>782.49038564305579</v>
      </c>
      <c r="CM37" s="10">
        <f>SUMIF($L$2:$CK$2,CM$3,$L37:$CK37)</f>
        <v>0</v>
      </c>
      <c r="CN37" s="10">
        <f>SUMIF($L$2:$CK$2,CN$3,$L37:$CK37)</f>
        <v>0</v>
      </c>
      <c r="CO37" s="10">
        <f>SUMIF($L$2:$CK$2,CO$3,$L37:$CK37)</f>
        <v>1945.9788566796055</v>
      </c>
      <c r="CP37" s="10">
        <f>SUMIF($L$2:$CK$2,CP$3,$L37:$CK37)</f>
        <v>4756.5133252591777</v>
      </c>
      <c r="CQ37" s="10">
        <f>SUMIF($L$2:$CK$2,CQ$3,$L37:$CK37)</f>
        <v>5686.1457955252808</v>
      </c>
      <c r="CR37" s="10">
        <f t="shared" ref="CR37:CS37" si="151">SUMIF($L$2:$CK$2,CR$3,$L37:$CK37)</f>
        <v>6797.4694481084098</v>
      </c>
      <c r="CS37" s="10">
        <f t="shared" si="151"/>
        <v>8440.6048868676371</v>
      </c>
    </row>
    <row r="38" spans="2:99" x14ac:dyDescent="0.2">
      <c r="B38" s="190" t="s">
        <v>317</v>
      </c>
      <c r="C38" s="9"/>
      <c r="D38" s="9"/>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M38" s="10"/>
      <c r="CN38" s="10"/>
      <c r="CO38" s="10"/>
      <c r="CP38" s="205">
        <f t="shared" ref="CP38" si="152">CP37/CO37-1</f>
        <v>1.4442780089477152</v>
      </c>
      <c r="CQ38" s="205">
        <f t="shared" ref="CQ38" si="153">CQ37/CP37-1</f>
        <v>0.19544410089830833</v>
      </c>
      <c r="CR38" s="205">
        <f t="shared" ref="CR38" si="154">CR37/CQ37-1</f>
        <v>0.19544410089830722</v>
      </c>
      <c r="CS38" s="205">
        <f t="shared" ref="CS38" si="155">CS37/CR37-1</f>
        <v>0.24172752099922667</v>
      </c>
    </row>
    <row r="39" spans="2:99" x14ac:dyDescent="0.2">
      <c r="B39" s="20" t="s">
        <v>6</v>
      </c>
      <c r="C39" s="23" t="s">
        <v>4</v>
      </c>
      <c r="D39" s="102"/>
      <c r="F39" s="24">
        <f t="shared" ref="F39:AK39" si="156">F35+F37</f>
        <v>0</v>
      </c>
      <c r="G39" s="24">
        <f t="shared" si="156"/>
        <v>0</v>
      </c>
      <c r="H39" s="24">
        <f t="shared" si="156"/>
        <v>0</v>
      </c>
      <c r="I39" s="24">
        <f t="shared" si="156"/>
        <v>0</v>
      </c>
      <c r="J39" s="24">
        <f t="shared" si="156"/>
        <v>0</v>
      </c>
      <c r="K39" s="24">
        <f t="shared" si="156"/>
        <v>0</v>
      </c>
      <c r="L39" s="24">
        <f t="shared" si="156"/>
        <v>0</v>
      </c>
      <c r="M39" s="24">
        <f t="shared" si="156"/>
        <v>0</v>
      </c>
      <c r="N39" s="24">
        <f t="shared" si="156"/>
        <v>0</v>
      </c>
      <c r="O39" s="24">
        <f t="shared" si="156"/>
        <v>0</v>
      </c>
      <c r="P39" s="24">
        <f t="shared" si="156"/>
        <v>0</v>
      </c>
      <c r="Q39" s="24">
        <f t="shared" si="156"/>
        <v>0</v>
      </c>
      <c r="R39" s="24">
        <f t="shared" si="156"/>
        <v>0</v>
      </c>
      <c r="S39" s="24">
        <f t="shared" si="156"/>
        <v>0</v>
      </c>
      <c r="T39" s="24">
        <f t="shared" si="156"/>
        <v>0</v>
      </c>
      <c r="U39" s="24">
        <f t="shared" si="156"/>
        <v>0</v>
      </c>
      <c r="V39" s="24">
        <f t="shared" si="156"/>
        <v>0</v>
      </c>
      <c r="W39" s="24">
        <f t="shared" si="156"/>
        <v>0</v>
      </c>
      <c r="X39" s="24">
        <f t="shared" si="156"/>
        <v>0</v>
      </c>
      <c r="Y39" s="24">
        <f t="shared" si="156"/>
        <v>0</v>
      </c>
      <c r="Z39" s="24">
        <f t="shared" si="156"/>
        <v>0</v>
      </c>
      <c r="AA39" s="24">
        <f t="shared" si="156"/>
        <v>0</v>
      </c>
      <c r="AB39" s="24">
        <f t="shared" si="156"/>
        <v>0</v>
      </c>
      <c r="AC39" s="24">
        <f t="shared" si="156"/>
        <v>0</v>
      </c>
      <c r="AD39" s="24">
        <f t="shared" si="156"/>
        <v>0</v>
      </c>
      <c r="AE39" s="24">
        <f t="shared" si="156"/>
        <v>0</v>
      </c>
      <c r="AF39" s="24">
        <f t="shared" si="156"/>
        <v>0</v>
      </c>
      <c r="AG39" s="24">
        <f t="shared" si="156"/>
        <v>0</v>
      </c>
      <c r="AH39" s="24">
        <f t="shared" si="156"/>
        <v>340</v>
      </c>
      <c r="AI39" s="24">
        <f t="shared" si="156"/>
        <v>346.8</v>
      </c>
      <c r="AJ39" s="24">
        <f t="shared" si="156"/>
        <v>364.14</v>
      </c>
      <c r="AK39" s="24">
        <f t="shared" si="156"/>
        <v>400.55399999999997</v>
      </c>
      <c r="AL39" s="24">
        <f t="shared" ref="AL39:BQ39" si="157">AL35+AL37</f>
        <v>519.08193414000016</v>
      </c>
      <c r="AM39" s="24">
        <f t="shared" si="157"/>
        <v>570.9901275540002</v>
      </c>
      <c r="AN39" s="24">
        <f t="shared" si="157"/>
        <v>628.08914030940036</v>
      </c>
      <c r="AO39" s="24">
        <f t="shared" si="157"/>
        <v>722.30251135581034</v>
      </c>
      <c r="AP39" s="24">
        <f t="shared" si="157"/>
        <v>729.52553646936849</v>
      </c>
      <c r="AQ39" s="24">
        <f t="shared" si="157"/>
        <v>736.82079183406222</v>
      </c>
      <c r="AR39" s="24">
        <f t="shared" si="157"/>
        <v>751.55720767074342</v>
      </c>
      <c r="AS39" s="24">
        <f t="shared" si="157"/>
        <v>766.58835182415828</v>
      </c>
      <c r="AT39" s="24">
        <f t="shared" si="157"/>
        <v>781.92011886064142</v>
      </c>
      <c r="AU39" s="24">
        <f t="shared" si="157"/>
        <v>789.73932004924779</v>
      </c>
      <c r="AV39" s="24">
        <f t="shared" si="157"/>
        <v>797.6367132497403</v>
      </c>
      <c r="AW39" s="24">
        <f t="shared" si="157"/>
        <v>805.61308038223774</v>
      </c>
      <c r="AX39" s="24">
        <f t="shared" si="157"/>
        <v>813.66921118606012</v>
      </c>
      <c r="AY39" s="24">
        <f t="shared" si="157"/>
        <v>829.94259540978135</v>
      </c>
      <c r="AZ39" s="24">
        <f t="shared" si="157"/>
        <v>846.54144731797703</v>
      </c>
      <c r="BA39" s="24">
        <f t="shared" si="157"/>
        <v>863.47227626433664</v>
      </c>
      <c r="BB39" s="24">
        <f t="shared" si="157"/>
        <v>872.10699902698002</v>
      </c>
      <c r="BC39" s="24">
        <f t="shared" si="157"/>
        <v>880.82806901724985</v>
      </c>
      <c r="BD39" s="24">
        <f t="shared" si="157"/>
        <v>898.44463039759489</v>
      </c>
      <c r="BE39" s="24">
        <f t="shared" si="157"/>
        <v>916.41352300554684</v>
      </c>
      <c r="BF39" s="24">
        <f t="shared" si="157"/>
        <v>934.74179346565779</v>
      </c>
      <c r="BG39" s="24">
        <f t="shared" si="157"/>
        <v>944.08921140031441</v>
      </c>
      <c r="BH39" s="24">
        <f t="shared" si="157"/>
        <v>953.5301035143176</v>
      </c>
      <c r="BI39" s="24">
        <f t="shared" si="157"/>
        <v>963.06540454946082</v>
      </c>
      <c r="BJ39" s="24">
        <f t="shared" si="157"/>
        <v>972.69605859495539</v>
      </c>
      <c r="BK39" s="24">
        <f t="shared" si="157"/>
        <v>992.14997976685447</v>
      </c>
      <c r="BL39" s="24">
        <f t="shared" si="157"/>
        <v>1011.9929793621916</v>
      </c>
      <c r="BM39" s="24">
        <f t="shared" si="157"/>
        <v>1032.2328389494355</v>
      </c>
      <c r="BN39" s="24">
        <f t="shared" si="157"/>
        <v>1042.5551673389298</v>
      </c>
      <c r="BO39" s="24">
        <f t="shared" si="157"/>
        <v>1052.980719012319</v>
      </c>
      <c r="BP39" s="24">
        <f t="shared" si="157"/>
        <v>1074.0403333925653</v>
      </c>
      <c r="BQ39" s="24">
        <f t="shared" si="157"/>
        <v>1095.5211400604167</v>
      </c>
      <c r="BR39" s="24">
        <f t="shared" ref="BR39:BX39" si="158">BR35+BR37</f>
        <v>1117.431562861625</v>
      </c>
      <c r="BS39" s="24">
        <f t="shared" si="158"/>
        <v>1128.6058784902414</v>
      </c>
      <c r="BT39" s="24">
        <f t="shared" si="158"/>
        <v>1139.8919372751438</v>
      </c>
      <c r="BU39" s="24">
        <f t="shared" si="158"/>
        <v>1151.2908566478952</v>
      </c>
      <c r="BV39" s="24">
        <f t="shared" si="158"/>
        <v>1162.8037652143742</v>
      </c>
      <c r="BW39" s="24">
        <f t="shared" si="158"/>
        <v>1186.0598405186618</v>
      </c>
      <c r="BX39" s="24">
        <f t="shared" si="158"/>
        <v>1209.7810373290349</v>
      </c>
      <c r="BY39" s="24">
        <f t="shared" ref="BY39:CK39" si="159">BY35+BY37</f>
        <v>1233.9766580756157</v>
      </c>
      <c r="BZ39" s="24">
        <f t="shared" si="159"/>
        <v>1258.656191237128</v>
      </c>
      <c r="CA39" s="24">
        <f t="shared" si="159"/>
        <v>1283.8293150618706</v>
      </c>
      <c r="CB39" s="24">
        <f t="shared" si="159"/>
        <v>1309.505901363108</v>
      </c>
      <c r="CC39" s="24">
        <f t="shared" si="159"/>
        <v>1335.6960193903701</v>
      </c>
      <c r="CD39" s="24">
        <f t="shared" si="159"/>
        <v>1362.4099397781774</v>
      </c>
      <c r="CE39" s="24">
        <f t="shared" si="159"/>
        <v>1389.6581385737411</v>
      </c>
      <c r="CF39" s="24">
        <f t="shared" si="159"/>
        <v>1417.4513013452161</v>
      </c>
      <c r="CG39" s="24">
        <f t="shared" si="159"/>
        <v>1445.8003273721204</v>
      </c>
      <c r="CH39" s="24">
        <f t="shared" si="159"/>
        <v>1474.7163339195629</v>
      </c>
      <c r="CI39" s="24">
        <f t="shared" si="159"/>
        <v>1504.2106605979541</v>
      </c>
      <c r="CJ39" s="24">
        <f t="shared" si="159"/>
        <v>1534.2948738099133</v>
      </c>
      <c r="CK39" s="24">
        <f t="shared" si="159"/>
        <v>1564.9807712861116</v>
      </c>
      <c r="CM39" s="24">
        <f>SUMIF($L$2:$CK$2,CM$3,$L39:$CK39)</f>
        <v>0</v>
      </c>
      <c r="CN39" s="24">
        <f>SUMIF($L$2:$CK$2,CN$3,$L39:$CK39)</f>
        <v>0</v>
      </c>
      <c r="CO39" s="24">
        <f>SUMIF($L$2:$CK$2,CO$3,$L39:$CK39)</f>
        <v>3891.9577133592111</v>
      </c>
      <c r="CP39" s="24">
        <f>SUMIF($L$2:$CK$2,CP$3,$L39:$CK39)</f>
        <v>9513.0266505183554</v>
      </c>
      <c r="CQ39" s="24">
        <f>SUMIF($L$2:$CK$2,CQ$3,$L39:$CK39)</f>
        <v>11372.291591050562</v>
      </c>
      <c r="CR39" s="24">
        <f t="shared" ref="CR39:CS39" si="160">SUMIF($L$2:$CK$2,CR$3,$L39:$CK39)</f>
        <v>13594.93889621682</v>
      </c>
      <c r="CS39" s="24">
        <f t="shared" si="160"/>
        <v>16881.209773735274</v>
      </c>
    </row>
    <row r="40" spans="2:99" s="27" customFormat="1" x14ac:dyDescent="0.2">
      <c r="B40" s="207" t="s">
        <v>318</v>
      </c>
      <c r="L40" s="28"/>
      <c r="M40" s="28"/>
      <c r="N40" s="28"/>
      <c r="O40" s="28"/>
      <c r="P40" s="2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v>0.01</v>
      </c>
      <c r="AQ40" s="208">
        <v>0.01</v>
      </c>
      <c r="AR40" s="208">
        <v>0.02</v>
      </c>
      <c r="AS40" s="208">
        <v>0.02</v>
      </c>
      <c r="AT40" s="208">
        <v>0.02</v>
      </c>
      <c r="AU40" s="208">
        <v>0.01</v>
      </c>
      <c r="AV40" s="208">
        <v>0.01</v>
      </c>
      <c r="AW40" s="208">
        <v>0.01</v>
      </c>
      <c r="AX40" s="208">
        <v>0.01</v>
      </c>
      <c r="AY40" s="208">
        <v>0.02</v>
      </c>
      <c r="AZ40" s="208">
        <v>0.02</v>
      </c>
      <c r="BA40" s="208">
        <v>0.02</v>
      </c>
      <c r="BB40" s="208">
        <v>0.01</v>
      </c>
      <c r="BC40" s="208">
        <v>0.01</v>
      </c>
      <c r="BD40" s="208">
        <v>0.02</v>
      </c>
      <c r="BE40" s="208">
        <v>0.02</v>
      </c>
      <c r="BF40" s="208">
        <v>0.02</v>
      </c>
      <c r="BG40" s="208">
        <v>0.01</v>
      </c>
      <c r="BH40" s="208">
        <v>0.01</v>
      </c>
      <c r="BI40" s="208">
        <v>0.01</v>
      </c>
      <c r="BJ40" s="208">
        <v>0.01</v>
      </c>
      <c r="BK40" s="208">
        <v>0.02</v>
      </c>
      <c r="BL40" s="208">
        <v>0.02</v>
      </c>
      <c r="BM40" s="208">
        <v>0.02</v>
      </c>
      <c r="BN40" s="208">
        <v>0.01</v>
      </c>
      <c r="BO40" s="208">
        <v>0.01</v>
      </c>
      <c r="BP40" s="208">
        <v>0.02</v>
      </c>
      <c r="BQ40" s="208">
        <v>0.02</v>
      </c>
      <c r="BR40" s="208">
        <v>0.02</v>
      </c>
      <c r="BS40" s="208">
        <v>0.01</v>
      </c>
      <c r="BT40" s="208">
        <v>0.01</v>
      </c>
      <c r="BU40" s="208">
        <v>0.01</v>
      </c>
      <c r="BV40" s="208">
        <v>0.01</v>
      </c>
      <c r="BW40" s="208">
        <v>0.02</v>
      </c>
      <c r="BX40" s="208">
        <v>0.02</v>
      </c>
      <c r="BY40" s="208">
        <f>BX40</f>
        <v>0.02</v>
      </c>
      <c r="BZ40" s="208">
        <f t="shared" ref="BZ40:CK40" si="161">BY40</f>
        <v>0.02</v>
      </c>
      <c r="CA40" s="208">
        <f t="shared" si="161"/>
        <v>0.02</v>
      </c>
      <c r="CB40" s="208">
        <f t="shared" si="161"/>
        <v>0.02</v>
      </c>
      <c r="CC40" s="208">
        <f t="shared" si="161"/>
        <v>0.02</v>
      </c>
      <c r="CD40" s="208">
        <f t="shared" si="161"/>
        <v>0.02</v>
      </c>
      <c r="CE40" s="208">
        <f t="shared" si="161"/>
        <v>0.02</v>
      </c>
      <c r="CF40" s="208">
        <f t="shared" si="161"/>
        <v>0.02</v>
      </c>
      <c r="CG40" s="208">
        <f t="shared" si="161"/>
        <v>0.02</v>
      </c>
      <c r="CH40" s="208">
        <f t="shared" si="161"/>
        <v>0.02</v>
      </c>
      <c r="CI40" s="208">
        <f t="shared" si="161"/>
        <v>0.02</v>
      </c>
      <c r="CJ40" s="208">
        <f t="shared" si="161"/>
        <v>0.02</v>
      </c>
      <c r="CK40" s="208">
        <f t="shared" si="161"/>
        <v>0.02</v>
      </c>
      <c r="CP40" s="208"/>
      <c r="CQ40" s="208"/>
      <c r="CR40" s="208"/>
      <c r="CS40" s="208"/>
      <c r="CT40" s="208"/>
      <c r="CU40" s="208"/>
    </row>
    <row r="42" spans="2:99" x14ac:dyDescent="0.2">
      <c r="B42" s="12" t="s">
        <v>66</v>
      </c>
    </row>
    <row r="43" spans="2:99" x14ac:dyDescent="0.2">
      <c r="B43" s="200" t="s">
        <v>1</v>
      </c>
      <c r="C43" s="200" t="s">
        <v>2</v>
      </c>
      <c r="D43" s="200" t="s">
        <v>38</v>
      </c>
      <c r="F43" s="201">
        <f t="shared" ref="F43:AK43" si="162">F34</f>
        <v>45292</v>
      </c>
      <c r="G43" s="201">
        <f t="shared" si="162"/>
        <v>45323</v>
      </c>
      <c r="H43" s="201">
        <f t="shared" si="162"/>
        <v>45352</v>
      </c>
      <c r="I43" s="201">
        <f t="shared" si="162"/>
        <v>45383</v>
      </c>
      <c r="J43" s="201">
        <f t="shared" si="162"/>
        <v>45413</v>
      </c>
      <c r="K43" s="201">
        <f t="shared" si="162"/>
        <v>45444</v>
      </c>
      <c r="L43" s="201">
        <f t="shared" si="162"/>
        <v>45474</v>
      </c>
      <c r="M43" s="201">
        <f t="shared" si="162"/>
        <v>45505</v>
      </c>
      <c r="N43" s="201">
        <f t="shared" si="162"/>
        <v>45536</v>
      </c>
      <c r="O43" s="201">
        <f t="shared" si="162"/>
        <v>45566</v>
      </c>
      <c r="P43" s="201">
        <f t="shared" si="162"/>
        <v>45597</v>
      </c>
      <c r="Q43" s="201">
        <f t="shared" si="162"/>
        <v>45627</v>
      </c>
      <c r="R43" s="201">
        <f t="shared" si="162"/>
        <v>45658</v>
      </c>
      <c r="S43" s="201">
        <f t="shared" si="162"/>
        <v>45689</v>
      </c>
      <c r="T43" s="201">
        <f t="shared" si="162"/>
        <v>45717</v>
      </c>
      <c r="U43" s="201">
        <f t="shared" si="162"/>
        <v>45748</v>
      </c>
      <c r="V43" s="201">
        <f t="shared" si="162"/>
        <v>45778</v>
      </c>
      <c r="W43" s="201">
        <f t="shared" si="162"/>
        <v>45809</v>
      </c>
      <c r="X43" s="201">
        <f t="shared" si="162"/>
        <v>45839</v>
      </c>
      <c r="Y43" s="201">
        <f t="shared" si="162"/>
        <v>45870</v>
      </c>
      <c r="Z43" s="201">
        <f t="shared" si="162"/>
        <v>45901</v>
      </c>
      <c r="AA43" s="201">
        <f t="shared" si="162"/>
        <v>45931</v>
      </c>
      <c r="AB43" s="201">
        <f t="shared" si="162"/>
        <v>45962</v>
      </c>
      <c r="AC43" s="201">
        <f t="shared" si="162"/>
        <v>45992</v>
      </c>
      <c r="AD43" s="201">
        <f t="shared" si="162"/>
        <v>46023</v>
      </c>
      <c r="AE43" s="201">
        <f t="shared" si="162"/>
        <v>46054</v>
      </c>
      <c r="AF43" s="201">
        <f t="shared" si="162"/>
        <v>46082</v>
      </c>
      <c r="AG43" s="201">
        <f t="shared" si="162"/>
        <v>46113</v>
      </c>
      <c r="AH43" s="201">
        <f t="shared" si="162"/>
        <v>46143</v>
      </c>
      <c r="AI43" s="201">
        <f t="shared" si="162"/>
        <v>46174</v>
      </c>
      <c r="AJ43" s="201">
        <f t="shared" si="162"/>
        <v>46204</v>
      </c>
      <c r="AK43" s="201">
        <f t="shared" si="162"/>
        <v>46235</v>
      </c>
      <c r="AL43" s="201">
        <f t="shared" ref="AL43:BQ43" si="163">AL34</f>
        <v>46266</v>
      </c>
      <c r="AM43" s="201">
        <f t="shared" si="163"/>
        <v>46296</v>
      </c>
      <c r="AN43" s="201">
        <f t="shared" si="163"/>
        <v>46327</v>
      </c>
      <c r="AO43" s="201">
        <f t="shared" si="163"/>
        <v>46357</v>
      </c>
      <c r="AP43" s="201">
        <f t="shared" si="163"/>
        <v>46388</v>
      </c>
      <c r="AQ43" s="201">
        <f t="shared" si="163"/>
        <v>46419</v>
      </c>
      <c r="AR43" s="201">
        <f t="shared" si="163"/>
        <v>46447</v>
      </c>
      <c r="AS43" s="201">
        <f t="shared" si="163"/>
        <v>46478</v>
      </c>
      <c r="AT43" s="201">
        <f t="shared" si="163"/>
        <v>46508</v>
      </c>
      <c r="AU43" s="201">
        <f t="shared" si="163"/>
        <v>46539</v>
      </c>
      <c r="AV43" s="201">
        <f t="shared" si="163"/>
        <v>46569</v>
      </c>
      <c r="AW43" s="201">
        <f t="shared" si="163"/>
        <v>46600</v>
      </c>
      <c r="AX43" s="201">
        <f t="shared" si="163"/>
        <v>46631</v>
      </c>
      <c r="AY43" s="201">
        <f t="shared" si="163"/>
        <v>46661</v>
      </c>
      <c r="AZ43" s="201">
        <f t="shared" si="163"/>
        <v>46692</v>
      </c>
      <c r="BA43" s="201">
        <f t="shared" si="163"/>
        <v>46722</v>
      </c>
      <c r="BB43" s="201">
        <f t="shared" si="163"/>
        <v>46753</v>
      </c>
      <c r="BC43" s="201">
        <f t="shared" si="163"/>
        <v>46784</v>
      </c>
      <c r="BD43" s="201">
        <f t="shared" si="163"/>
        <v>46813</v>
      </c>
      <c r="BE43" s="201">
        <f t="shared" si="163"/>
        <v>46844</v>
      </c>
      <c r="BF43" s="201">
        <f t="shared" si="163"/>
        <v>46874</v>
      </c>
      <c r="BG43" s="201">
        <f t="shared" si="163"/>
        <v>46905</v>
      </c>
      <c r="BH43" s="201">
        <f t="shared" si="163"/>
        <v>46935</v>
      </c>
      <c r="BI43" s="201">
        <f t="shared" si="163"/>
        <v>46966</v>
      </c>
      <c r="BJ43" s="201">
        <f t="shared" si="163"/>
        <v>46997</v>
      </c>
      <c r="BK43" s="201">
        <f t="shared" si="163"/>
        <v>47027</v>
      </c>
      <c r="BL43" s="201">
        <f t="shared" si="163"/>
        <v>47058</v>
      </c>
      <c r="BM43" s="201">
        <f t="shared" si="163"/>
        <v>47088</v>
      </c>
      <c r="BN43" s="201">
        <f t="shared" si="163"/>
        <v>47119</v>
      </c>
      <c r="BO43" s="201">
        <f t="shared" si="163"/>
        <v>47150</v>
      </c>
      <c r="BP43" s="201">
        <f t="shared" si="163"/>
        <v>47178</v>
      </c>
      <c r="BQ43" s="201">
        <f t="shared" si="163"/>
        <v>47209</v>
      </c>
      <c r="BR43" s="201">
        <f t="shared" ref="BR43:BX43" si="164">BR34</f>
        <v>47239</v>
      </c>
      <c r="BS43" s="201">
        <f t="shared" si="164"/>
        <v>47270</v>
      </c>
      <c r="BT43" s="201">
        <f t="shared" si="164"/>
        <v>47300</v>
      </c>
      <c r="BU43" s="201">
        <f t="shared" si="164"/>
        <v>47331</v>
      </c>
      <c r="BV43" s="201">
        <f t="shared" si="164"/>
        <v>47362</v>
      </c>
      <c r="BW43" s="201">
        <f t="shared" si="164"/>
        <v>47392</v>
      </c>
      <c r="BX43" s="201">
        <f t="shared" si="164"/>
        <v>47423</v>
      </c>
      <c r="BY43" s="201">
        <f t="shared" ref="BY43:CK43" si="165">BY34</f>
        <v>47453</v>
      </c>
      <c r="BZ43" s="201">
        <f t="shared" si="165"/>
        <v>47484</v>
      </c>
      <c r="CA43" s="201">
        <f t="shared" si="165"/>
        <v>47515</v>
      </c>
      <c r="CB43" s="201">
        <f t="shared" si="165"/>
        <v>47543</v>
      </c>
      <c r="CC43" s="201">
        <f t="shared" si="165"/>
        <v>47574</v>
      </c>
      <c r="CD43" s="201">
        <f t="shared" si="165"/>
        <v>47604</v>
      </c>
      <c r="CE43" s="201">
        <f t="shared" si="165"/>
        <v>47635</v>
      </c>
      <c r="CF43" s="201">
        <f t="shared" si="165"/>
        <v>47665</v>
      </c>
      <c r="CG43" s="201">
        <f t="shared" si="165"/>
        <v>47696</v>
      </c>
      <c r="CH43" s="201">
        <f t="shared" si="165"/>
        <v>47727</v>
      </c>
      <c r="CI43" s="201">
        <f t="shared" si="165"/>
        <v>47757</v>
      </c>
      <c r="CJ43" s="201">
        <f t="shared" si="165"/>
        <v>47788</v>
      </c>
      <c r="CK43" s="201">
        <f t="shared" si="165"/>
        <v>47818</v>
      </c>
      <c r="CM43" s="202">
        <f>CM34</f>
        <v>2024</v>
      </c>
      <c r="CN43" s="202">
        <f>CM43+1</f>
        <v>2025</v>
      </c>
      <c r="CO43" s="202">
        <f t="shared" ref="CO43" si="166">CN43+1</f>
        <v>2026</v>
      </c>
      <c r="CP43" s="202">
        <f t="shared" ref="CP43" si="167">CO43+1</f>
        <v>2027</v>
      </c>
      <c r="CQ43" s="202">
        <f t="shared" ref="CQ43" si="168">CP43+1</f>
        <v>2028</v>
      </c>
      <c r="CR43" s="202">
        <f t="shared" ref="CR43" si="169">CQ43+1</f>
        <v>2029</v>
      </c>
      <c r="CS43" s="202">
        <f t="shared" ref="CS43" si="170">CR43+1</f>
        <v>2030</v>
      </c>
    </row>
    <row r="44" spans="2:99" x14ac:dyDescent="0.2">
      <c r="B44" s="96" t="s">
        <v>7</v>
      </c>
      <c r="C44" s="96"/>
      <c r="D44" s="96"/>
      <c r="F44" s="21">
        <f t="shared" ref="F44:K44" si="171">SUM(F45:F46)</f>
        <v>0</v>
      </c>
      <c r="G44" s="21">
        <f t="shared" si="171"/>
        <v>0</v>
      </c>
      <c r="H44" s="21">
        <f t="shared" si="171"/>
        <v>0</v>
      </c>
      <c r="I44" s="21">
        <f t="shared" si="171"/>
        <v>0</v>
      </c>
      <c r="J44" s="21">
        <f t="shared" si="171"/>
        <v>0</v>
      </c>
      <c r="K44" s="21">
        <f t="shared" si="171"/>
        <v>0</v>
      </c>
      <c r="L44" s="21">
        <f t="shared" ref="L44:AW44" si="172">SUM(L45:L46)</f>
        <v>0</v>
      </c>
      <c r="M44" s="21">
        <f t="shared" si="172"/>
        <v>0</v>
      </c>
      <c r="N44" s="21">
        <f t="shared" si="172"/>
        <v>0</v>
      </c>
      <c r="O44" s="21">
        <f t="shared" si="172"/>
        <v>0</v>
      </c>
      <c r="P44" s="21">
        <f t="shared" si="172"/>
        <v>0</v>
      </c>
      <c r="Q44" s="21">
        <f t="shared" si="172"/>
        <v>0</v>
      </c>
      <c r="R44" s="21">
        <f t="shared" si="172"/>
        <v>0</v>
      </c>
      <c r="S44" s="21">
        <f t="shared" si="172"/>
        <v>0</v>
      </c>
      <c r="T44" s="21">
        <f t="shared" si="172"/>
        <v>0</v>
      </c>
      <c r="U44" s="21">
        <f t="shared" si="172"/>
        <v>0</v>
      </c>
      <c r="V44" s="21">
        <f t="shared" si="172"/>
        <v>0</v>
      </c>
      <c r="W44" s="21">
        <f t="shared" si="172"/>
        <v>0</v>
      </c>
      <c r="X44" s="21">
        <f t="shared" si="172"/>
        <v>0</v>
      </c>
      <c r="Y44" s="21">
        <f t="shared" si="172"/>
        <v>0</v>
      </c>
      <c r="Z44" s="21">
        <f t="shared" si="172"/>
        <v>0</v>
      </c>
      <c r="AA44" s="21">
        <f t="shared" si="172"/>
        <v>0</v>
      </c>
      <c r="AB44" s="21">
        <f t="shared" si="172"/>
        <v>0</v>
      </c>
      <c r="AC44" s="21">
        <f t="shared" si="172"/>
        <v>0</v>
      </c>
      <c r="AD44" s="21">
        <f t="shared" si="172"/>
        <v>0</v>
      </c>
      <c r="AE44" s="21">
        <f t="shared" si="172"/>
        <v>0</v>
      </c>
      <c r="AF44" s="21">
        <f t="shared" si="172"/>
        <v>0</v>
      </c>
      <c r="AG44" s="21">
        <f t="shared" si="172"/>
        <v>0</v>
      </c>
      <c r="AH44" s="21">
        <f t="shared" si="172"/>
        <v>224</v>
      </c>
      <c r="AI44" s="21">
        <f t="shared" si="172"/>
        <v>228.08</v>
      </c>
      <c r="AJ44" s="21">
        <f t="shared" si="172"/>
        <v>238.48399999999998</v>
      </c>
      <c r="AK44" s="21">
        <f t="shared" si="172"/>
        <v>260.33240000000001</v>
      </c>
      <c r="AL44" s="21">
        <f t="shared" si="172"/>
        <v>331.44916048400006</v>
      </c>
      <c r="AM44" s="21">
        <f t="shared" si="172"/>
        <v>362.59407653240009</v>
      </c>
      <c r="AN44" s="21">
        <f t="shared" si="172"/>
        <v>396.85348418564018</v>
      </c>
      <c r="AO44" s="21">
        <f t="shared" si="172"/>
        <v>453.38150681348617</v>
      </c>
      <c r="AP44" s="21">
        <f t="shared" si="172"/>
        <v>457.71532188162109</v>
      </c>
      <c r="AQ44" s="21">
        <f t="shared" si="172"/>
        <v>462.0924751004373</v>
      </c>
      <c r="AR44" s="21">
        <f t="shared" si="172"/>
        <v>470.93432460244605</v>
      </c>
      <c r="AS44" s="21">
        <f t="shared" si="172"/>
        <v>479.95301109449497</v>
      </c>
      <c r="AT44" s="21">
        <f t="shared" si="172"/>
        <v>489.15207131638482</v>
      </c>
      <c r="AU44" s="21">
        <f t="shared" si="172"/>
        <v>493.84359202954863</v>
      </c>
      <c r="AV44" s="21">
        <f t="shared" si="172"/>
        <v>498.58202794984413</v>
      </c>
      <c r="AW44" s="21">
        <f t="shared" si="172"/>
        <v>503.3678482293426</v>
      </c>
      <c r="AX44" s="21">
        <f t="shared" ref="AX44" si="173">SUM(AX45:AX46)</f>
        <v>508.20152671163606</v>
      </c>
      <c r="AY44" s="21">
        <f t="shared" ref="AY44" si="174">SUM(AY45:AY46)</f>
        <v>517.96555724586881</v>
      </c>
      <c r="AZ44" s="21">
        <f t="shared" ref="AZ44" si="175">SUM(AZ45:AZ46)</f>
        <v>527.92486839078617</v>
      </c>
      <c r="BA44" s="21">
        <f t="shared" ref="BA44" si="176">SUM(BA45:BA46)</f>
        <v>538.08336575860199</v>
      </c>
      <c r="BB44" s="21">
        <f t="shared" ref="BB44" si="177">SUM(BB45:BB46)</f>
        <v>543.26419941618803</v>
      </c>
      <c r="BC44" s="21">
        <f t="shared" ref="BC44" si="178">SUM(BC45:BC46)</f>
        <v>548.49684141034993</v>
      </c>
      <c r="BD44" s="21">
        <f t="shared" ref="BD44" si="179">SUM(BD45:BD46)</f>
        <v>559.06677823855694</v>
      </c>
      <c r="BE44" s="21">
        <f t="shared" ref="BE44" si="180">SUM(BE45:BE46)</f>
        <v>569.84811380332803</v>
      </c>
      <c r="BF44" s="21">
        <f t="shared" ref="BF44" si="181">SUM(BF45:BF46)</f>
        <v>580.84507607939463</v>
      </c>
      <c r="BG44" s="21">
        <f t="shared" ref="BG44" si="182">SUM(BG45:BG46)</f>
        <v>586.4535268401886</v>
      </c>
      <c r="BH44" s="21">
        <f t="shared" ref="BH44" si="183">SUM(BH45:BH46)</f>
        <v>592.11806210859049</v>
      </c>
      <c r="BI44" s="21">
        <f t="shared" ref="BI44" si="184">SUM(BI45:BI46)</f>
        <v>597.83924272967647</v>
      </c>
      <c r="BJ44" s="21">
        <f t="shared" ref="BJ44" si="185">SUM(BJ45:BJ46)</f>
        <v>603.61763515697317</v>
      </c>
      <c r="BK44" s="21">
        <f t="shared" ref="BK44" si="186">SUM(BK45:BK46)</f>
        <v>615.28998786011266</v>
      </c>
      <c r="BL44" s="21">
        <f t="shared" ref="BL44" si="187">SUM(BL45:BL46)</f>
        <v>627.19578761731498</v>
      </c>
      <c r="BM44" s="21">
        <f t="shared" ref="BM44" si="188">SUM(BM45:BM46)</f>
        <v>639.33970336966127</v>
      </c>
      <c r="BN44" s="21">
        <f t="shared" ref="BN44" si="189">SUM(BN45:BN46)</f>
        <v>645.53310040335782</v>
      </c>
      <c r="BO44" s="21">
        <f t="shared" ref="BO44" si="190">SUM(BO45:BO46)</f>
        <v>651.78843140739139</v>
      </c>
      <c r="BP44" s="21">
        <f t="shared" ref="BP44" si="191">SUM(BP45:BP46)</f>
        <v>664.42420003553923</v>
      </c>
      <c r="BQ44" s="21">
        <f t="shared" ref="BQ44" si="192">SUM(BQ45:BQ46)</f>
        <v>677.31268403624995</v>
      </c>
      <c r="BR44" s="21">
        <f t="shared" ref="BR44" si="193">SUM(BR45:BR46)</f>
        <v>690.45893771697502</v>
      </c>
      <c r="BS44" s="21">
        <f t="shared" ref="BS44" si="194">SUM(BS45:BS46)</f>
        <v>697.1635270941448</v>
      </c>
      <c r="BT44" s="21">
        <f t="shared" ref="BT44" si="195">SUM(BT45:BT46)</f>
        <v>703.93516236508628</v>
      </c>
      <c r="BU44" s="21">
        <f t="shared" ref="BU44:BX44" si="196">SUM(BU45:BU46)</f>
        <v>710.77451398873711</v>
      </c>
      <c r="BV44" s="21">
        <f t="shared" si="196"/>
        <v>717.68225912862442</v>
      </c>
      <c r="BW44" s="21">
        <f t="shared" si="196"/>
        <v>731.63590431119701</v>
      </c>
      <c r="BX44" s="21">
        <f t="shared" si="196"/>
        <v>745.86862239742095</v>
      </c>
      <c r="BY44" s="21">
        <f t="shared" ref="BY44:CK44" si="197">SUM(BY45:BY46)</f>
        <v>760.3859948453694</v>
      </c>
      <c r="BZ44" s="21">
        <f t="shared" si="197"/>
        <v>775.19371474227682</v>
      </c>
      <c r="CA44" s="21">
        <f t="shared" si="197"/>
        <v>790.29758903712229</v>
      </c>
      <c r="CB44" s="21">
        <f t="shared" si="197"/>
        <v>805.70354081786479</v>
      </c>
      <c r="CC44" s="21">
        <f t="shared" si="197"/>
        <v>821.417611634222</v>
      </c>
      <c r="CD44" s="21">
        <f t="shared" si="197"/>
        <v>837.44596386690648</v>
      </c>
      <c r="CE44" s="21">
        <f t="shared" si="197"/>
        <v>853.79488314424464</v>
      </c>
      <c r="CF44" s="21">
        <f t="shared" si="197"/>
        <v>870.47078080712959</v>
      </c>
      <c r="CG44" s="21">
        <f t="shared" si="197"/>
        <v>887.48019642327222</v>
      </c>
      <c r="CH44" s="21">
        <f t="shared" si="197"/>
        <v>904.82980035173773</v>
      </c>
      <c r="CI44" s="21">
        <f t="shared" si="197"/>
        <v>922.52639635877244</v>
      </c>
      <c r="CJ44" s="21">
        <f t="shared" si="197"/>
        <v>940.57692428594794</v>
      </c>
      <c r="CK44" s="21">
        <f t="shared" si="197"/>
        <v>958.98846277166695</v>
      </c>
      <c r="CM44" s="21">
        <f t="shared" ref="CM44:CQ53" si="198">SUMIF($L$2:$CK$2,CM$3,$L44:$CK44)</f>
        <v>0</v>
      </c>
      <c r="CN44" s="21">
        <f t="shared" si="198"/>
        <v>0</v>
      </c>
      <c r="CO44" s="21">
        <f t="shared" si="198"/>
        <v>2495.1746280155267</v>
      </c>
      <c r="CP44" s="21">
        <f t="shared" si="198"/>
        <v>5947.8159903110118</v>
      </c>
      <c r="CQ44" s="21">
        <f t="shared" si="198"/>
        <v>7063.3749546303352</v>
      </c>
      <c r="CR44" s="21">
        <f t="shared" ref="CR44:CS59" si="199">SUMIF($L$2:$CK$2,CR$3,$L44:$CK44)</f>
        <v>8396.9633377300943</v>
      </c>
      <c r="CS44" s="21">
        <f t="shared" si="199"/>
        <v>10368.725864241163</v>
      </c>
    </row>
    <row r="45" spans="2:99" outlineLevel="1" x14ac:dyDescent="0.2">
      <c r="B45" s="95" t="s">
        <v>8</v>
      </c>
      <c r="C45" s="92" t="s">
        <v>39</v>
      </c>
      <c r="D45" s="103">
        <v>0.6</v>
      </c>
      <c r="F45" s="22"/>
      <c r="G45" s="22"/>
      <c r="H45" s="22"/>
      <c r="I45" s="22"/>
      <c r="J45" s="22"/>
      <c r="K45" s="22"/>
      <c r="L45" s="22"/>
      <c r="M45" s="22"/>
      <c r="N45" s="22"/>
      <c r="O45" s="22"/>
      <c r="P45" s="22"/>
      <c r="Q45" s="22"/>
      <c r="R45" s="22"/>
      <c r="S45" s="22">
        <f>S$39*0.66</f>
        <v>0</v>
      </c>
      <c r="T45" s="22">
        <f t="shared" ref="T45:Z45" si="200">T$39*0.66</f>
        <v>0</v>
      </c>
      <c r="U45" s="22">
        <f t="shared" si="200"/>
        <v>0</v>
      </c>
      <c r="V45" s="22">
        <f t="shared" si="200"/>
        <v>0</v>
      </c>
      <c r="W45" s="22">
        <f t="shared" si="200"/>
        <v>0</v>
      </c>
      <c r="X45" s="22">
        <f t="shared" si="200"/>
        <v>0</v>
      </c>
      <c r="Y45" s="22">
        <f t="shared" si="200"/>
        <v>0</v>
      </c>
      <c r="Z45" s="22">
        <f t="shared" si="200"/>
        <v>0</v>
      </c>
      <c r="AA45" s="22">
        <f t="shared" ref="AA45:CK45" si="201">AA$39*$D45</f>
        <v>0</v>
      </c>
      <c r="AB45" s="22">
        <f t="shared" si="201"/>
        <v>0</v>
      </c>
      <c r="AC45" s="22">
        <f t="shared" si="201"/>
        <v>0</v>
      </c>
      <c r="AD45" s="22">
        <f t="shared" si="201"/>
        <v>0</v>
      </c>
      <c r="AE45" s="22">
        <f t="shared" si="201"/>
        <v>0</v>
      </c>
      <c r="AF45" s="22">
        <f t="shared" si="201"/>
        <v>0</v>
      </c>
      <c r="AG45" s="22">
        <f t="shared" si="201"/>
        <v>0</v>
      </c>
      <c r="AH45" s="22">
        <f t="shared" si="201"/>
        <v>204</v>
      </c>
      <c r="AI45" s="22">
        <f t="shared" si="201"/>
        <v>208.08</v>
      </c>
      <c r="AJ45" s="22">
        <f t="shared" si="201"/>
        <v>218.48399999999998</v>
      </c>
      <c r="AK45" s="22">
        <f t="shared" si="201"/>
        <v>240.33239999999998</v>
      </c>
      <c r="AL45" s="22">
        <f t="shared" si="201"/>
        <v>311.44916048400006</v>
      </c>
      <c r="AM45" s="22">
        <f t="shared" si="201"/>
        <v>342.59407653240009</v>
      </c>
      <c r="AN45" s="22">
        <f t="shared" si="201"/>
        <v>376.85348418564018</v>
      </c>
      <c r="AO45" s="22">
        <f t="shared" si="201"/>
        <v>433.38150681348617</v>
      </c>
      <c r="AP45" s="22">
        <f t="shared" si="201"/>
        <v>437.71532188162109</v>
      </c>
      <c r="AQ45" s="22">
        <f t="shared" si="201"/>
        <v>442.0924751004373</v>
      </c>
      <c r="AR45" s="22">
        <f t="shared" si="201"/>
        <v>450.93432460244605</v>
      </c>
      <c r="AS45" s="22">
        <f t="shared" si="201"/>
        <v>459.95301109449497</v>
      </c>
      <c r="AT45" s="22">
        <f t="shared" si="201"/>
        <v>469.15207131638482</v>
      </c>
      <c r="AU45" s="22">
        <f t="shared" si="201"/>
        <v>473.84359202954863</v>
      </c>
      <c r="AV45" s="22">
        <f t="shared" si="201"/>
        <v>478.58202794984413</v>
      </c>
      <c r="AW45" s="22">
        <f t="shared" si="201"/>
        <v>483.3678482293426</v>
      </c>
      <c r="AX45" s="22">
        <f t="shared" si="201"/>
        <v>488.20152671163606</v>
      </c>
      <c r="AY45" s="22">
        <f t="shared" si="201"/>
        <v>497.96555724586881</v>
      </c>
      <c r="AZ45" s="22">
        <f t="shared" si="201"/>
        <v>507.92486839078617</v>
      </c>
      <c r="BA45" s="22">
        <f t="shared" si="201"/>
        <v>518.08336575860199</v>
      </c>
      <c r="BB45" s="22">
        <f t="shared" si="201"/>
        <v>523.26419941618803</v>
      </c>
      <c r="BC45" s="22">
        <f t="shared" si="201"/>
        <v>528.49684141034993</v>
      </c>
      <c r="BD45" s="22">
        <f t="shared" si="201"/>
        <v>539.06677823855694</v>
      </c>
      <c r="BE45" s="22">
        <f t="shared" si="201"/>
        <v>549.84811380332803</v>
      </c>
      <c r="BF45" s="22">
        <f t="shared" si="201"/>
        <v>560.84507607939463</v>
      </c>
      <c r="BG45" s="22">
        <f t="shared" si="201"/>
        <v>566.4535268401886</v>
      </c>
      <c r="BH45" s="22">
        <f t="shared" si="201"/>
        <v>572.11806210859049</v>
      </c>
      <c r="BI45" s="22">
        <f t="shared" si="201"/>
        <v>577.83924272967647</v>
      </c>
      <c r="BJ45" s="22">
        <f t="shared" si="201"/>
        <v>583.61763515697317</v>
      </c>
      <c r="BK45" s="22">
        <f t="shared" si="201"/>
        <v>595.28998786011266</v>
      </c>
      <c r="BL45" s="22">
        <f t="shared" si="201"/>
        <v>607.19578761731498</v>
      </c>
      <c r="BM45" s="22">
        <f t="shared" si="201"/>
        <v>619.33970336966127</v>
      </c>
      <c r="BN45" s="22">
        <f t="shared" si="201"/>
        <v>625.53310040335782</v>
      </c>
      <c r="BO45" s="22">
        <f t="shared" si="201"/>
        <v>631.78843140739139</v>
      </c>
      <c r="BP45" s="22">
        <f t="shared" si="201"/>
        <v>644.42420003553923</v>
      </c>
      <c r="BQ45" s="22">
        <f t="shared" si="201"/>
        <v>657.31268403624995</v>
      </c>
      <c r="BR45" s="22">
        <f t="shared" si="201"/>
        <v>670.45893771697502</v>
      </c>
      <c r="BS45" s="22">
        <f t="shared" si="201"/>
        <v>677.1635270941448</v>
      </c>
      <c r="BT45" s="22">
        <f t="shared" si="201"/>
        <v>683.93516236508628</v>
      </c>
      <c r="BU45" s="22">
        <f t="shared" si="201"/>
        <v>690.77451398873711</v>
      </c>
      <c r="BV45" s="22">
        <f t="shared" si="201"/>
        <v>697.68225912862442</v>
      </c>
      <c r="BW45" s="22">
        <f t="shared" si="201"/>
        <v>711.63590431119701</v>
      </c>
      <c r="BX45" s="22">
        <f t="shared" si="201"/>
        <v>725.86862239742095</v>
      </c>
      <c r="BY45" s="22">
        <f t="shared" si="201"/>
        <v>740.3859948453694</v>
      </c>
      <c r="BZ45" s="22">
        <f t="shared" si="201"/>
        <v>755.19371474227682</v>
      </c>
      <c r="CA45" s="22">
        <f t="shared" si="201"/>
        <v>770.29758903712229</v>
      </c>
      <c r="CB45" s="22">
        <f t="shared" si="201"/>
        <v>785.70354081786479</v>
      </c>
      <c r="CC45" s="22">
        <f t="shared" si="201"/>
        <v>801.417611634222</v>
      </c>
      <c r="CD45" s="22">
        <f t="shared" si="201"/>
        <v>817.44596386690648</v>
      </c>
      <c r="CE45" s="22">
        <f t="shared" si="201"/>
        <v>833.79488314424464</v>
      </c>
      <c r="CF45" s="22">
        <f t="shared" si="201"/>
        <v>850.47078080712959</v>
      </c>
      <c r="CG45" s="22">
        <f t="shared" si="201"/>
        <v>867.48019642327222</v>
      </c>
      <c r="CH45" s="22">
        <f t="shared" si="201"/>
        <v>884.82980035173773</v>
      </c>
      <c r="CI45" s="22">
        <f t="shared" si="201"/>
        <v>902.52639635877244</v>
      </c>
      <c r="CJ45" s="22">
        <f t="shared" si="201"/>
        <v>920.57692428594794</v>
      </c>
      <c r="CK45" s="22">
        <f t="shared" si="201"/>
        <v>938.98846277166695</v>
      </c>
      <c r="CM45" s="10">
        <f t="shared" si="198"/>
        <v>0</v>
      </c>
      <c r="CN45" s="10">
        <f t="shared" si="198"/>
        <v>0</v>
      </c>
      <c r="CO45" s="10">
        <f t="shared" si="198"/>
        <v>2335.1746280155267</v>
      </c>
      <c r="CP45" s="10">
        <f t="shared" si="198"/>
        <v>5707.8159903110118</v>
      </c>
      <c r="CQ45" s="10">
        <f t="shared" si="198"/>
        <v>6823.3749546303352</v>
      </c>
      <c r="CR45" s="10">
        <f t="shared" si="199"/>
        <v>8156.9633377300934</v>
      </c>
      <c r="CS45" s="10">
        <f t="shared" si="199"/>
        <v>10128.725864241163</v>
      </c>
    </row>
    <row r="46" spans="2:99" outlineLevel="1" x14ac:dyDescent="0.2">
      <c r="B46" s="95" t="s">
        <v>46</v>
      </c>
      <c r="C46" s="95" t="s">
        <v>4</v>
      </c>
      <c r="D46" s="92">
        <v>20</v>
      </c>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f t="shared" ref="AH46:CK46" si="202">$D$46</f>
        <v>20</v>
      </c>
      <c r="AI46" s="22">
        <f t="shared" si="202"/>
        <v>20</v>
      </c>
      <c r="AJ46" s="22">
        <f t="shared" si="202"/>
        <v>20</v>
      </c>
      <c r="AK46" s="22">
        <f t="shared" si="202"/>
        <v>20</v>
      </c>
      <c r="AL46" s="22">
        <f t="shared" si="202"/>
        <v>20</v>
      </c>
      <c r="AM46" s="22">
        <f t="shared" si="202"/>
        <v>20</v>
      </c>
      <c r="AN46" s="22">
        <f t="shared" si="202"/>
        <v>20</v>
      </c>
      <c r="AO46" s="22">
        <f t="shared" si="202"/>
        <v>20</v>
      </c>
      <c r="AP46" s="22">
        <f t="shared" si="202"/>
        <v>20</v>
      </c>
      <c r="AQ46" s="22">
        <f t="shared" si="202"/>
        <v>20</v>
      </c>
      <c r="AR46" s="22">
        <f t="shared" si="202"/>
        <v>20</v>
      </c>
      <c r="AS46" s="22">
        <f t="shared" si="202"/>
        <v>20</v>
      </c>
      <c r="AT46" s="22">
        <f t="shared" si="202"/>
        <v>20</v>
      </c>
      <c r="AU46" s="22">
        <f t="shared" si="202"/>
        <v>20</v>
      </c>
      <c r="AV46" s="22">
        <f t="shared" si="202"/>
        <v>20</v>
      </c>
      <c r="AW46" s="22">
        <f t="shared" si="202"/>
        <v>20</v>
      </c>
      <c r="AX46" s="22">
        <f t="shared" si="202"/>
        <v>20</v>
      </c>
      <c r="AY46" s="22">
        <f t="shared" si="202"/>
        <v>20</v>
      </c>
      <c r="AZ46" s="22">
        <f t="shared" si="202"/>
        <v>20</v>
      </c>
      <c r="BA46" s="22">
        <f t="shared" si="202"/>
        <v>20</v>
      </c>
      <c r="BB46" s="22">
        <f t="shared" si="202"/>
        <v>20</v>
      </c>
      <c r="BC46" s="22">
        <f t="shared" si="202"/>
        <v>20</v>
      </c>
      <c r="BD46" s="22">
        <f t="shared" si="202"/>
        <v>20</v>
      </c>
      <c r="BE46" s="22">
        <f t="shared" si="202"/>
        <v>20</v>
      </c>
      <c r="BF46" s="22">
        <f t="shared" si="202"/>
        <v>20</v>
      </c>
      <c r="BG46" s="22">
        <f t="shared" si="202"/>
        <v>20</v>
      </c>
      <c r="BH46" s="22">
        <f t="shared" si="202"/>
        <v>20</v>
      </c>
      <c r="BI46" s="22">
        <f t="shared" si="202"/>
        <v>20</v>
      </c>
      <c r="BJ46" s="22">
        <f t="shared" si="202"/>
        <v>20</v>
      </c>
      <c r="BK46" s="22">
        <f t="shared" si="202"/>
        <v>20</v>
      </c>
      <c r="BL46" s="22">
        <f t="shared" si="202"/>
        <v>20</v>
      </c>
      <c r="BM46" s="22">
        <f t="shared" si="202"/>
        <v>20</v>
      </c>
      <c r="BN46" s="22">
        <f t="shared" si="202"/>
        <v>20</v>
      </c>
      <c r="BO46" s="22">
        <f t="shared" si="202"/>
        <v>20</v>
      </c>
      <c r="BP46" s="22">
        <f t="shared" si="202"/>
        <v>20</v>
      </c>
      <c r="BQ46" s="22">
        <f t="shared" si="202"/>
        <v>20</v>
      </c>
      <c r="BR46" s="22">
        <f t="shared" si="202"/>
        <v>20</v>
      </c>
      <c r="BS46" s="22">
        <f t="shared" si="202"/>
        <v>20</v>
      </c>
      <c r="BT46" s="22">
        <f t="shared" si="202"/>
        <v>20</v>
      </c>
      <c r="BU46" s="22">
        <f t="shared" si="202"/>
        <v>20</v>
      </c>
      <c r="BV46" s="22">
        <f t="shared" si="202"/>
        <v>20</v>
      </c>
      <c r="BW46" s="22">
        <f t="shared" si="202"/>
        <v>20</v>
      </c>
      <c r="BX46" s="22">
        <f t="shared" si="202"/>
        <v>20</v>
      </c>
      <c r="BY46" s="22">
        <f t="shared" si="202"/>
        <v>20</v>
      </c>
      <c r="BZ46" s="22">
        <f t="shared" si="202"/>
        <v>20</v>
      </c>
      <c r="CA46" s="22">
        <f t="shared" si="202"/>
        <v>20</v>
      </c>
      <c r="CB46" s="22">
        <f t="shared" si="202"/>
        <v>20</v>
      </c>
      <c r="CC46" s="22">
        <f t="shared" si="202"/>
        <v>20</v>
      </c>
      <c r="CD46" s="22">
        <f t="shared" si="202"/>
        <v>20</v>
      </c>
      <c r="CE46" s="22">
        <f t="shared" si="202"/>
        <v>20</v>
      </c>
      <c r="CF46" s="22">
        <f t="shared" si="202"/>
        <v>20</v>
      </c>
      <c r="CG46" s="22">
        <f t="shared" si="202"/>
        <v>20</v>
      </c>
      <c r="CH46" s="22">
        <f t="shared" si="202"/>
        <v>20</v>
      </c>
      <c r="CI46" s="22">
        <f t="shared" si="202"/>
        <v>20</v>
      </c>
      <c r="CJ46" s="22">
        <f t="shared" si="202"/>
        <v>20</v>
      </c>
      <c r="CK46" s="22">
        <f t="shared" si="202"/>
        <v>20</v>
      </c>
      <c r="CM46" s="10">
        <f t="shared" si="198"/>
        <v>0</v>
      </c>
      <c r="CN46" s="10">
        <f t="shared" si="198"/>
        <v>0</v>
      </c>
      <c r="CO46" s="10">
        <f t="shared" si="198"/>
        <v>160</v>
      </c>
      <c r="CP46" s="10">
        <f t="shared" si="198"/>
        <v>240</v>
      </c>
      <c r="CQ46" s="10">
        <f t="shared" si="198"/>
        <v>240</v>
      </c>
      <c r="CR46" s="10">
        <f t="shared" si="199"/>
        <v>240</v>
      </c>
      <c r="CS46" s="10">
        <f t="shared" si="199"/>
        <v>240</v>
      </c>
    </row>
    <row r="47" spans="2:99" x14ac:dyDescent="0.2">
      <c r="B47" s="96" t="s">
        <v>10</v>
      </c>
      <c r="C47" s="96"/>
      <c r="D47" s="96"/>
      <c r="F47" s="21">
        <f t="shared" ref="F47:K47" si="203">F48+F51+F55+F60</f>
        <v>0</v>
      </c>
      <c r="G47" s="21">
        <f t="shared" si="203"/>
        <v>0</v>
      </c>
      <c r="H47" s="21">
        <f t="shared" si="203"/>
        <v>0</v>
      </c>
      <c r="I47" s="21">
        <f t="shared" si="203"/>
        <v>0</v>
      </c>
      <c r="J47" s="21">
        <f t="shared" si="203"/>
        <v>0</v>
      </c>
      <c r="K47" s="21">
        <f t="shared" si="203"/>
        <v>0</v>
      </c>
      <c r="L47" s="21">
        <f t="shared" ref="L47:AQ47" si="204">L48+L51+L55+L60</f>
        <v>0</v>
      </c>
      <c r="M47" s="21">
        <f t="shared" si="204"/>
        <v>0</v>
      </c>
      <c r="N47" s="21">
        <f t="shared" si="204"/>
        <v>0</v>
      </c>
      <c r="O47" s="21">
        <f t="shared" si="204"/>
        <v>0</v>
      </c>
      <c r="P47" s="21">
        <f t="shared" si="204"/>
        <v>0</v>
      </c>
      <c r="Q47" s="21">
        <f t="shared" si="204"/>
        <v>0</v>
      </c>
      <c r="R47" s="21">
        <f t="shared" si="204"/>
        <v>0</v>
      </c>
      <c r="S47" s="21">
        <f t="shared" si="204"/>
        <v>0</v>
      </c>
      <c r="T47" s="21">
        <f t="shared" si="204"/>
        <v>0</v>
      </c>
      <c r="U47" s="21">
        <f t="shared" si="204"/>
        <v>0</v>
      </c>
      <c r="V47" s="21">
        <f t="shared" si="204"/>
        <v>0</v>
      </c>
      <c r="W47" s="21">
        <f t="shared" si="204"/>
        <v>0</v>
      </c>
      <c r="X47" s="21">
        <f t="shared" si="204"/>
        <v>0</v>
      </c>
      <c r="Y47" s="21">
        <f t="shared" si="204"/>
        <v>0</v>
      </c>
      <c r="Z47" s="21">
        <f t="shared" si="204"/>
        <v>0</v>
      </c>
      <c r="AA47" s="21">
        <f t="shared" si="204"/>
        <v>0</v>
      </c>
      <c r="AB47" s="21">
        <f t="shared" si="204"/>
        <v>0</v>
      </c>
      <c r="AC47" s="21">
        <f t="shared" si="204"/>
        <v>0</v>
      </c>
      <c r="AD47" s="21">
        <f t="shared" si="204"/>
        <v>100</v>
      </c>
      <c r="AE47" s="21">
        <f t="shared" si="204"/>
        <v>0</v>
      </c>
      <c r="AF47" s="21">
        <f t="shared" si="204"/>
        <v>0</v>
      </c>
      <c r="AG47" s="21">
        <f t="shared" si="204"/>
        <v>0</v>
      </c>
      <c r="AH47" s="21">
        <f t="shared" si="204"/>
        <v>278.79999999999995</v>
      </c>
      <c r="AI47" s="21">
        <f t="shared" si="204"/>
        <v>579.27599999999995</v>
      </c>
      <c r="AJ47" s="21">
        <f t="shared" si="204"/>
        <v>590.48980000000006</v>
      </c>
      <c r="AK47" s="21">
        <f t="shared" si="204"/>
        <v>593.03877999999997</v>
      </c>
      <c r="AL47" s="21">
        <f t="shared" si="204"/>
        <v>301.33573538979999</v>
      </c>
      <c r="AM47" s="21">
        <f t="shared" si="204"/>
        <v>122.09901275540003</v>
      </c>
      <c r="AN47" s="21">
        <f t="shared" si="204"/>
        <v>127.80891403094003</v>
      </c>
      <c r="AO47" s="21">
        <f t="shared" si="204"/>
        <v>137.23025113558103</v>
      </c>
      <c r="AP47" s="21">
        <f t="shared" si="204"/>
        <v>137.95255364693685</v>
      </c>
      <c r="AQ47" s="21">
        <f t="shared" si="204"/>
        <v>138.68207918340622</v>
      </c>
      <c r="AR47" s="21">
        <f t="shared" ref="AR47:BU47" si="205">AR48+AR51+AR55+AR60</f>
        <v>140.15572076707434</v>
      </c>
      <c r="AS47" s="21">
        <f t="shared" si="205"/>
        <v>141.65883518241583</v>
      </c>
      <c r="AT47" s="21">
        <f t="shared" si="205"/>
        <v>143.19201188606417</v>
      </c>
      <c r="AU47" s="21">
        <f t="shared" si="205"/>
        <v>143.97393200492479</v>
      </c>
      <c r="AV47" s="21">
        <f t="shared" si="205"/>
        <v>144.76367132497404</v>
      </c>
      <c r="AW47" s="21">
        <f t="shared" si="205"/>
        <v>145.56130803822379</v>
      </c>
      <c r="AX47" s="21">
        <f t="shared" si="205"/>
        <v>146.366921118606</v>
      </c>
      <c r="AY47" s="21">
        <f t="shared" si="205"/>
        <v>147.99425954097813</v>
      </c>
      <c r="AZ47" s="21">
        <f t="shared" si="205"/>
        <v>149.65414473179771</v>
      </c>
      <c r="BA47" s="21">
        <f t="shared" si="205"/>
        <v>151.34722762643366</v>
      </c>
      <c r="BB47" s="21">
        <f t="shared" si="205"/>
        <v>152.210699902698</v>
      </c>
      <c r="BC47" s="21">
        <f t="shared" si="205"/>
        <v>153.08280690172498</v>
      </c>
      <c r="BD47" s="21">
        <f t="shared" si="205"/>
        <v>154.84446303975949</v>
      </c>
      <c r="BE47" s="21">
        <f t="shared" si="205"/>
        <v>156.64135230055467</v>
      </c>
      <c r="BF47" s="21">
        <f t="shared" si="205"/>
        <v>158.47417934656579</v>
      </c>
      <c r="BG47" s="21">
        <f t="shared" si="205"/>
        <v>159.40892114003145</v>
      </c>
      <c r="BH47" s="21">
        <f t="shared" si="205"/>
        <v>160.35301035143175</v>
      </c>
      <c r="BI47" s="21">
        <f t="shared" si="205"/>
        <v>161.30654045494609</v>
      </c>
      <c r="BJ47" s="21">
        <f t="shared" si="205"/>
        <v>162.26960585949553</v>
      </c>
      <c r="BK47" s="21">
        <f t="shared" si="205"/>
        <v>164.21499797668545</v>
      </c>
      <c r="BL47" s="21">
        <f t="shared" si="205"/>
        <v>166.19929793621915</v>
      </c>
      <c r="BM47" s="21">
        <f t="shared" si="205"/>
        <v>168.22328389494356</v>
      </c>
      <c r="BN47" s="21">
        <f t="shared" si="205"/>
        <v>169.25551673389299</v>
      </c>
      <c r="BO47" s="21">
        <f t="shared" si="205"/>
        <v>170.29807190123191</v>
      </c>
      <c r="BP47" s="21">
        <f t="shared" si="205"/>
        <v>172.40403333925656</v>
      </c>
      <c r="BQ47" s="21">
        <f t="shared" si="205"/>
        <v>174.55211400604168</v>
      </c>
      <c r="BR47" s="21">
        <f t="shared" si="205"/>
        <v>176.7431562861625</v>
      </c>
      <c r="BS47" s="21">
        <f t="shared" si="205"/>
        <v>177.86058784902414</v>
      </c>
      <c r="BT47" s="21">
        <f t="shared" si="205"/>
        <v>178.98919372751436</v>
      </c>
      <c r="BU47" s="21">
        <f t="shared" si="205"/>
        <v>180.12908566478953</v>
      </c>
      <c r="BV47" s="21">
        <f t="shared" ref="BV47:BX47" si="206">BV48+BV51+BV55+BV60</f>
        <v>181.28037652143743</v>
      </c>
      <c r="BW47" s="21">
        <f t="shared" si="206"/>
        <v>183.60598405186619</v>
      </c>
      <c r="BX47" s="21">
        <f t="shared" si="206"/>
        <v>185.97810373290349</v>
      </c>
      <c r="BY47" s="21">
        <f t="shared" ref="BY47:CK47" si="207">BY48+BY51+BY55+BY60</f>
        <v>188.39766580756157</v>
      </c>
      <c r="BZ47" s="21">
        <f t="shared" si="207"/>
        <v>190.8656191237128</v>
      </c>
      <c r="CA47" s="21">
        <f t="shared" si="207"/>
        <v>193.38293150618708</v>
      </c>
      <c r="CB47" s="21">
        <f t="shared" si="207"/>
        <v>195.95059013631078</v>
      </c>
      <c r="CC47" s="21">
        <f t="shared" si="207"/>
        <v>198.569601939037</v>
      </c>
      <c r="CD47" s="21">
        <f t="shared" si="207"/>
        <v>201.24099397781777</v>
      </c>
      <c r="CE47" s="21">
        <f t="shared" si="207"/>
        <v>203.96581385737409</v>
      </c>
      <c r="CF47" s="21">
        <f t="shared" si="207"/>
        <v>206.74513013452162</v>
      </c>
      <c r="CG47" s="21">
        <f t="shared" si="207"/>
        <v>209.58003273721204</v>
      </c>
      <c r="CH47" s="21">
        <f t="shared" si="207"/>
        <v>212.47163339195629</v>
      </c>
      <c r="CI47" s="21">
        <f t="shared" si="207"/>
        <v>215.42106605979541</v>
      </c>
      <c r="CJ47" s="21">
        <f t="shared" si="207"/>
        <v>218.4294873809913</v>
      </c>
      <c r="CK47" s="21">
        <f t="shared" si="207"/>
        <v>221.49807712861116</v>
      </c>
      <c r="CM47" s="21">
        <f t="shared" si="198"/>
        <v>0</v>
      </c>
      <c r="CN47" s="21">
        <f t="shared" si="198"/>
        <v>0</v>
      </c>
      <c r="CO47" s="21">
        <f t="shared" si="198"/>
        <v>2830.0784933117206</v>
      </c>
      <c r="CP47" s="21">
        <f t="shared" si="198"/>
        <v>1731.3026650518354</v>
      </c>
      <c r="CQ47" s="21">
        <f t="shared" si="198"/>
        <v>1917.2291591050559</v>
      </c>
      <c r="CR47" s="21">
        <f t="shared" si="199"/>
        <v>2139.4938896216822</v>
      </c>
      <c r="CS47" s="21">
        <f t="shared" si="199"/>
        <v>2468.1209773735272</v>
      </c>
    </row>
    <row r="48" spans="2:99" outlineLevel="1" x14ac:dyDescent="0.2">
      <c r="B48" s="88" t="s">
        <v>16</v>
      </c>
      <c r="C48" s="88"/>
      <c r="D48" s="92"/>
      <c r="F48" s="94">
        <f t="shared" ref="F48:K48" si="208">SUM(F49:F50)</f>
        <v>0</v>
      </c>
      <c r="G48" s="94">
        <f t="shared" si="208"/>
        <v>0</v>
      </c>
      <c r="H48" s="94">
        <f t="shared" si="208"/>
        <v>0</v>
      </c>
      <c r="I48" s="94">
        <f t="shared" si="208"/>
        <v>0</v>
      </c>
      <c r="J48" s="94">
        <f t="shared" si="208"/>
        <v>0</v>
      </c>
      <c r="K48" s="94">
        <f t="shared" si="208"/>
        <v>0</v>
      </c>
      <c r="L48" s="94">
        <f t="shared" ref="L48:AQ48" si="209">SUM(L49:L50)</f>
        <v>0</v>
      </c>
      <c r="M48" s="94">
        <f t="shared" si="209"/>
        <v>0</v>
      </c>
      <c r="N48" s="94">
        <f t="shared" si="209"/>
        <v>0</v>
      </c>
      <c r="O48" s="94">
        <f t="shared" si="209"/>
        <v>0</v>
      </c>
      <c r="P48" s="94">
        <f t="shared" si="209"/>
        <v>0</v>
      </c>
      <c r="Q48" s="94">
        <f t="shared" si="209"/>
        <v>0</v>
      </c>
      <c r="R48" s="94">
        <f t="shared" si="209"/>
        <v>0</v>
      </c>
      <c r="S48" s="94">
        <f t="shared" si="209"/>
        <v>0</v>
      </c>
      <c r="T48" s="94">
        <f t="shared" si="209"/>
        <v>0</v>
      </c>
      <c r="U48" s="94">
        <f t="shared" si="209"/>
        <v>0</v>
      </c>
      <c r="V48" s="94">
        <f t="shared" si="209"/>
        <v>0</v>
      </c>
      <c r="W48" s="94">
        <f t="shared" si="209"/>
        <v>0</v>
      </c>
      <c r="X48" s="94">
        <f t="shared" si="209"/>
        <v>0</v>
      </c>
      <c r="Y48" s="94">
        <f t="shared" si="209"/>
        <v>0</v>
      </c>
      <c r="Z48" s="94">
        <f t="shared" si="209"/>
        <v>0</v>
      </c>
      <c r="AA48" s="94">
        <f t="shared" si="209"/>
        <v>0</v>
      </c>
      <c r="AB48" s="94">
        <f t="shared" si="209"/>
        <v>0</v>
      </c>
      <c r="AC48" s="94">
        <f t="shared" si="209"/>
        <v>0</v>
      </c>
      <c r="AD48" s="94">
        <f t="shared" si="209"/>
        <v>100</v>
      </c>
      <c r="AE48" s="94">
        <f t="shared" si="209"/>
        <v>0</v>
      </c>
      <c r="AF48" s="94">
        <f t="shared" si="209"/>
        <v>0</v>
      </c>
      <c r="AG48" s="94">
        <f t="shared" si="209"/>
        <v>0</v>
      </c>
      <c r="AH48" s="94">
        <f t="shared" si="209"/>
        <v>55</v>
      </c>
      <c r="AI48" s="94">
        <f t="shared" si="209"/>
        <v>55</v>
      </c>
      <c r="AJ48" s="94">
        <f t="shared" si="209"/>
        <v>65</v>
      </c>
      <c r="AK48" s="94">
        <f t="shared" si="209"/>
        <v>65</v>
      </c>
      <c r="AL48" s="94">
        <f t="shared" si="209"/>
        <v>65</v>
      </c>
      <c r="AM48" s="94">
        <f t="shared" si="209"/>
        <v>65</v>
      </c>
      <c r="AN48" s="94">
        <f t="shared" si="209"/>
        <v>65</v>
      </c>
      <c r="AO48" s="94">
        <f t="shared" si="209"/>
        <v>65</v>
      </c>
      <c r="AP48" s="94">
        <f t="shared" si="209"/>
        <v>65</v>
      </c>
      <c r="AQ48" s="94">
        <f t="shared" si="209"/>
        <v>65</v>
      </c>
      <c r="AR48" s="94">
        <f t="shared" ref="AR48:BU48" si="210">SUM(AR49:AR50)</f>
        <v>65</v>
      </c>
      <c r="AS48" s="94">
        <f t="shared" si="210"/>
        <v>65</v>
      </c>
      <c r="AT48" s="94">
        <f t="shared" si="210"/>
        <v>65</v>
      </c>
      <c r="AU48" s="94">
        <f t="shared" si="210"/>
        <v>65</v>
      </c>
      <c r="AV48" s="94">
        <f t="shared" si="210"/>
        <v>65</v>
      </c>
      <c r="AW48" s="94">
        <f t="shared" si="210"/>
        <v>65</v>
      </c>
      <c r="AX48" s="94">
        <f t="shared" si="210"/>
        <v>65</v>
      </c>
      <c r="AY48" s="94">
        <f t="shared" si="210"/>
        <v>65</v>
      </c>
      <c r="AZ48" s="94">
        <f t="shared" si="210"/>
        <v>65</v>
      </c>
      <c r="BA48" s="94">
        <f t="shared" si="210"/>
        <v>65</v>
      </c>
      <c r="BB48" s="94">
        <f t="shared" si="210"/>
        <v>65</v>
      </c>
      <c r="BC48" s="94">
        <f t="shared" si="210"/>
        <v>65</v>
      </c>
      <c r="BD48" s="94">
        <f t="shared" si="210"/>
        <v>65</v>
      </c>
      <c r="BE48" s="94">
        <f t="shared" si="210"/>
        <v>65</v>
      </c>
      <c r="BF48" s="94">
        <f t="shared" si="210"/>
        <v>65</v>
      </c>
      <c r="BG48" s="94">
        <f t="shared" si="210"/>
        <v>65</v>
      </c>
      <c r="BH48" s="94">
        <f t="shared" si="210"/>
        <v>65</v>
      </c>
      <c r="BI48" s="94">
        <f t="shared" si="210"/>
        <v>65</v>
      </c>
      <c r="BJ48" s="94">
        <f t="shared" si="210"/>
        <v>65</v>
      </c>
      <c r="BK48" s="94">
        <f t="shared" si="210"/>
        <v>65</v>
      </c>
      <c r="BL48" s="94">
        <f t="shared" si="210"/>
        <v>65</v>
      </c>
      <c r="BM48" s="94">
        <f t="shared" si="210"/>
        <v>65</v>
      </c>
      <c r="BN48" s="94">
        <f t="shared" si="210"/>
        <v>65</v>
      </c>
      <c r="BO48" s="94">
        <f t="shared" si="210"/>
        <v>65</v>
      </c>
      <c r="BP48" s="94">
        <f t="shared" si="210"/>
        <v>65</v>
      </c>
      <c r="BQ48" s="94">
        <f t="shared" si="210"/>
        <v>65</v>
      </c>
      <c r="BR48" s="94">
        <f t="shared" si="210"/>
        <v>65</v>
      </c>
      <c r="BS48" s="94">
        <f t="shared" si="210"/>
        <v>65</v>
      </c>
      <c r="BT48" s="94">
        <f t="shared" si="210"/>
        <v>65</v>
      </c>
      <c r="BU48" s="94">
        <f t="shared" si="210"/>
        <v>65</v>
      </c>
      <c r="BV48" s="94">
        <f t="shared" ref="BV48:BX48" si="211">SUM(BV49:BV50)</f>
        <v>65</v>
      </c>
      <c r="BW48" s="94">
        <f t="shared" si="211"/>
        <v>65</v>
      </c>
      <c r="BX48" s="94">
        <f t="shared" si="211"/>
        <v>65</v>
      </c>
      <c r="BY48" s="94">
        <f t="shared" ref="BY48:CK48" si="212">SUM(BY49:BY50)</f>
        <v>65</v>
      </c>
      <c r="BZ48" s="94">
        <f t="shared" si="212"/>
        <v>65</v>
      </c>
      <c r="CA48" s="94">
        <f t="shared" si="212"/>
        <v>65</v>
      </c>
      <c r="CB48" s="94">
        <f t="shared" si="212"/>
        <v>65</v>
      </c>
      <c r="CC48" s="94">
        <f t="shared" si="212"/>
        <v>65</v>
      </c>
      <c r="CD48" s="94">
        <f t="shared" si="212"/>
        <v>65</v>
      </c>
      <c r="CE48" s="94">
        <f t="shared" si="212"/>
        <v>65</v>
      </c>
      <c r="CF48" s="94">
        <f t="shared" si="212"/>
        <v>65</v>
      </c>
      <c r="CG48" s="94">
        <f t="shared" si="212"/>
        <v>65</v>
      </c>
      <c r="CH48" s="94">
        <f t="shared" si="212"/>
        <v>65</v>
      </c>
      <c r="CI48" s="94">
        <f t="shared" si="212"/>
        <v>65</v>
      </c>
      <c r="CJ48" s="94">
        <f t="shared" si="212"/>
        <v>65</v>
      </c>
      <c r="CK48" s="94">
        <f t="shared" si="212"/>
        <v>65</v>
      </c>
      <c r="CM48" s="94">
        <f t="shared" si="198"/>
        <v>0</v>
      </c>
      <c r="CN48" s="94">
        <f t="shared" si="198"/>
        <v>0</v>
      </c>
      <c r="CO48" s="94">
        <f t="shared" si="198"/>
        <v>600</v>
      </c>
      <c r="CP48" s="94">
        <f t="shared" si="198"/>
        <v>780</v>
      </c>
      <c r="CQ48" s="94">
        <f t="shared" si="198"/>
        <v>780</v>
      </c>
      <c r="CR48" s="94">
        <f t="shared" si="199"/>
        <v>780</v>
      </c>
      <c r="CS48" s="94">
        <f t="shared" si="199"/>
        <v>780</v>
      </c>
    </row>
    <row r="49" spans="2:97" outlineLevel="2" x14ac:dyDescent="0.2">
      <c r="B49" s="95" t="s">
        <v>12</v>
      </c>
      <c r="C49" s="95" t="s">
        <v>4</v>
      </c>
      <c r="D49" s="92"/>
      <c r="AD49" s="227">
        <v>100</v>
      </c>
      <c r="CM49" s="10">
        <f t="shared" si="198"/>
        <v>0</v>
      </c>
      <c r="CN49" s="10">
        <f t="shared" si="198"/>
        <v>0</v>
      </c>
      <c r="CO49" s="10">
        <f t="shared" si="198"/>
        <v>100</v>
      </c>
      <c r="CP49" s="10">
        <f t="shared" si="198"/>
        <v>0</v>
      </c>
      <c r="CQ49" s="10">
        <f t="shared" si="198"/>
        <v>0</v>
      </c>
      <c r="CR49" s="10">
        <f t="shared" si="199"/>
        <v>0</v>
      </c>
      <c r="CS49" s="10">
        <f t="shared" si="199"/>
        <v>0</v>
      </c>
    </row>
    <row r="50" spans="2:97" outlineLevel="2" x14ac:dyDescent="0.2">
      <c r="B50" s="95" t="s">
        <v>14</v>
      </c>
      <c r="C50" s="95" t="s">
        <v>4</v>
      </c>
      <c r="D50" s="104"/>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6"/>
      <c r="AF50" s="22"/>
      <c r="AG50" s="22"/>
      <c r="AH50" s="22">
        <v>55</v>
      </c>
      <c r="AI50" s="22">
        <f t="shared" ref="AI50:AW50" si="213">AH50</f>
        <v>55</v>
      </c>
      <c r="AJ50" s="226">
        <v>65</v>
      </c>
      <c r="AK50" s="22">
        <f t="shared" si="213"/>
        <v>65</v>
      </c>
      <c r="AL50" s="22">
        <f t="shared" si="213"/>
        <v>65</v>
      </c>
      <c r="AM50" s="22">
        <f t="shared" si="213"/>
        <v>65</v>
      </c>
      <c r="AN50" s="22">
        <f t="shared" si="213"/>
        <v>65</v>
      </c>
      <c r="AO50" s="22">
        <f t="shared" si="213"/>
        <v>65</v>
      </c>
      <c r="AP50" s="22">
        <f t="shared" si="213"/>
        <v>65</v>
      </c>
      <c r="AQ50" s="22">
        <f t="shared" si="213"/>
        <v>65</v>
      </c>
      <c r="AR50" s="22">
        <f t="shared" si="213"/>
        <v>65</v>
      </c>
      <c r="AS50" s="22">
        <f t="shared" si="213"/>
        <v>65</v>
      </c>
      <c r="AT50" s="22">
        <f t="shared" si="213"/>
        <v>65</v>
      </c>
      <c r="AU50" s="22">
        <f t="shared" si="213"/>
        <v>65</v>
      </c>
      <c r="AV50" s="22">
        <f t="shared" si="213"/>
        <v>65</v>
      </c>
      <c r="AW50" s="22">
        <f t="shared" si="213"/>
        <v>65</v>
      </c>
      <c r="AX50" s="22">
        <f t="shared" ref="AX50" si="214">AW50</f>
        <v>65</v>
      </c>
      <c r="AY50" s="22">
        <f t="shared" ref="AY50" si="215">AX50</f>
        <v>65</v>
      </c>
      <c r="AZ50" s="22">
        <f t="shared" ref="AZ50" si="216">AY50</f>
        <v>65</v>
      </c>
      <c r="BA50" s="22">
        <f t="shared" ref="BA50" si="217">AZ50</f>
        <v>65</v>
      </c>
      <c r="BB50" s="22">
        <f t="shared" ref="BB50" si="218">BA50</f>
        <v>65</v>
      </c>
      <c r="BC50" s="22">
        <f t="shared" ref="BC50" si="219">BB50</f>
        <v>65</v>
      </c>
      <c r="BD50" s="22">
        <f t="shared" ref="BD50" si="220">BC50</f>
        <v>65</v>
      </c>
      <c r="BE50" s="22">
        <f t="shared" ref="BE50" si="221">BD50</f>
        <v>65</v>
      </c>
      <c r="BF50" s="22">
        <f t="shared" ref="BF50" si="222">BE50</f>
        <v>65</v>
      </c>
      <c r="BG50" s="22">
        <f t="shared" ref="BG50" si="223">BF50</f>
        <v>65</v>
      </c>
      <c r="BH50" s="22">
        <f t="shared" ref="BH50" si="224">BG50</f>
        <v>65</v>
      </c>
      <c r="BI50" s="22">
        <f t="shared" ref="BI50" si="225">BH50</f>
        <v>65</v>
      </c>
      <c r="BJ50" s="22">
        <f t="shared" ref="BJ50" si="226">BI50</f>
        <v>65</v>
      </c>
      <c r="BK50" s="22">
        <f t="shared" ref="BK50" si="227">BJ50</f>
        <v>65</v>
      </c>
      <c r="BL50" s="22">
        <f t="shared" ref="BL50" si="228">BK50</f>
        <v>65</v>
      </c>
      <c r="BM50" s="22">
        <f t="shared" ref="BM50" si="229">BL50</f>
        <v>65</v>
      </c>
      <c r="BN50" s="22">
        <f t="shared" ref="BN50" si="230">BM50</f>
        <v>65</v>
      </c>
      <c r="BO50" s="22">
        <f t="shared" ref="BO50" si="231">BN50</f>
        <v>65</v>
      </c>
      <c r="BP50" s="22">
        <f t="shared" ref="BP50" si="232">BO50</f>
        <v>65</v>
      </c>
      <c r="BQ50" s="22">
        <f t="shared" ref="BQ50" si="233">BP50</f>
        <v>65</v>
      </c>
      <c r="BR50" s="22">
        <f t="shared" ref="BR50" si="234">BQ50</f>
        <v>65</v>
      </c>
      <c r="BS50" s="22">
        <f t="shared" ref="BS50" si="235">BR50</f>
        <v>65</v>
      </c>
      <c r="BT50" s="22">
        <f t="shared" ref="BT50" si="236">BS50</f>
        <v>65</v>
      </c>
      <c r="BU50" s="22">
        <f t="shared" ref="BU50" si="237">BT50</f>
        <v>65</v>
      </c>
      <c r="BV50" s="22">
        <f t="shared" ref="BV50" si="238">BU50</f>
        <v>65</v>
      </c>
      <c r="BW50" s="22">
        <f t="shared" ref="BW50" si="239">BV50</f>
        <v>65</v>
      </c>
      <c r="BX50" s="22">
        <f t="shared" ref="BX50" si="240">BW50</f>
        <v>65</v>
      </c>
      <c r="BY50" s="22">
        <f t="shared" ref="BY50" si="241">BX50</f>
        <v>65</v>
      </c>
      <c r="BZ50" s="22">
        <f t="shared" ref="BZ50" si="242">BY50</f>
        <v>65</v>
      </c>
      <c r="CA50" s="22">
        <f t="shared" ref="CA50" si="243">BZ50</f>
        <v>65</v>
      </c>
      <c r="CB50" s="22">
        <f t="shared" ref="CB50" si="244">CA50</f>
        <v>65</v>
      </c>
      <c r="CC50" s="22">
        <f t="shared" ref="CC50" si="245">CB50</f>
        <v>65</v>
      </c>
      <c r="CD50" s="22">
        <f t="shared" ref="CD50" si="246">CC50</f>
        <v>65</v>
      </c>
      <c r="CE50" s="22">
        <f t="shared" ref="CE50" si="247">CD50</f>
        <v>65</v>
      </c>
      <c r="CF50" s="22">
        <f t="shared" ref="CF50" si="248">CE50</f>
        <v>65</v>
      </c>
      <c r="CG50" s="22">
        <f t="shared" ref="CG50" si="249">CF50</f>
        <v>65</v>
      </c>
      <c r="CH50" s="22">
        <f t="shared" ref="CH50" si="250">CG50</f>
        <v>65</v>
      </c>
      <c r="CI50" s="22">
        <f t="shared" ref="CI50" si="251">CH50</f>
        <v>65</v>
      </c>
      <c r="CJ50" s="22">
        <f t="shared" ref="CJ50" si="252">CI50</f>
        <v>65</v>
      </c>
      <c r="CK50" s="22">
        <f t="shared" ref="CK50" si="253">CJ50</f>
        <v>65</v>
      </c>
      <c r="CM50" s="10">
        <f t="shared" si="198"/>
        <v>0</v>
      </c>
      <c r="CN50" s="10">
        <f t="shared" si="198"/>
        <v>0</v>
      </c>
      <c r="CO50" s="10">
        <f t="shared" si="198"/>
        <v>500</v>
      </c>
      <c r="CP50" s="10">
        <f t="shared" si="198"/>
        <v>780</v>
      </c>
      <c r="CQ50" s="10">
        <f t="shared" si="198"/>
        <v>780</v>
      </c>
      <c r="CR50" s="10">
        <f t="shared" si="199"/>
        <v>780</v>
      </c>
      <c r="CS50" s="10">
        <f t="shared" si="199"/>
        <v>780</v>
      </c>
    </row>
    <row r="51" spans="2:97" outlineLevel="1" x14ac:dyDescent="0.2">
      <c r="B51" s="88" t="s">
        <v>17</v>
      </c>
      <c r="C51" s="92"/>
      <c r="D51" s="92"/>
      <c r="F51" s="94">
        <f t="shared" ref="F51:K51" si="254">SUM(F52:F54)</f>
        <v>0</v>
      </c>
      <c r="G51" s="94">
        <f t="shared" si="254"/>
        <v>0</v>
      </c>
      <c r="H51" s="94">
        <f t="shared" si="254"/>
        <v>0</v>
      </c>
      <c r="I51" s="94">
        <f t="shared" si="254"/>
        <v>0</v>
      </c>
      <c r="J51" s="94">
        <f t="shared" si="254"/>
        <v>0</v>
      </c>
      <c r="K51" s="94">
        <f t="shared" si="254"/>
        <v>0</v>
      </c>
      <c r="L51" s="94">
        <f>SUM(L52:L54)</f>
        <v>0</v>
      </c>
      <c r="M51" s="94">
        <f t="shared" ref="M51:AW51" si="255">SUM(M52:M54)</f>
        <v>0</v>
      </c>
      <c r="N51" s="94">
        <f t="shared" si="255"/>
        <v>0</v>
      </c>
      <c r="O51" s="94">
        <f t="shared" si="255"/>
        <v>0</v>
      </c>
      <c r="P51" s="94">
        <f t="shared" si="255"/>
        <v>0</v>
      </c>
      <c r="Q51" s="94">
        <f t="shared" si="255"/>
        <v>0</v>
      </c>
      <c r="R51" s="94">
        <f t="shared" si="255"/>
        <v>0</v>
      </c>
      <c r="S51" s="94">
        <f t="shared" si="255"/>
        <v>0</v>
      </c>
      <c r="T51" s="94">
        <f t="shared" si="255"/>
        <v>0</v>
      </c>
      <c r="U51" s="94">
        <f t="shared" si="255"/>
        <v>0</v>
      </c>
      <c r="V51" s="94">
        <f t="shared" si="255"/>
        <v>0</v>
      </c>
      <c r="W51" s="94">
        <f t="shared" si="255"/>
        <v>0</v>
      </c>
      <c r="X51" s="94">
        <f t="shared" si="255"/>
        <v>0</v>
      </c>
      <c r="Y51" s="94">
        <f t="shared" si="255"/>
        <v>0</v>
      </c>
      <c r="Z51" s="94">
        <f t="shared" si="255"/>
        <v>0</v>
      </c>
      <c r="AA51" s="94">
        <f t="shared" si="255"/>
        <v>0</v>
      </c>
      <c r="AB51" s="94">
        <f t="shared" si="255"/>
        <v>0</v>
      </c>
      <c r="AC51" s="94">
        <f t="shared" si="255"/>
        <v>0</v>
      </c>
      <c r="AD51" s="94">
        <f t="shared" si="255"/>
        <v>0</v>
      </c>
      <c r="AE51" s="94">
        <f t="shared" si="255"/>
        <v>0</v>
      </c>
      <c r="AF51" s="94">
        <f t="shared" si="255"/>
        <v>0</v>
      </c>
      <c r="AG51" s="94">
        <f t="shared" si="255"/>
        <v>0</v>
      </c>
      <c r="AH51" s="94">
        <f t="shared" si="255"/>
        <v>17</v>
      </c>
      <c r="AI51" s="94">
        <f t="shared" si="255"/>
        <v>17.34</v>
      </c>
      <c r="AJ51" s="94">
        <f t="shared" si="255"/>
        <v>18.207000000000001</v>
      </c>
      <c r="AK51" s="94">
        <f t="shared" si="255"/>
        <v>20.027699999999999</v>
      </c>
      <c r="AL51" s="94">
        <f t="shared" si="255"/>
        <v>25.954096707000009</v>
      </c>
      <c r="AM51" s="94">
        <f t="shared" si="255"/>
        <v>28.549506377700009</v>
      </c>
      <c r="AN51" s="94">
        <f t="shared" si="255"/>
        <v>31.404457015470019</v>
      </c>
      <c r="AO51" s="94">
        <f t="shared" si="255"/>
        <v>36.115125567790514</v>
      </c>
      <c r="AP51" s="94">
        <f t="shared" si="255"/>
        <v>36.476276823468424</v>
      </c>
      <c r="AQ51" s="94">
        <f t="shared" si="255"/>
        <v>36.841039591703108</v>
      </c>
      <c r="AR51" s="94">
        <f t="shared" si="255"/>
        <v>37.577860383537171</v>
      </c>
      <c r="AS51" s="94">
        <f t="shared" si="255"/>
        <v>38.329417591207914</v>
      </c>
      <c r="AT51" s="94">
        <f t="shared" si="255"/>
        <v>39.096005943032075</v>
      </c>
      <c r="AU51" s="94">
        <f t="shared" si="255"/>
        <v>39.486966002462388</v>
      </c>
      <c r="AV51" s="94">
        <f t="shared" si="255"/>
        <v>39.881835662487013</v>
      </c>
      <c r="AW51" s="94">
        <f t="shared" si="255"/>
        <v>40.280654019111886</v>
      </c>
      <c r="AX51" s="94">
        <f t="shared" ref="AX51:BU51" si="256">SUM(AX52:AX54)</f>
        <v>40.683460559303001</v>
      </c>
      <c r="AY51" s="94">
        <f t="shared" si="256"/>
        <v>41.497129770489067</v>
      </c>
      <c r="AZ51" s="94">
        <f t="shared" si="256"/>
        <v>42.32707236589885</v>
      </c>
      <c r="BA51" s="94">
        <f t="shared" si="256"/>
        <v>43.173613813216832</v>
      </c>
      <c r="BB51" s="94">
        <f t="shared" si="256"/>
        <v>43.605349951348998</v>
      </c>
      <c r="BC51" s="94">
        <f t="shared" si="256"/>
        <v>44.041403450862489</v>
      </c>
      <c r="BD51" s="94">
        <f t="shared" si="256"/>
        <v>44.922231519879745</v>
      </c>
      <c r="BE51" s="94">
        <f t="shared" si="256"/>
        <v>45.820676150277336</v>
      </c>
      <c r="BF51" s="94">
        <f t="shared" si="256"/>
        <v>46.737089673282888</v>
      </c>
      <c r="BG51" s="94">
        <f t="shared" si="256"/>
        <v>47.204460570015726</v>
      </c>
      <c r="BH51" s="94">
        <f t="shared" si="256"/>
        <v>47.676505175715882</v>
      </c>
      <c r="BI51" s="94">
        <f t="shared" si="256"/>
        <v>48.153270227473044</v>
      </c>
      <c r="BJ51" s="94">
        <f t="shared" si="256"/>
        <v>48.634802929747771</v>
      </c>
      <c r="BK51" s="94">
        <f t="shared" si="256"/>
        <v>49.607498988342726</v>
      </c>
      <c r="BL51" s="94">
        <f t="shared" si="256"/>
        <v>50.599648968109577</v>
      </c>
      <c r="BM51" s="94">
        <f t="shared" si="256"/>
        <v>51.611641947471782</v>
      </c>
      <c r="BN51" s="94">
        <f t="shared" si="256"/>
        <v>52.127758366946495</v>
      </c>
      <c r="BO51" s="94">
        <f t="shared" si="256"/>
        <v>52.649035950615954</v>
      </c>
      <c r="BP51" s="94">
        <f t="shared" si="256"/>
        <v>53.702016669628271</v>
      </c>
      <c r="BQ51" s="94">
        <f t="shared" si="256"/>
        <v>54.776057003020838</v>
      </c>
      <c r="BR51" s="94">
        <f t="shared" si="256"/>
        <v>55.871578143081251</v>
      </c>
      <c r="BS51" s="94">
        <f t="shared" si="256"/>
        <v>56.430293924512071</v>
      </c>
      <c r="BT51" s="94">
        <f t="shared" si="256"/>
        <v>56.994596863757188</v>
      </c>
      <c r="BU51" s="94">
        <f t="shared" si="256"/>
        <v>57.564542832394764</v>
      </c>
      <c r="BV51" s="94">
        <f t="shared" ref="BV51:BX51" si="257">SUM(BV52:BV54)</f>
        <v>58.140188260718716</v>
      </c>
      <c r="BW51" s="94">
        <f t="shared" si="257"/>
        <v>59.302992025933094</v>
      </c>
      <c r="BX51" s="94">
        <f t="shared" si="257"/>
        <v>60.489051866451746</v>
      </c>
      <c r="BY51" s="94">
        <f t="shared" ref="BY51:CK51" si="258">SUM(BY52:BY54)</f>
        <v>61.698832903780783</v>
      </c>
      <c r="BZ51" s="94">
        <f t="shared" si="258"/>
        <v>62.932809561856402</v>
      </c>
      <c r="CA51" s="94">
        <f t="shared" si="258"/>
        <v>64.191465753093539</v>
      </c>
      <c r="CB51" s="94">
        <f t="shared" si="258"/>
        <v>65.475295068155404</v>
      </c>
      <c r="CC51" s="94">
        <f t="shared" si="258"/>
        <v>66.7848009695185</v>
      </c>
      <c r="CD51" s="94">
        <f t="shared" si="258"/>
        <v>68.120496988908869</v>
      </c>
      <c r="CE51" s="94">
        <f t="shared" si="258"/>
        <v>69.482906928687058</v>
      </c>
      <c r="CF51" s="94">
        <f t="shared" si="258"/>
        <v>70.872565067260808</v>
      </c>
      <c r="CG51" s="94">
        <f t="shared" si="258"/>
        <v>72.290016368606018</v>
      </c>
      <c r="CH51" s="94">
        <f t="shared" si="258"/>
        <v>73.735816695978144</v>
      </c>
      <c r="CI51" s="94">
        <f t="shared" si="258"/>
        <v>75.210533029897704</v>
      </c>
      <c r="CJ51" s="94">
        <f t="shared" si="258"/>
        <v>76.714743690495666</v>
      </c>
      <c r="CK51" s="94">
        <f t="shared" si="258"/>
        <v>78.249038564305579</v>
      </c>
      <c r="CM51" s="94">
        <f t="shared" si="198"/>
        <v>0</v>
      </c>
      <c r="CN51" s="94">
        <f t="shared" si="198"/>
        <v>0</v>
      </c>
      <c r="CO51" s="94">
        <f t="shared" si="198"/>
        <v>194.59788566796055</v>
      </c>
      <c r="CP51" s="94">
        <f t="shared" si="198"/>
        <v>475.65133252591767</v>
      </c>
      <c r="CQ51" s="94">
        <f t="shared" si="198"/>
        <v>568.61457955252797</v>
      </c>
      <c r="CR51" s="94">
        <f t="shared" si="199"/>
        <v>679.74694481084111</v>
      </c>
      <c r="CS51" s="94">
        <f t="shared" si="199"/>
        <v>844.06048868676373</v>
      </c>
    </row>
    <row r="52" spans="2:97" outlineLevel="2" x14ac:dyDescent="0.2">
      <c r="B52" s="95" t="s">
        <v>40</v>
      </c>
      <c r="C52" s="92" t="s">
        <v>39</v>
      </c>
      <c r="D52" s="104">
        <v>0.04</v>
      </c>
      <c r="F52" s="22"/>
      <c r="G52" s="22"/>
      <c r="H52" s="22"/>
      <c r="I52" s="22"/>
      <c r="J52" s="22"/>
      <c r="K52" s="22"/>
      <c r="L52" s="22"/>
      <c r="M52" s="22"/>
      <c r="N52" s="22"/>
      <c r="O52" s="22"/>
      <c r="P52" s="22"/>
      <c r="Q52" s="22"/>
      <c r="R52" s="22"/>
      <c r="S52" s="22">
        <f t="shared" ref="S52:CK53" si="259">S$39*$D52</f>
        <v>0</v>
      </c>
      <c r="T52" s="22">
        <f t="shared" si="259"/>
        <v>0</v>
      </c>
      <c r="U52" s="22">
        <f t="shared" si="259"/>
        <v>0</v>
      </c>
      <c r="V52" s="22">
        <f t="shared" si="259"/>
        <v>0</v>
      </c>
      <c r="W52" s="22">
        <f t="shared" si="259"/>
        <v>0</v>
      </c>
      <c r="X52" s="22">
        <f t="shared" si="259"/>
        <v>0</v>
      </c>
      <c r="Y52" s="22">
        <f t="shared" si="259"/>
        <v>0</v>
      </c>
      <c r="Z52" s="22">
        <f t="shared" si="259"/>
        <v>0</v>
      </c>
      <c r="AA52" s="22">
        <f t="shared" si="259"/>
        <v>0</v>
      </c>
      <c r="AB52" s="22">
        <f t="shared" si="259"/>
        <v>0</v>
      </c>
      <c r="AC52" s="22">
        <f t="shared" si="259"/>
        <v>0</v>
      </c>
      <c r="AD52" s="22">
        <f t="shared" si="259"/>
        <v>0</v>
      </c>
      <c r="AE52" s="22">
        <f t="shared" si="259"/>
        <v>0</v>
      </c>
      <c r="AF52" s="22">
        <f t="shared" si="259"/>
        <v>0</v>
      </c>
      <c r="AG52" s="22">
        <f t="shared" si="259"/>
        <v>0</v>
      </c>
      <c r="AH52" s="22">
        <f t="shared" si="259"/>
        <v>13.6</v>
      </c>
      <c r="AI52" s="22">
        <f t="shared" si="259"/>
        <v>13.872</v>
      </c>
      <c r="AJ52" s="22">
        <f t="shared" si="259"/>
        <v>14.5656</v>
      </c>
      <c r="AK52" s="22">
        <f t="shared" si="259"/>
        <v>16.02216</v>
      </c>
      <c r="AL52" s="22">
        <f t="shared" si="259"/>
        <v>20.763277365600008</v>
      </c>
      <c r="AM52" s="22">
        <f t="shared" si="259"/>
        <v>22.839605102160007</v>
      </c>
      <c r="AN52" s="22">
        <f t="shared" si="259"/>
        <v>25.123565612376016</v>
      </c>
      <c r="AO52" s="22">
        <f t="shared" si="259"/>
        <v>28.892100454232413</v>
      </c>
      <c r="AP52" s="22">
        <f t="shared" si="259"/>
        <v>29.18102145877474</v>
      </c>
      <c r="AQ52" s="22">
        <f t="shared" si="259"/>
        <v>29.472831673362489</v>
      </c>
      <c r="AR52" s="22">
        <f t="shared" si="259"/>
        <v>30.062288306829739</v>
      </c>
      <c r="AS52" s="22">
        <f t="shared" si="259"/>
        <v>30.663534072966332</v>
      </c>
      <c r="AT52" s="22">
        <f t="shared" si="259"/>
        <v>31.276804754425658</v>
      </c>
      <c r="AU52" s="22">
        <f t="shared" si="259"/>
        <v>31.589572801969911</v>
      </c>
      <c r="AV52" s="22">
        <f t="shared" si="259"/>
        <v>31.905468529989612</v>
      </c>
      <c r="AW52" s="22">
        <f t="shared" si="259"/>
        <v>32.224523215289508</v>
      </c>
      <c r="AX52" s="22">
        <f t="shared" si="259"/>
        <v>32.546768447442403</v>
      </c>
      <c r="AY52" s="22">
        <f t="shared" si="259"/>
        <v>33.197703816391254</v>
      </c>
      <c r="AZ52" s="22">
        <f t="shared" si="259"/>
        <v>33.86165789271908</v>
      </c>
      <c r="BA52" s="22">
        <f t="shared" si="259"/>
        <v>34.538891050573469</v>
      </c>
      <c r="BB52" s="22">
        <f t="shared" si="259"/>
        <v>34.884279961079201</v>
      </c>
      <c r="BC52" s="22">
        <f t="shared" si="259"/>
        <v>35.233122760689994</v>
      </c>
      <c r="BD52" s="22">
        <f t="shared" si="259"/>
        <v>35.937785215903794</v>
      </c>
      <c r="BE52" s="22">
        <f t="shared" si="259"/>
        <v>36.656540920221872</v>
      </c>
      <c r="BF52" s="22">
        <f t="shared" si="259"/>
        <v>37.389671738626312</v>
      </c>
      <c r="BG52" s="22">
        <f t="shared" si="259"/>
        <v>37.763568456012578</v>
      </c>
      <c r="BH52" s="22">
        <f t="shared" si="259"/>
        <v>38.141204140572704</v>
      </c>
      <c r="BI52" s="22">
        <f t="shared" si="259"/>
        <v>38.522616181978435</v>
      </c>
      <c r="BJ52" s="22">
        <f t="shared" si="259"/>
        <v>38.907842343798215</v>
      </c>
      <c r="BK52" s="22">
        <f t="shared" si="259"/>
        <v>39.685999190674181</v>
      </c>
      <c r="BL52" s="22">
        <f t="shared" si="259"/>
        <v>40.479719174487663</v>
      </c>
      <c r="BM52" s="22">
        <f t="shared" si="259"/>
        <v>41.289313557977422</v>
      </c>
      <c r="BN52" s="22">
        <f t="shared" si="259"/>
        <v>41.702206693557194</v>
      </c>
      <c r="BO52" s="22">
        <f t="shared" si="259"/>
        <v>42.11922876049276</v>
      </c>
      <c r="BP52" s="22">
        <f t="shared" si="259"/>
        <v>42.961613335702616</v>
      </c>
      <c r="BQ52" s="22">
        <f t="shared" si="259"/>
        <v>43.820845602416668</v>
      </c>
      <c r="BR52" s="22">
        <f t="shared" si="259"/>
        <v>44.697262514465002</v>
      </c>
      <c r="BS52" s="22">
        <f t="shared" si="259"/>
        <v>45.144235139609656</v>
      </c>
      <c r="BT52" s="22">
        <f t="shared" si="259"/>
        <v>45.595677491005752</v>
      </c>
      <c r="BU52" s="22">
        <f t="shared" si="259"/>
        <v>46.051634265915808</v>
      </c>
      <c r="BV52" s="22">
        <f t="shared" si="259"/>
        <v>46.51215060857497</v>
      </c>
      <c r="BW52" s="22">
        <f t="shared" si="259"/>
        <v>47.442393620746472</v>
      </c>
      <c r="BX52" s="22">
        <f t="shared" si="259"/>
        <v>48.391241493161395</v>
      </c>
      <c r="BY52" s="22">
        <f t="shared" si="259"/>
        <v>49.359066323024628</v>
      </c>
      <c r="BZ52" s="22">
        <f t="shared" si="259"/>
        <v>50.346247649485122</v>
      </c>
      <c r="CA52" s="22">
        <f t="shared" si="259"/>
        <v>51.353172602474828</v>
      </c>
      <c r="CB52" s="22">
        <f t="shared" si="259"/>
        <v>52.380236054524325</v>
      </c>
      <c r="CC52" s="22">
        <f t="shared" si="259"/>
        <v>53.427840775614804</v>
      </c>
      <c r="CD52" s="22">
        <f t="shared" si="259"/>
        <v>54.496397591127099</v>
      </c>
      <c r="CE52" s="22">
        <f t="shared" si="259"/>
        <v>55.586325542949645</v>
      </c>
      <c r="CF52" s="22">
        <f t="shared" si="259"/>
        <v>56.698052053808645</v>
      </c>
      <c r="CG52" s="22">
        <f t="shared" si="259"/>
        <v>57.832013094884815</v>
      </c>
      <c r="CH52" s="22">
        <f t="shared" si="259"/>
        <v>58.988653356782514</v>
      </c>
      <c r="CI52" s="22">
        <f t="shared" si="259"/>
        <v>60.168426423918163</v>
      </c>
      <c r="CJ52" s="22">
        <f t="shared" si="259"/>
        <v>61.371794952396534</v>
      </c>
      <c r="CK52" s="22">
        <f t="shared" si="259"/>
        <v>62.599230851444467</v>
      </c>
      <c r="CM52" s="10">
        <f t="shared" si="198"/>
        <v>0</v>
      </c>
      <c r="CN52" s="10">
        <f t="shared" si="198"/>
        <v>0</v>
      </c>
      <c r="CO52" s="10">
        <f t="shared" si="198"/>
        <v>155.67830853436843</v>
      </c>
      <c r="CP52" s="10">
        <f t="shared" si="198"/>
        <v>380.52106602073417</v>
      </c>
      <c r="CQ52" s="10">
        <f t="shared" si="198"/>
        <v>454.89166364202242</v>
      </c>
      <c r="CR52" s="10">
        <f t="shared" si="199"/>
        <v>543.79755584867291</v>
      </c>
      <c r="CS52" s="10">
        <f t="shared" si="199"/>
        <v>675.2483909494108</v>
      </c>
    </row>
    <row r="53" spans="2:97" outlineLevel="2" x14ac:dyDescent="0.2">
      <c r="B53" s="95" t="s">
        <v>41</v>
      </c>
      <c r="C53" s="92" t="s">
        <v>39</v>
      </c>
      <c r="D53" s="104">
        <v>0.01</v>
      </c>
      <c r="S53" s="22">
        <f>S$39*$D53</f>
        <v>0</v>
      </c>
      <c r="T53" s="22">
        <f t="shared" si="259"/>
        <v>0</v>
      </c>
      <c r="U53" s="22">
        <f t="shared" si="259"/>
        <v>0</v>
      </c>
      <c r="V53" s="22">
        <f t="shared" si="259"/>
        <v>0</v>
      </c>
      <c r="W53" s="22">
        <f t="shared" si="259"/>
        <v>0</v>
      </c>
      <c r="X53" s="22">
        <f t="shared" si="259"/>
        <v>0</v>
      </c>
      <c r="Y53" s="22">
        <f t="shared" si="259"/>
        <v>0</v>
      </c>
      <c r="Z53" s="22">
        <f t="shared" si="259"/>
        <v>0</v>
      </c>
      <c r="AA53" s="22">
        <f t="shared" si="259"/>
        <v>0</v>
      </c>
      <c r="AB53" s="22">
        <f t="shared" si="259"/>
        <v>0</v>
      </c>
      <c r="AC53" s="22">
        <f t="shared" si="259"/>
        <v>0</v>
      </c>
      <c r="AD53" s="22">
        <f t="shared" si="259"/>
        <v>0</v>
      </c>
      <c r="AE53" s="22">
        <f t="shared" si="259"/>
        <v>0</v>
      </c>
      <c r="AF53" s="22">
        <f t="shared" si="259"/>
        <v>0</v>
      </c>
      <c r="AG53" s="22">
        <f t="shared" si="259"/>
        <v>0</v>
      </c>
      <c r="AH53" s="22">
        <f t="shared" si="259"/>
        <v>3.4</v>
      </c>
      <c r="AI53" s="22">
        <f t="shared" si="259"/>
        <v>3.468</v>
      </c>
      <c r="AJ53" s="22">
        <f t="shared" si="259"/>
        <v>3.6414</v>
      </c>
      <c r="AK53" s="22">
        <f t="shared" si="259"/>
        <v>4.0055399999999999</v>
      </c>
      <c r="AL53" s="22">
        <f t="shared" si="259"/>
        <v>5.1908193414000019</v>
      </c>
      <c r="AM53" s="22">
        <f t="shared" si="259"/>
        <v>5.7099012755400018</v>
      </c>
      <c r="AN53" s="22">
        <f t="shared" si="259"/>
        <v>6.280891403094004</v>
      </c>
      <c r="AO53" s="22">
        <f t="shared" si="259"/>
        <v>7.2230251135581032</v>
      </c>
      <c r="AP53" s="22">
        <f t="shared" si="259"/>
        <v>7.2952553646936851</v>
      </c>
      <c r="AQ53" s="22">
        <f t="shared" si="259"/>
        <v>7.3682079183406222</v>
      </c>
      <c r="AR53" s="22">
        <f t="shared" si="259"/>
        <v>7.5155720767074348</v>
      </c>
      <c r="AS53" s="22">
        <f t="shared" si="259"/>
        <v>7.665883518241583</v>
      </c>
      <c r="AT53" s="22">
        <f t="shared" si="259"/>
        <v>7.8192011886064146</v>
      </c>
      <c r="AU53" s="22">
        <f t="shared" si="259"/>
        <v>7.8973932004924778</v>
      </c>
      <c r="AV53" s="22">
        <f t="shared" si="259"/>
        <v>7.976367132497403</v>
      </c>
      <c r="AW53" s="22">
        <f t="shared" si="259"/>
        <v>8.0561308038223771</v>
      </c>
      <c r="AX53" s="22">
        <f t="shared" si="259"/>
        <v>8.1366921118606008</v>
      </c>
      <c r="AY53" s="22">
        <f t="shared" si="259"/>
        <v>8.2994259540978135</v>
      </c>
      <c r="AZ53" s="22">
        <f t="shared" si="259"/>
        <v>8.46541447317977</v>
      </c>
      <c r="BA53" s="22">
        <f t="shared" si="259"/>
        <v>8.6347227626433671</v>
      </c>
      <c r="BB53" s="22">
        <f t="shared" si="259"/>
        <v>8.7210699902698003</v>
      </c>
      <c r="BC53" s="22">
        <f t="shared" si="259"/>
        <v>8.8082806901724986</v>
      </c>
      <c r="BD53" s="22">
        <f t="shared" si="259"/>
        <v>8.9844463039759486</v>
      </c>
      <c r="BE53" s="22">
        <f t="shared" si="259"/>
        <v>9.1641352300554679</v>
      </c>
      <c r="BF53" s="22">
        <f t="shared" si="259"/>
        <v>9.347417934656578</v>
      </c>
      <c r="BG53" s="22">
        <f t="shared" si="259"/>
        <v>9.4408921140031445</v>
      </c>
      <c r="BH53" s="22">
        <f t="shared" si="259"/>
        <v>9.535301035143176</v>
      </c>
      <c r="BI53" s="22">
        <f t="shared" si="259"/>
        <v>9.6306540454946088</v>
      </c>
      <c r="BJ53" s="22">
        <f t="shared" si="259"/>
        <v>9.7269605859495538</v>
      </c>
      <c r="BK53" s="22">
        <f t="shared" si="259"/>
        <v>9.9214997976685453</v>
      </c>
      <c r="BL53" s="22">
        <f t="shared" si="259"/>
        <v>10.119929793621916</v>
      </c>
      <c r="BM53" s="22">
        <f t="shared" si="259"/>
        <v>10.322328389494356</v>
      </c>
      <c r="BN53" s="22">
        <f t="shared" si="259"/>
        <v>10.425551673389299</v>
      </c>
      <c r="BO53" s="22">
        <f t="shared" si="259"/>
        <v>10.52980719012319</v>
      </c>
      <c r="BP53" s="22">
        <f t="shared" si="259"/>
        <v>10.740403333925654</v>
      </c>
      <c r="BQ53" s="22">
        <f t="shared" si="259"/>
        <v>10.955211400604167</v>
      </c>
      <c r="BR53" s="22">
        <f t="shared" si="259"/>
        <v>11.174315628616251</v>
      </c>
      <c r="BS53" s="22">
        <f t="shared" si="259"/>
        <v>11.286058784902414</v>
      </c>
      <c r="BT53" s="22">
        <f t="shared" si="259"/>
        <v>11.398919372751438</v>
      </c>
      <c r="BU53" s="22">
        <f t="shared" si="259"/>
        <v>11.512908566478952</v>
      </c>
      <c r="BV53" s="22">
        <f t="shared" si="259"/>
        <v>11.628037652143743</v>
      </c>
      <c r="BW53" s="22">
        <f t="shared" si="259"/>
        <v>11.860598405186618</v>
      </c>
      <c r="BX53" s="22">
        <f t="shared" si="259"/>
        <v>12.097810373290349</v>
      </c>
      <c r="BY53" s="22">
        <f t="shared" si="259"/>
        <v>12.339766580756157</v>
      </c>
      <c r="BZ53" s="22">
        <f t="shared" si="259"/>
        <v>12.58656191237128</v>
      </c>
      <c r="CA53" s="22">
        <f t="shared" si="259"/>
        <v>12.838293150618707</v>
      </c>
      <c r="CB53" s="22">
        <f t="shared" si="259"/>
        <v>13.095059013631081</v>
      </c>
      <c r="CC53" s="22">
        <f t="shared" si="259"/>
        <v>13.356960193903701</v>
      </c>
      <c r="CD53" s="22">
        <f t="shared" si="259"/>
        <v>13.624099397781775</v>
      </c>
      <c r="CE53" s="22">
        <f t="shared" si="259"/>
        <v>13.896581385737411</v>
      </c>
      <c r="CF53" s="22">
        <f t="shared" si="259"/>
        <v>14.174513013452161</v>
      </c>
      <c r="CG53" s="22">
        <f t="shared" si="259"/>
        <v>14.458003273721204</v>
      </c>
      <c r="CH53" s="22">
        <f t="shared" si="259"/>
        <v>14.747163339195628</v>
      </c>
      <c r="CI53" s="22">
        <f t="shared" si="259"/>
        <v>15.042106605979541</v>
      </c>
      <c r="CJ53" s="22">
        <f t="shared" si="259"/>
        <v>15.342948738099134</v>
      </c>
      <c r="CK53" s="22">
        <f t="shared" si="259"/>
        <v>15.649807712861117</v>
      </c>
      <c r="CM53" s="10">
        <f t="shared" si="198"/>
        <v>0</v>
      </c>
      <c r="CN53" s="10">
        <f t="shared" si="198"/>
        <v>0</v>
      </c>
      <c r="CO53" s="10">
        <f t="shared" si="198"/>
        <v>38.919577133592107</v>
      </c>
      <c r="CP53" s="10">
        <f t="shared" si="198"/>
        <v>95.130266505183542</v>
      </c>
      <c r="CQ53" s="10">
        <f t="shared" si="198"/>
        <v>113.72291591050561</v>
      </c>
      <c r="CR53" s="10">
        <f t="shared" si="199"/>
        <v>135.94938896216823</v>
      </c>
      <c r="CS53" s="10">
        <f t="shared" si="199"/>
        <v>168.8120977373527</v>
      </c>
    </row>
    <row r="54" spans="2:97" hidden="1" outlineLevel="2" x14ac:dyDescent="0.2">
      <c r="B54" s="228" t="s">
        <v>18</v>
      </c>
      <c r="C54" s="92"/>
      <c r="D54" s="92"/>
      <c r="CM54" s="10">
        <f t="shared" ref="CM54:CQ59" si="260">SUMIF($L$2:$CK$2,CM$3,$L54:$CK54)</f>
        <v>0</v>
      </c>
      <c r="CN54" s="10">
        <f t="shared" si="260"/>
        <v>0</v>
      </c>
      <c r="CO54" s="10">
        <f t="shared" si="260"/>
        <v>0</v>
      </c>
      <c r="CP54" s="10">
        <f t="shared" si="260"/>
        <v>0</v>
      </c>
      <c r="CQ54" s="10">
        <f t="shared" si="260"/>
        <v>0</v>
      </c>
      <c r="CR54" s="10">
        <f t="shared" si="199"/>
        <v>0</v>
      </c>
      <c r="CS54" s="10">
        <f t="shared" si="199"/>
        <v>0</v>
      </c>
    </row>
    <row r="55" spans="2:97" outlineLevel="1" x14ac:dyDescent="0.2">
      <c r="B55" s="88" t="s">
        <v>19</v>
      </c>
      <c r="C55" s="92"/>
      <c r="D55" s="92"/>
      <c r="F55" s="94">
        <f t="shared" ref="F55:K55" si="261">SUM(F56:F59)</f>
        <v>0</v>
      </c>
      <c r="G55" s="94">
        <f t="shared" si="261"/>
        <v>0</v>
      </c>
      <c r="H55" s="94">
        <f t="shared" si="261"/>
        <v>0</v>
      </c>
      <c r="I55" s="94">
        <f t="shared" si="261"/>
        <v>0</v>
      </c>
      <c r="J55" s="94">
        <f t="shared" si="261"/>
        <v>0</v>
      </c>
      <c r="K55" s="94">
        <f t="shared" si="261"/>
        <v>0</v>
      </c>
      <c r="L55" s="94">
        <f t="shared" ref="L55:AQ55" si="262">SUM(L56:L59)</f>
        <v>0</v>
      </c>
      <c r="M55" s="94">
        <f t="shared" si="262"/>
        <v>0</v>
      </c>
      <c r="N55" s="94">
        <f t="shared" si="262"/>
        <v>0</v>
      </c>
      <c r="O55" s="94">
        <f t="shared" si="262"/>
        <v>0</v>
      </c>
      <c r="P55" s="94">
        <f t="shared" si="262"/>
        <v>0</v>
      </c>
      <c r="Q55" s="94">
        <f t="shared" si="262"/>
        <v>0</v>
      </c>
      <c r="R55" s="94">
        <f t="shared" si="262"/>
        <v>0</v>
      </c>
      <c r="S55" s="94">
        <f t="shared" si="262"/>
        <v>0</v>
      </c>
      <c r="T55" s="94">
        <f t="shared" si="262"/>
        <v>0</v>
      </c>
      <c r="U55" s="94">
        <f t="shared" si="262"/>
        <v>0</v>
      </c>
      <c r="V55" s="94">
        <f t="shared" si="262"/>
        <v>0</v>
      </c>
      <c r="W55" s="94">
        <f t="shared" si="262"/>
        <v>0</v>
      </c>
      <c r="X55" s="94">
        <f t="shared" si="262"/>
        <v>0</v>
      </c>
      <c r="Y55" s="94">
        <f t="shared" si="262"/>
        <v>0</v>
      </c>
      <c r="Z55" s="94">
        <f t="shared" si="262"/>
        <v>0</v>
      </c>
      <c r="AA55" s="94">
        <f t="shared" si="262"/>
        <v>0</v>
      </c>
      <c r="AB55" s="94">
        <f t="shared" si="262"/>
        <v>0</v>
      </c>
      <c r="AC55" s="94">
        <f t="shared" si="262"/>
        <v>0</v>
      </c>
      <c r="AD55" s="94">
        <f t="shared" si="262"/>
        <v>0</v>
      </c>
      <c r="AE55" s="94">
        <f t="shared" si="262"/>
        <v>0</v>
      </c>
      <c r="AF55" s="94">
        <f t="shared" si="262"/>
        <v>0</v>
      </c>
      <c r="AG55" s="94">
        <f t="shared" si="262"/>
        <v>0</v>
      </c>
      <c r="AH55" s="94">
        <f t="shared" si="262"/>
        <v>206.79999999999998</v>
      </c>
      <c r="AI55" s="94">
        <f t="shared" si="262"/>
        <v>506.93599999999998</v>
      </c>
      <c r="AJ55" s="94">
        <f t="shared" si="262"/>
        <v>507.28280000000001</v>
      </c>
      <c r="AK55" s="94">
        <f t="shared" si="262"/>
        <v>508.01107999999999</v>
      </c>
      <c r="AL55" s="94">
        <f t="shared" si="262"/>
        <v>210.3816386828</v>
      </c>
      <c r="AM55" s="94">
        <f t="shared" si="262"/>
        <v>28.549506377700013</v>
      </c>
      <c r="AN55" s="94">
        <f t="shared" si="262"/>
        <v>31.404457015470015</v>
      </c>
      <c r="AO55" s="94">
        <f t="shared" si="262"/>
        <v>36.115125567790521</v>
      </c>
      <c r="AP55" s="94">
        <f t="shared" si="262"/>
        <v>36.476276823468424</v>
      </c>
      <c r="AQ55" s="94">
        <f t="shared" si="262"/>
        <v>36.841039591703108</v>
      </c>
      <c r="AR55" s="94">
        <f t="shared" ref="AR55:BU55" si="263">SUM(AR56:AR59)</f>
        <v>37.577860383537171</v>
      </c>
      <c r="AS55" s="94">
        <f t="shared" si="263"/>
        <v>38.329417591207914</v>
      </c>
      <c r="AT55" s="94">
        <f t="shared" si="263"/>
        <v>39.096005943032068</v>
      </c>
      <c r="AU55" s="94">
        <f t="shared" si="263"/>
        <v>39.486966002462388</v>
      </c>
      <c r="AV55" s="94">
        <f t="shared" si="263"/>
        <v>39.881835662487013</v>
      </c>
      <c r="AW55" s="94">
        <f t="shared" si="263"/>
        <v>40.280654019111893</v>
      </c>
      <c r="AX55" s="94">
        <f t="shared" si="263"/>
        <v>40.683460559303001</v>
      </c>
      <c r="AY55" s="94">
        <f t="shared" si="263"/>
        <v>41.497129770489067</v>
      </c>
      <c r="AZ55" s="94">
        <f t="shared" si="263"/>
        <v>42.327072365898857</v>
      </c>
      <c r="BA55" s="94">
        <f t="shared" si="263"/>
        <v>43.173613813216832</v>
      </c>
      <c r="BB55" s="94">
        <f t="shared" si="263"/>
        <v>43.605349951348998</v>
      </c>
      <c r="BC55" s="94">
        <f t="shared" si="263"/>
        <v>44.041403450862489</v>
      </c>
      <c r="BD55" s="94">
        <f t="shared" si="263"/>
        <v>44.922231519879745</v>
      </c>
      <c r="BE55" s="94">
        <f t="shared" si="263"/>
        <v>45.820676150277336</v>
      </c>
      <c r="BF55" s="94">
        <f t="shared" si="263"/>
        <v>46.737089673282888</v>
      </c>
      <c r="BG55" s="94">
        <f t="shared" si="263"/>
        <v>47.204460570015719</v>
      </c>
      <c r="BH55" s="94">
        <f t="shared" si="263"/>
        <v>47.676505175715882</v>
      </c>
      <c r="BI55" s="94">
        <f t="shared" si="263"/>
        <v>48.153270227473037</v>
      </c>
      <c r="BJ55" s="94">
        <f t="shared" si="263"/>
        <v>48.634802929747771</v>
      </c>
      <c r="BK55" s="94">
        <f t="shared" si="263"/>
        <v>49.607498988342719</v>
      </c>
      <c r="BL55" s="94">
        <f t="shared" si="263"/>
        <v>50.599648968109584</v>
      </c>
      <c r="BM55" s="94">
        <f t="shared" si="263"/>
        <v>51.611641947471774</v>
      </c>
      <c r="BN55" s="94">
        <f t="shared" si="263"/>
        <v>52.127758366946487</v>
      </c>
      <c r="BO55" s="94">
        <f t="shared" si="263"/>
        <v>52.649035950615954</v>
      </c>
      <c r="BP55" s="94">
        <f t="shared" si="263"/>
        <v>53.702016669628264</v>
      </c>
      <c r="BQ55" s="94">
        <f t="shared" si="263"/>
        <v>54.776057003020831</v>
      </c>
      <c r="BR55" s="94">
        <f t="shared" si="263"/>
        <v>55.871578143081251</v>
      </c>
      <c r="BS55" s="94">
        <f t="shared" si="263"/>
        <v>56.430293924512064</v>
      </c>
      <c r="BT55" s="94">
        <f t="shared" si="263"/>
        <v>56.994596863757195</v>
      </c>
      <c r="BU55" s="94">
        <f t="shared" si="263"/>
        <v>57.564542832394757</v>
      </c>
      <c r="BV55" s="94">
        <f t="shared" ref="BV55:BX55" si="264">SUM(BV56:BV59)</f>
        <v>58.140188260718709</v>
      </c>
      <c r="BW55" s="94">
        <f t="shared" si="264"/>
        <v>59.302992025933086</v>
      </c>
      <c r="BX55" s="94">
        <f t="shared" si="264"/>
        <v>60.489051866451739</v>
      </c>
      <c r="BY55" s="94">
        <f t="shared" ref="BY55:CK55" si="265">SUM(BY56:BY59)</f>
        <v>61.698832903780783</v>
      </c>
      <c r="BZ55" s="94">
        <f t="shared" si="265"/>
        <v>62.932809561856402</v>
      </c>
      <c r="CA55" s="94">
        <f t="shared" si="265"/>
        <v>64.191465753093524</v>
      </c>
      <c r="CB55" s="94">
        <f t="shared" si="265"/>
        <v>65.475295068155404</v>
      </c>
      <c r="CC55" s="94">
        <f t="shared" si="265"/>
        <v>66.7848009695185</v>
      </c>
      <c r="CD55" s="94">
        <f t="shared" si="265"/>
        <v>68.120496988908869</v>
      </c>
      <c r="CE55" s="94">
        <f t="shared" si="265"/>
        <v>69.482906928687058</v>
      </c>
      <c r="CF55" s="94">
        <f t="shared" si="265"/>
        <v>70.872565067260808</v>
      </c>
      <c r="CG55" s="94">
        <f t="shared" si="265"/>
        <v>72.290016368606018</v>
      </c>
      <c r="CH55" s="94">
        <f t="shared" si="265"/>
        <v>73.73581669597813</v>
      </c>
      <c r="CI55" s="94">
        <f t="shared" si="265"/>
        <v>75.210533029897704</v>
      </c>
      <c r="CJ55" s="94">
        <f t="shared" si="265"/>
        <v>76.714743690495666</v>
      </c>
      <c r="CK55" s="94">
        <f t="shared" si="265"/>
        <v>78.249038564305579</v>
      </c>
      <c r="CM55" s="94">
        <f t="shared" si="260"/>
        <v>0</v>
      </c>
      <c r="CN55" s="94">
        <f t="shared" si="260"/>
        <v>0</v>
      </c>
      <c r="CO55" s="94">
        <f t="shared" si="260"/>
        <v>2035.4806076437605</v>
      </c>
      <c r="CP55" s="94">
        <f t="shared" si="260"/>
        <v>475.65133252591767</v>
      </c>
      <c r="CQ55" s="94">
        <f t="shared" si="260"/>
        <v>568.61457955252797</v>
      </c>
      <c r="CR55" s="94">
        <f t="shared" si="199"/>
        <v>679.74694481084111</v>
      </c>
      <c r="CS55" s="94">
        <f t="shared" si="199"/>
        <v>844.06048868676351</v>
      </c>
    </row>
    <row r="56" spans="2:97" outlineLevel="2" x14ac:dyDescent="0.2">
      <c r="B56" s="95" t="s">
        <v>20</v>
      </c>
      <c r="C56" s="92" t="s">
        <v>39</v>
      </c>
      <c r="D56" s="105">
        <v>5.0000000000000001E-3</v>
      </c>
      <c r="F56" s="22"/>
      <c r="G56" s="22"/>
      <c r="H56" s="22"/>
      <c r="I56" s="22"/>
      <c r="J56" s="22"/>
      <c r="K56" s="22"/>
      <c r="L56" s="22"/>
      <c r="M56" s="22"/>
      <c r="N56" s="22"/>
      <c r="O56" s="22"/>
      <c r="P56" s="22"/>
      <c r="Q56" s="22"/>
      <c r="R56" s="22"/>
      <c r="S56" s="22">
        <f t="shared" ref="S56:AH58" si="266">S$39*$D56</f>
        <v>0</v>
      </c>
      <c r="T56" s="22">
        <f t="shared" si="266"/>
        <v>0</v>
      </c>
      <c r="U56" s="22">
        <f t="shared" si="266"/>
        <v>0</v>
      </c>
      <c r="V56" s="22">
        <f t="shared" si="266"/>
        <v>0</v>
      </c>
      <c r="W56" s="22">
        <f t="shared" si="266"/>
        <v>0</v>
      </c>
      <c r="X56" s="22">
        <f t="shared" si="266"/>
        <v>0</v>
      </c>
      <c r="Y56" s="22">
        <f t="shared" si="266"/>
        <v>0</v>
      </c>
      <c r="Z56" s="22">
        <f t="shared" si="266"/>
        <v>0</v>
      </c>
      <c r="AA56" s="22">
        <f t="shared" si="266"/>
        <v>0</v>
      </c>
      <c r="AB56" s="22">
        <f t="shared" si="266"/>
        <v>0</v>
      </c>
      <c r="AC56" s="22">
        <f t="shared" si="266"/>
        <v>0</v>
      </c>
      <c r="AD56" s="22">
        <f t="shared" si="266"/>
        <v>0</v>
      </c>
      <c r="AE56" s="22">
        <f t="shared" si="266"/>
        <v>0</v>
      </c>
      <c r="AF56" s="22">
        <f t="shared" si="266"/>
        <v>0</v>
      </c>
      <c r="AG56" s="22">
        <f t="shared" si="266"/>
        <v>0</v>
      </c>
      <c r="AH56" s="22">
        <f t="shared" si="266"/>
        <v>1.7</v>
      </c>
      <c r="AI56" s="22">
        <f t="shared" ref="AI56:CK58" si="267">AI$39*$D56</f>
        <v>1.734</v>
      </c>
      <c r="AJ56" s="22">
        <f t="shared" si="267"/>
        <v>1.8207</v>
      </c>
      <c r="AK56" s="22">
        <f t="shared" si="267"/>
        <v>2.0027699999999999</v>
      </c>
      <c r="AL56" s="22">
        <f t="shared" si="267"/>
        <v>2.5954096707000009</v>
      </c>
      <c r="AM56" s="22">
        <f t="shared" si="267"/>
        <v>2.8549506377700009</v>
      </c>
      <c r="AN56" s="22">
        <f t="shared" si="267"/>
        <v>3.140445701547002</v>
      </c>
      <c r="AO56" s="22">
        <f t="shared" si="267"/>
        <v>3.6115125567790516</v>
      </c>
      <c r="AP56" s="22">
        <f t="shared" si="267"/>
        <v>3.6476276823468425</v>
      </c>
      <c r="AQ56" s="22">
        <f t="shared" si="267"/>
        <v>3.6841039591703111</v>
      </c>
      <c r="AR56" s="22">
        <f t="shared" si="267"/>
        <v>3.7577860383537174</v>
      </c>
      <c r="AS56" s="22">
        <f t="shared" si="267"/>
        <v>3.8329417591207915</v>
      </c>
      <c r="AT56" s="22">
        <f t="shared" si="267"/>
        <v>3.9096005943032073</v>
      </c>
      <c r="AU56" s="22">
        <f t="shared" si="267"/>
        <v>3.9486966002462389</v>
      </c>
      <c r="AV56" s="22">
        <f t="shared" si="267"/>
        <v>3.9881835662487015</v>
      </c>
      <c r="AW56" s="22">
        <f t="shared" si="267"/>
        <v>4.0280654019111886</v>
      </c>
      <c r="AX56" s="22">
        <f t="shared" si="267"/>
        <v>4.0683460559303004</v>
      </c>
      <c r="AY56" s="22">
        <f t="shared" si="267"/>
        <v>4.1497129770489067</v>
      </c>
      <c r="AZ56" s="22">
        <f t="shared" si="267"/>
        <v>4.232707236589885</v>
      </c>
      <c r="BA56" s="22">
        <f t="shared" si="267"/>
        <v>4.3173613813216836</v>
      </c>
      <c r="BB56" s="22">
        <f t="shared" si="267"/>
        <v>4.3605349951349002</v>
      </c>
      <c r="BC56" s="22">
        <f t="shared" si="267"/>
        <v>4.4041403450862493</v>
      </c>
      <c r="BD56" s="22">
        <f t="shared" si="267"/>
        <v>4.4922231519879743</v>
      </c>
      <c r="BE56" s="22">
        <f t="shared" si="267"/>
        <v>4.582067615027734</v>
      </c>
      <c r="BF56" s="22">
        <f t="shared" si="267"/>
        <v>4.673708967328289</v>
      </c>
      <c r="BG56" s="22">
        <f t="shared" si="267"/>
        <v>4.7204460570015723</v>
      </c>
      <c r="BH56" s="22">
        <f t="shared" si="267"/>
        <v>4.767650517571588</v>
      </c>
      <c r="BI56" s="22">
        <f t="shared" si="267"/>
        <v>4.8153270227473044</v>
      </c>
      <c r="BJ56" s="22">
        <f t="shared" si="267"/>
        <v>4.8634802929747769</v>
      </c>
      <c r="BK56" s="22">
        <f t="shared" si="267"/>
        <v>4.9607498988342726</v>
      </c>
      <c r="BL56" s="22">
        <f t="shared" si="267"/>
        <v>5.0599648968109578</v>
      </c>
      <c r="BM56" s="22">
        <f t="shared" si="267"/>
        <v>5.1611641947471778</v>
      </c>
      <c r="BN56" s="22">
        <f t="shared" si="267"/>
        <v>5.2127758366946493</v>
      </c>
      <c r="BO56" s="22">
        <f t="shared" si="267"/>
        <v>5.264903595061595</v>
      </c>
      <c r="BP56" s="22">
        <f t="shared" si="267"/>
        <v>5.370201666962827</v>
      </c>
      <c r="BQ56" s="22">
        <f t="shared" si="267"/>
        <v>5.4776057003020835</v>
      </c>
      <c r="BR56" s="22">
        <f t="shared" si="267"/>
        <v>5.5871578143081253</v>
      </c>
      <c r="BS56" s="22">
        <f t="shared" si="267"/>
        <v>5.6430293924512069</v>
      </c>
      <c r="BT56" s="22">
        <f t="shared" si="267"/>
        <v>5.699459686375719</v>
      </c>
      <c r="BU56" s="22">
        <f t="shared" si="267"/>
        <v>5.7564542832394761</v>
      </c>
      <c r="BV56" s="22">
        <f t="shared" si="267"/>
        <v>5.8140188260718713</v>
      </c>
      <c r="BW56" s="22">
        <f t="shared" si="267"/>
        <v>5.930299202593309</v>
      </c>
      <c r="BX56" s="22">
        <f t="shared" si="267"/>
        <v>6.0489051866451744</v>
      </c>
      <c r="BY56" s="22">
        <f t="shared" si="267"/>
        <v>6.1698832903780785</v>
      </c>
      <c r="BZ56" s="22">
        <f t="shared" si="267"/>
        <v>6.2932809561856402</v>
      </c>
      <c r="CA56" s="22">
        <f t="shared" si="267"/>
        <v>6.4191465753093535</v>
      </c>
      <c r="CB56" s="22">
        <f t="shared" si="267"/>
        <v>6.5475295068155406</v>
      </c>
      <c r="CC56" s="22">
        <f t="shared" si="267"/>
        <v>6.6784800969518505</v>
      </c>
      <c r="CD56" s="22">
        <f t="shared" si="267"/>
        <v>6.8120496988908874</v>
      </c>
      <c r="CE56" s="22">
        <f t="shared" si="267"/>
        <v>6.9482906928687056</v>
      </c>
      <c r="CF56" s="22">
        <f t="shared" si="267"/>
        <v>7.0872565067260807</v>
      </c>
      <c r="CG56" s="22">
        <f t="shared" si="267"/>
        <v>7.2290016368606018</v>
      </c>
      <c r="CH56" s="22">
        <f t="shared" si="267"/>
        <v>7.3735816695978142</v>
      </c>
      <c r="CI56" s="22">
        <f t="shared" si="267"/>
        <v>7.5210533029897704</v>
      </c>
      <c r="CJ56" s="22">
        <f t="shared" si="267"/>
        <v>7.6714743690495668</v>
      </c>
      <c r="CK56" s="22">
        <f t="shared" si="267"/>
        <v>7.8249038564305584</v>
      </c>
      <c r="CM56" s="10">
        <f t="shared" si="260"/>
        <v>0</v>
      </c>
      <c r="CN56" s="10">
        <f t="shared" si="260"/>
        <v>0</v>
      </c>
      <c r="CO56" s="10">
        <f t="shared" si="260"/>
        <v>19.459788566796053</v>
      </c>
      <c r="CP56" s="10">
        <f t="shared" si="260"/>
        <v>47.565133252591771</v>
      </c>
      <c r="CQ56" s="10">
        <f t="shared" si="260"/>
        <v>56.861457955252803</v>
      </c>
      <c r="CR56" s="10">
        <f t="shared" si="199"/>
        <v>67.974694481084114</v>
      </c>
      <c r="CS56" s="10">
        <f t="shared" si="199"/>
        <v>84.406048868676351</v>
      </c>
    </row>
    <row r="57" spans="2:97" outlineLevel="2" x14ac:dyDescent="0.2">
      <c r="B57" s="95" t="s">
        <v>21</v>
      </c>
      <c r="C57" s="92" t="s">
        <v>39</v>
      </c>
      <c r="D57" s="105">
        <v>0.01</v>
      </c>
      <c r="F57" s="22"/>
      <c r="G57" s="22"/>
      <c r="H57" s="22"/>
      <c r="I57" s="22"/>
      <c r="J57" s="22"/>
      <c r="K57" s="22"/>
      <c r="L57" s="22"/>
      <c r="M57" s="22"/>
      <c r="N57" s="22"/>
      <c r="O57" s="22"/>
      <c r="P57" s="22"/>
      <c r="Q57" s="22"/>
      <c r="R57" s="22"/>
      <c r="S57" s="22">
        <f t="shared" si="266"/>
        <v>0</v>
      </c>
      <c r="T57" s="22">
        <f t="shared" si="266"/>
        <v>0</v>
      </c>
      <c r="U57" s="22">
        <f t="shared" si="266"/>
        <v>0</v>
      </c>
      <c r="V57" s="22">
        <f t="shared" si="266"/>
        <v>0</v>
      </c>
      <c r="W57" s="22">
        <f t="shared" si="266"/>
        <v>0</v>
      </c>
      <c r="X57" s="22">
        <f t="shared" si="266"/>
        <v>0</v>
      </c>
      <c r="Y57" s="22">
        <f t="shared" si="266"/>
        <v>0</v>
      </c>
      <c r="Z57" s="22">
        <f t="shared" si="266"/>
        <v>0</v>
      </c>
      <c r="AA57" s="22">
        <f t="shared" si="266"/>
        <v>0</v>
      </c>
      <c r="AB57" s="22">
        <f t="shared" si="266"/>
        <v>0</v>
      </c>
      <c r="AC57" s="22">
        <f t="shared" si="266"/>
        <v>0</v>
      </c>
      <c r="AD57" s="22">
        <f t="shared" si="266"/>
        <v>0</v>
      </c>
      <c r="AE57" s="22">
        <f t="shared" si="266"/>
        <v>0</v>
      </c>
      <c r="AF57" s="22">
        <f t="shared" si="266"/>
        <v>0</v>
      </c>
      <c r="AG57" s="22">
        <f t="shared" si="266"/>
        <v>0</v>
      </c>
      <c r="AH57" s="22">
        <f t="shared" si="266"/>
        <v>3.4</v>
      </c>
      <c r="AI57" s="22">
        <f t="shared" si="267"/>
        <v>3.468</v>
      </c>
      <c r="AJ57" s="22">
        <f t="shared" si="267"/>
        <v>3.6414</v>
      </c>
      <c r="AK57" s="22">
        <f t="shared" si="267"/>
        <v>4.0055399999999999</v>
      </c>
      <c r="AL57" s="22">
        <f t="shared" si="267"/>
        <v>5.1908193414000019</v>
      </c>
      <c r="AM57" s="22">
        <f t="shared" si="267"/>
        <v>5.7099012755400018</v>
      </c>
      <c r="AN57" s="22">
        <f t="shared" si="267"/>
        <v>6.280891403094004</v>
      </c>
      <c r="AO57" s="22">
        <f t="shared" si="267"/>
        <v>7.2230251135581032</v>
      </c>
      <c r="AP57" s="22">
        <f t="shared" si="267"/>
        <v>7.2952553646936851</v>
      </c>
      <c r="AQ57" s="22">
        <f t="shared" si="267"/>
        <v>7.3682079183406222</v>
      </c>
      <c r="AR57" s="22">
        <f t="shared" si="267"/>
        <v>7.5155720767074348</v>
      </c>
      <c r="AS57" s="22">
        <f t="shared" si="267"/>
        <v>7.665883518241583</v>
      </c>
      <c r="AT57" s="22">
        <f t="shared" si="267"/>
        <v>7.8192011886064146</v>
      </c>
      <c r="AU57" s="22">
        <f t="shared" si="267"/>
        <v>7.8973932004924778</v>
      </c>
      <c r="AV57" s="22">
        <f t="shared" si="267"/>
        <v>7.976367132497403</v>
      </c>
      <c r="AW57" s="22">
        <f t="shared" si="267"/>
        <v>8.0561308038223771</v>
      </c>
      <c r="AX57" s="22">
        <f t="shared" si="267"/>
        <v>8.1366921118606008</v>
      </c>
      <c r="AY57" s="22">
        <f t="shared" si="267"/>
        <v>8.2994259540978135</v>
      </c>
      <c r="AZ57" s="22">
        <f t="shared" si="267"/>
        <v>8.46541447317977</v>
      </c>
      <c r="BA57" s="22">
        <f t="shared" si="267"/>
        <v>8.6347227626433671</v>
      </c>
      <c r="BB57" s="22">
        <f t="shared" si="267"/>
        <v>8.7210699902698003</v>
      </c>
      <c r="BC57" s="22">
        <f t="shared" si="267"/>
        <v>8.8082806901724986</v>
      </c>
      <c r="BD57" s="22">
        <f t="shared" si="267"/>
        <v>8.9844463039759486</v>
      </c>
      <c r="BE57" s="22">
        <f t="shared" si="267"/>
        <v>9.1641352300554679</v>
      </c>
      <c r="BF57" s="22">
        <f t="shared" si="267"/>
        <v>9.347417934656578</v>
      </c>
      <c r="BG57" s="22">
        <f t="shared" si="267"/>
        <v>9.4408921140031445</v>
      </c>
      <c r="BH57" s="22">
        <f t="shared" si="267"/>
        <v>9.535301035143176</v>
      </c>
      <c r="BI57" s="22">
        <f t="shared" si="267"/>
        <v>9.6306540454946088</v>
      </c>
      <c r="BJ57" s="22">
        <f t="shared" si="267"/>
        <v>9.7269605859495538</v>
      </c>
      <c r="BK57" s="22">
        <f t="shared" si="267"/>
        <v>9.9214997976685453</v>
      </c>
      <c r="BL57" s="22">
        <f t="shared" si="267"/>
        <v>10.119929793621916</v>
      </c>
      <c r="BM57" s="22">
        <f t="shared" si="267"/>
        <v>10.322328389494356</v>
      </c>
      <c r="BN57" s="22">
        <f t="shared" si="267"/>
        <v>10.425551673389299</v>
      </c>
      <c r="BO57" s="22">
        <f t="shared" si="267"/>
        <v>10.52980719012319</v>
      </c>
      <c r="BP57" s="22">
        <f t="shared" si="267"/>
        <v>10.740403333925654</v>
      </c>
      <c r="BQ57" s="22">
        <f t="shared" si="267"/>
        <v>10.955211400604167</v>
      </c>
      <c r="BR57" s="22">
        <f t="shared" si="267"/>
        <v>11.174315628616251</v>
      </c>
      <c r="BS57" s="22">
        <f t="shared" si="267"/>
        <v>11.286058784902414</v>
      </c>
      <c r="BT57" s="22">
        <f t="shared" si="267"/>
        <v>11.398919372751438</v>
      </c>
      <c r="BU57" s="22">
        <f t="shared" si="267"/>
        <v>11.512908566478952</v>
      </c>
      <c r="BV57" s="22">
        <f t="shared" si="267"/>
        <v>11.628037652143743</v>
      </c>
      <c r="BW57" s="22">
        <f t="shared" si="267"/>
        <v>11.860598405186618</v>
      </c>
      <c r="BX57" s="22">
        <f t="shared" si="267"/>
        <v>12.097810373290349</v>
      </c>
      <c r="BY57" s="22">
        <f t="shared" si="267"/>
        <v>12.339766580756157</v>
      </c>
      <c r="BZ57" s="22">
        <f t="shared" si="267"/>
        <v>12.58656191237128</v>
      </c>
      <c r="CA57" s="22">
        <f t="shared" si="267"/>
        <v>12.838293150618707</v>
      </c>
      <c r="CB57" s="22">
        <f t="shared" si="267"/>
        <v>13.095059013631081</v>
      </c>
      <c r="CC57" s="22">
        <f t="shared" si="267"/>
        <v>13.356960193903701</v>
      </c>
      <c r="CD57" s="22">
        <f t="shared" si="267"/>
        <v>13.624099397781775</v>
      </c>
      <c r="CE57" s="22">
        <f t="shared" si="267"/>
        <v>13.896581385737411</v>
      </c>
      <c r="CF57" s="22">
        <f t="shared" si="267"/>
        <v>14.174513013452161</v>
      </c>
      <c r="CG57" s="22">
        <f t="shared" si="267"/>
        <v>14.458003273721204</v>
      </c>
      <c r="CH57" s="22">
        <f t="shared" si="267"/>
        <v>14.747163339195628</v>
      </c>
      <c r="CI57" s="22">
        <f t="shared" si="267"/>
        <v>15.042106605979541</v>
      </c>
      <c r="CJ57" s="22">
        <f t="shared" si="267"/>
        <v>15.342948738099134</v>
      </c>
      <c r="CK57" s="22">
        <f t="shared" si="267"/>
        <v>15.649807712861117</v>
      </c>
      <c r="CM57" s="10">
        <f t="shared" si="260"/>
        <v>0</v>
      </c>
      <c r="CN57" s="10">
        <f t="shared" si="260"/>
        <v>0</v>
      </c>
      <c r="CO57" s="10">
        <f t="shared" si="260"/>
        <v>38.919577133592107</v>
      </c>
      <c r="CP57" s="10">
        <f t="shared" si="260"/>
        <v>95.130266505183542</v>
      </c>
      <c r="CQ57" s="10">
        <f t="shared" si="260"/>
        <v>113.72291591050561</v>
      </c>
      <c r="CR57" s="10">
        <f t="shared" si="199"/>
        <v>135.94938896216823</v>
      </c>
      <c r="CS57" s="10">
        <f t="shared" si="199"/>
        <v>168.8120977373527</v>
      </c>
    </row>
    <row r="58" spans="2:97" outlineLevel="2" x14ac:dyDescent="0.2">
      <c r="B58" s="95" t="s">
        <v>22</v>
      </c>
      <c r="C58" s="92" t="s">
        <v>39</v>
      </c>
      <c r="D58" s="105">
        <v>0.03</v>
      </c>
      <c r="F58" s="22"/>
      <c r="G58" s="22"/>
      <c r="H58" s="22"/>
      <c r="I58" s="22"/>
      <c r="J58" s="22"/>
      <c r="K58" s="22"/>
      <c r="L58" s="22"/>
      <c r="M58" s="22"/>
      <c r="N58" s="22"/>
      <c r="O58" s="22"/>
      <c r="P58" s="22"/>
      <c r="Q58" s="22"/>
      <c r="R58" s="22"/>
      <c r="S58" s="22">
        <f t="shared" si="266"/>
        <v>0</v>
      </c>
      <c r="T58" s="22">
        <f t="shared" si="266"/>
        <v>0</v>
      </c>
      <c r="U58" s="22">
        <f t="shared" si="266"/>
        <v>0</v>
      </c>
      <c r="V58" s="22">
        <f t="shared" si="266"/>
        <v>0</v>
      </c>
      <c r="W58" s="22">
        <f t="shared" si="266"/>
        <v>0</v>
      </c>
      <c r="X58" s="22">
        <f t="shared" si="266"/>
        <v>0</v>
      </c>
      <c r="Y58" s="22">
        <f t="shared" si="266"/>
        <v>0</v>
      </c>
      <c r="Z58" s="22">
        <f t="shared" si="266"/>
        <v>0</v>
      </c>
      <c r="AA58" s="22">
        <f t="shared" si="266"/>
        <v>0</v>
      </c>
      <c r="AB58" s="22">
        <f t="shared" si="266"/>
        <v>0</v>
      </c>
      <c r="AC58" s="22">
        <f t="shared" si="266"/>
        <v>0</v>
      </c>
      <c r="AD58" s="22">
        <f t="shared" si="266"/>
        <v>0</v>
      </c>
      <c r="AE58" s="22">
        <f t="shared" si="266"/>
        <v>0</v>
      </c>
      <c r="AF58" s="22">
        <f t="shared" si="266"/>
        <v>0</v>
      </c>
      <c r="AG58" s="245">
        <v>0</v>
      </c>
      <c r="AH58" s="245">
        <v>200</v>
      </c>
      <c r="AI58" s="245">
        <v>500</v>
      </c>
      <c r="AJ58" s="245">
        <v>500</v>
      </c>
      <c r="AK58" s="245">
        <v>500</v>
      </c>
      <c r="AL58" s="245">
        <v>200</v>
      </c>
      <c r="AM58" s="22">
        <f t="shared" si="267"/>
        <v>17.129703826620005</v>
      </c>
      <c r="AN58" s="22">
        <f t="shared" si="267"/>
        <v>18.842674209282009</v>
      </c>
      <c r="AO58" s="22">
        <f t="shared" si="267"/>
        <v>21.669075340674308</v>
      </c>
      <c r="AP58" s="22">
        <f t="shared" si="267"/>
        <v>21.885766094081053</v>
      </c>
      <c r="AQ58" s="22">
        <f t="shared" si="267"/>
        <v>22.104623755021866</v>
      </c>
      <c r="AR58" s="22">
        <f t="shared" si="267"/>
        <v>22.546716230122303</v>
      </c>
      <c r="AS58" s="22">
        <f t="shared" si="267"/>
        <v>22.997650554724746</v>
      </c>
      <c r="AT58" s="22">
        <f t="shared" si="267"/>
        <v>23.457603565819241</v>
      </c>
      <c r="AU58" s="22">
        <f t="shared" si="267"/>
        <v>23.692179601477434</v>
      </c>
      <c r="AV58" s="22">
        <f t="shared" si="267"/>
        <v>23.929101397492207</v>
      </c>
      <c r="AW58" s="22">
        <f t="shared" si="267"/>
        <v>24.168392411467131</v>
      </c>
      <c r="AX58" s="22">
        <f t="shared" si="267"/>
        <v>24.410076335581802</v>
      </c>
      <c r="AY58" s="22">
        <f t="shared" si="267"/>
        <v>24.89827786229344</v>
      </c>
      <c r="AZ58" s="22">
        <f t="shared" si="267"/>
        <v>25.39624341953931</v>
      </c>
      <c r="BA58" s="22">
        <f t="shared" si="267"/>
        <v>25.904168287930098</v>
      </c>
      <c r="BB58" s="22">
        <f t="shared" si="267"/>
        <v>26.163209970809401</v>
      </c>
      <c r="BC58" s="22">
        <f t="shared" si="267"/>
        <v>26.424842070517496</v>
      </c>
      <c r="BD58" s="22">
        <f t="shared" si="267"/>
        <v>26.953338911927847</v>
      </c>
      <c r="BE58" s="22">
        <f t="shared" si="267"/>
        <v>27.492405690166404</v>
      </c>
      <c r="BF58" s="22">
        <f t="shared" si="267"/>
        <v>28.042253803969732</v>
      </c>
      <c r="BG58" s="22">
        <f t="shared" si="267"/>
        <v>28.32267634200943</v>
      </c>
      <c r="BH58" s="22">
        <f t="shared" si="267"/>
        <v>28.605903105429526</v>
      </c>
      <c r="BI58" s="22">
        <f t="shared" si="267"/>
        <v>28.891962136483823</v>
      </c>
      <c r="BJ58" s="22">
        <f t="shared" si="267"/>
        <v>29.18088175784866</v>
      </c>
      <c r="BK58" s="22">
        <f t="shared" si="267"/>
        <v>29.764499393005632</v>
      </c>
      <c r="BL58" s="22">
        <f t="shared" si="267"/>
        <v>30.359789380865745</v>
      </c>
      <c r="BM58" s="22">
        <f t="shared" si="267"/>
        <v>30.966985168483063</v>
      </c>
      <c r="BN58" s="22">
        <f t="shared" si="267"/>
        <v>31.276655020167894</v>
      </c>
      <c r="BO58" s="22">
        <f t="shared" si="267"/>
        <v>31.58942157036957</v>
      </c>
      <c r="BP58" s="22">
        <f t="shared" si="267"/>
        <v>32.22121000177696</v>
      </c>
      <c r="BQ58" s="22">
        <f t="shared" si="267"/>
        <v>32.865634201812497</v>
      </c>
      <c r="BR58" s="22">
        <f t="shared" si="267"/>
        <v>33.522946885848746</v>
      </c>
      <c r="BS58" s="22">
        <f t="shared" si="267"/>
        <v>33.85817635470724</v>
      </c>
      <c r="BT58" s="22">
        <f t="shared" si="267"/>
        <v>34.196758118254316</v>
      </c>
      <c r="BU58" s="22">
        <f t="shared" si="267"/>
        <v>34.538725699436853</v>
      </c>
      <c r="BV58" s="22">
        <f t="shared" si="267"/>
        <v>34.884112956431224</v>
      </c>
      <c r="BW58" s="22">
        <f t="shared" si="267"/>
        <v>35.58179521555985</v>
      </c>
      <c r="BX58" s="22">
        <f t="shared" si="267"/>
        <v>36.293431119871045</v>
      </c>
      <c r="BY58" s="22">
        <f t="shared" si="267"/>
        <v>37.019299742268466</v>
      </c>
      <c r="BZ58" s="22">
        <f t="shared" si="267"/>
        <v>37.759685737113841</v>
      </c>
      <c r="CA58" s="22">
        <f t="shared" si="267"/>
        <v>38.514879451856117</v>
      </c>
      <c r="CB58" s="22">
        <f t="shared" si="267"/>
        <v>39.285177040893238</v>
      </c>
      <c r="CC58" s="22">
        <f t="shared" si="267"/>
        <v>40.070880581711101</v>
      </c>
      <c r="CD58" s="22">
        <f t="shared" si="267"/>
        <v>40.872298193345323</v>
      </c>
      <c r="CE58" s="22">
        <f t="shared" si="267"/>
        <v>41.689744157212232</v>
      </c>
      <c r="CF58" s="22">
        <f t="shared" si="267"/>
        <v>42.523539040356482</v>
      </c>
      <c r="CG58" s="22">
        <f t="shared" si="267"/>
        <v>43.374009821163611</v>
      </c>
      <c r="CH58" s="22">
        <f t="shared" si="267"/>
        <v>44.241490017586884</v>
      </c>
      <c r="CI58" s="22">
        <f t="shared" si="267"/>
        <v>45.126319817938622</v>
      </c>
      <c r="CJ58" s="22">
        <f t="shared" si="267"/>
        <v>46.028846214297396</v>
      </c>
      <c r="CK58" s="22">
        <f t="shared" si="267"/>
        <v>46.949423138583349</v>
      </c>
      <c r="CM58" s="10">
        <f t="shared" si="260"/>
        <v>0</v>
      </c>
      <c r="CN58" s="10">
        <f t="shared" si="260"/>
        <v>0</v>
      </c>
      <c r="CO58" s="10">
        <f t="shared" si="260"/>
        <v>1957.6414533765762</v>
      </c>
      <c r="CP58" s="10">
        <f t="shared" si="260"/>
        <v>285.39079951555061</v>
      </c>
      <c r="CQ58" s="10">
        <f t="shared" si="260"/>
        <v>341.1687477315167</v>
      </c>
      <c r="CR58" s="10">
        <f t="shared" si="199"/>
        <v>407.84816688650466</v>
      </c>
      <c r="CS58" s="10">
        <f t="shared" si="199"/>
        <v>506.43629321205822</v>
      </c>
    </row>
    <row r="59" spans="2:97" outlineLevel="2" x14ac:dyDescent="0.2">
      <c r="B59" s="95" t="s">
        <v>24</v>
      </c>
      <c r="C59" s="92"/>
      <c r="D59" s="106">
        <v>5.0000000000000001E-3</v>
      </c>
      <c r="F59" s="22"/>
      <c r="G59" s="22"/>
      <c r="H59" s="22"/>
      <c r="I59" s="22"/>
      <c r="J59" s="22"/>
      <c r="K59" s="22"/>
      <c r="L59" s="22"/>
      <c r="M59" s="22"/>
      <c r="N59" s="22"/>
      <c r="O59" s="22"/>
      <c r="P59" s="22"/>
      <c r="Q59" s="22"/>
      <c r="R59" s="22"/>
      <c r="S59" s="22">
        <f t="shared" ref="S59:CK59" si="268">S$39*$D59</f>
        <v>0</v>
      </c>
      <c r="T59" s="22">
        <f t="shared" si="268"/>
        <v>0</v>
      </c>
      <c r="U59" s="22">
        <f t="shared" si="268"/>
        <v>0</v>
      </c>
      <c r="V59" s="22">
        <f t="shared" si="268"/>
        <v>0</v>
      </c>
      <c r="W59" s="22">
        <f t="shared" si="268"/>
        <v>0</v>
      </c>
      <c r="X59" s="22">
        <f t="shared" si="268"/>
        <v>0</v>
      </c>
      <c r="Y59" s="22">
        <f t="shared" si="268"/>
        <v>0</v>
      </c>
      <c r="Z59" s="22">
        <f t="shared" si="268"/>
        <v>0</v>
      </c>
      <c r="AA59" s="22">
        <f t="shared" si="268"/>
        <v>0</v>
      </c>
      <c r="AB59" s="22">
        <f t="shared" si="268"/>
        <v>0</v>
      </c>
      <c r="AC59" s="22">
        <f t="shared" si="268"/>
        <v>0</v>
      </c>
      <c r="AD59" s="22">
        <f t="shared" si="268"/>
        <v>0</v>
      </c>
      <c r="AE59" s="22">
        <f t="shared" si="268"/>
        <v>0</v>
      </c>
      <c r="AF59" s="22">
        <f t="shared" si="268"/>
        <v>0</v>
      </c>
      <c r="AG59" s="22">
        <f t="shared" si="268"/>
        <v>0</v>
      </c>
      <c r="AH59" s="22">
        <f t="shared" si="268"/>
        <v>1.7</v>
      </c>
      <c r="AI59" s="22">
        <f t="shared" si="268"/>
        <v>1.734</v>
      </c>
      <c r="AJ59" s="22">
        <f t="shared" si="268"/>
        <v>1.8207</v>
      </c>
      <c r="AK59" s="22">
        <f t="shared" si="268"/>
        <v>2.0027699999999999</v>
      </c>
      <c r="AL59" s="22">
        <f t="shared" si="268"/>
        <v>2.5954096707000009</v>
      </c>
      <c r="AM59" s="22">
        <f t="shared" si="268"/>
        <v>2.8549506377700009</v>
      </c>
      <c r="AN59" s="22">
        <f t="shared" si="268"/>
        <v>3.140445701547002</v>
      </c>
      <c r="AO59" s="22">
        <f t="shared" si="268"/>
        <v>3.6115125567790516</v>
      </c>
      <c r="AP59" s="22">
        <f t="shared" si="268"/>
        <v>3.6476276823468425</v>
      </c>
      <c r="AQ59" s="22">
        <f t="shared" si="268"/>
        <v>3.6841039591703111</v>
      </c>
      <c r="AR59" s="22">
        <f t="shared" si="268"/>
        <v>3.7577860383537174</v>
      </c>
      <c r="AS59" s="22">
        <f t="shared" si="268"/>
        <v>3.8329417591207915</v>
      </c>
      <c r="AT59" s="22">
        <f t="shared" si="268"/>
        <v>3.9096005943032073</v>
      </c>
      <c r="AU59" s="22">
        <f t="shared" si="268"/>
        <v>3.9486966002462389</v>
      </c>
      <c r="AV59" s="22">
        <f t="shared" si="268"/>
        <v>3.9881835662487015</v>
      </c>
      <c r="AW59" s="22">
        <f t="shared" si="268"/>
        <v>4.0280654019111886</v>
      </c>
      <c r="AX59" s="22">
        <f t="shared" si="268"/>
        <v>4.0683460559303004</v>
      </c>
      <c r="AY59" s="22">
        <f t="shared" si="268"/>
        <v>4.1497129770489067</v>
      </c>
      <c r="AZ59" s="22">
        <f t="shared" si="268"/>
        <v>4.232707236589885</v>
      </c>
      <c r="BA59" s="22">
        <f t="shared" si="268"/>
        <v>4.3173613813216836</v>
      </c>
      <c r="BB59" s="22">
        <f t="shared" si="268"/>
        <v>4.3605349951349002</v>
      </c>
      <c r="BC59" s="22">
        <f t="shared" si="268"/>
        <v>4.4041403450862493</v>
      </c>
      <c r="BD59" s="22">
        <f t="shared" si="268"/>
        <v>4.4922231519879743</v>
      </c>
      <c r="BE59" s="22">
        <f t="shared" si="268"/>
        <v>4.582067615027734</v>
      </c>
      <c r="BF59" s="22">
        <f t="shared" si="268"/>
        <v>4.673708967328289</v>
      </c>
      <c r="BG59" s="22">
        <f t="shared" si="268"/>
        <v>4.7204460570015723</v>
      </c>
      <c r="BH59" s="22">
        <f t="shared" si="268"/>
        <v>4.767650517571588</v>
      </c>
      <c r="BI59" s="22">
        <f t="shared" si="268"/>
        <v>4.8153270227473044</v>
      </c>
      <c r="BJ59" s="22">
        <f t="shared" si="268"/>
        <v>4.8634802929747769</v>
      </c>
      <c r="BK59" s="22">
        <f t="shared" si="268"/>
        <v>4.9607498988342726</v>
      </c>
      <c r="BL59" s="22">
        <f t="shared" si="268"/>
        <v>5.0599648968109578</v>
      </c>
      <c r="BM59" s="22">
        <f t="shared" si="268"/>
        <v>5.1611641947471778</v>
      </c>
      <c r="BN59" s="22">
        <f t="shared" si="268"/>
        <v>5.2127758366946493</v>
      </c>
      <c r="BO59" s="22">
        <f t="shared" si="268"/>
        <v>5.264903595061595</v>
      </c>
      <c r="BP59" s="22">
        <f t="shared" si="268"/>
        <v>5.370201666962827</v>
      </c>
      <c r="BQ59" s="22">
        <f t="shared" si="268"/>
        <v>5.4776057003020835</v>
      </c>
      <c r="BR59" s="22">
        <f t="shared" si="268"/>
        <v>5.5871578143081253</v>
      </c>
      <c r="BS59" s="22">
        <f t="shared" si="268"/>
        <v>5.6430293924512069</v>
      </c>
      <c r="BT59" s="22">
        <f t="shared" si="268"/>
        <v>5.699459686375719</v>
      </c>
      <c r="BU59" s="22">
        <f t="shared" si="268"/>
        <v>5.7564542832394761</v>
      </c>
      <c r="BV59" s="22">
        <f t="shared" si="268"/>
        <v>5.8140188260718713</v>
      </c>
      <c r="BW59" s="22">
        <f t="shared" si="268"/>
        <v>5.930299202593309</v>
      </c>
      <c r="BX59" s="22">
        <f t="shared" si="268"/>
        <v>6.0489051866451744</v>
      </c>
      <c r="BY59" s="22">
        <f t="shared" si="268"/>
        <v>6.1698832903780785</v>
      </c>
      <c r="BZ59" s="22">
        <f t="shared" si="268"/>
        <v>6.2932809561856402</v>
      </c>
      <c r="CA59" s="22">
        <f t="shared" si="268"/>
        <v>6.4191465753093535</v>
      </c>
      <c r="CB59" s="22">
        <f t="shared" si="268"/>
        <v>6.5475295068155406</v>
      </c>
      <c r="CC59" s="22">
        <f t="shared" si="268"/>
        <v>6.6784800969518505</v>
      </c>
      <c r="CD59" s="22">
        <f t="shared" si="268"/>
        <v>6.8120496988908874</v>
      </c>
      <c r="CE59" s="22">
        <f t="shared" si="268"/>
        <v>6.9482906928687056</v>
      </c>
      <c r="CF59" s="22">
        <f t="shared" si="268"/>
        <v>7.0872565067260807</v>
      </c>
      <c r="CG59" s="22">
        <f t="shared" si="268"/>
        <v>7.2290016368606018</v>
      </c>
      <c r="CH59" s="22">
        <f t="shared" si="268"/>
        <v>7.3735816695978142</v>
      </c>
      <c r="CI59" s="22">
        <f t="shared" si="268"/>
        <v>7.5210533029897704</v>
      </c>
      <c r="CJ59" s="22">
        <f t="shared" si="268"/>
        <v>7.6714743690495668</v>
      </c>
      <c r="CK59" s="22">
        <f t="shared" si="268"/>
        <v>7.8249038564305584</v>
      </c>
      <c r="CM59" s="10">
        <f t="shared" si="260"/>
        <v>0</v>
      </c>
      <c r="CN59" s="10">
        <f t="shared" si="260"/>
        <v>0</v>
      </c>
      <c r="CO59" s="10">
        <f t="shared" si="260"/>
        <v>19.459788566796053</v>
      </c>
      <c r="CP59" s="10">
        <f t="shared" si="260"/>
        <v>47.565133252591771</v>
      </c>
      <c r="CQ59" s="10">
        <f t="shared" si="260"/>
        <v>56.861457955252803</v>
      </c>
      <c r="CR59" s="10">
        <f t="shared" si="199"/>
        <v>67.974694481084114</v>
      </c>
      <c r="CS59" s="10">
        <f t="shared" si="199"/>
        <v>84.406048868676351</v>
      </c>
    </row>
    <row r="60" spans="2:97" hidden="1" x14ac:dyDescent="0.2">
      <c r="B60" s="12" t="s">
        <v>25</v>
      </c>
      <c r="F60" s="14">
        <f t="shared" ref="F60:K60" si="269">SUM(F61:F73)</f>
        <v>0</v>
      </c>
      <c r="G60" s="14">
        <f t="shared" si="269"/>
        <v>0</v>
      </c>
      <c r="H60" s="14">
        <f t="shared" si="269"/>
        <v>0</v>
      </c>
      <c r="I60" s="14">
        <f t="shared" si="269"/>
        <v>0</v>
      </c>
      <c r="J60" s="14">
        <f t="shared" si="269"/>
        <v>0</v>
      </c>
      <c r="K60" s="14">
        <f t="shared" si="269"/>
        <v>0</v>
      </c>
      <c r="L60" s="14">
        <f>SUM(L61:L73)</f>
        <v>0</v>
      </c>
    </row>
    <row r="61" spans="2:97" hidden="1" x14ac:dyDescent="0.2">
      <c r="B61" s="214" t="s">
        <v>26</v>
      </c>
    </row>
    <row r="62" spans="2:97" hidden="1" x14ac:dyDescent="0.2">
      <c r="B62" s="214" t="s">
        <v>27</v>
      </c>
    </row>
    <row r="63" spans="2:97" hidden="1" x14ac:dyDescent="0.2">
      <c r="B63" s="214" t="s">
        <v>28</v>
      </c>
    </row>
    <row r="64" spans="2:97" hidden="1" x14ac:dyDescent="0.2">
      <c r="B64" s="214" t="s">
        <v>29</v>
      </c>
    </row>
    <row r="65" spans="2:97" hidden="1" x14ac:dyDescent="0.2">
      <c r="B65" s="214" t="s">
        <v>15</v>
      </c>
    </row>
    <row r="66" spans="2:97" hidden="1" x14ac:dyDescent="0.2">
      <c r="B66" s="214" t="s">
        <v>30</v>
      </c>
    </row>
    <row r="67" spans="2:97" hidden="1" x14ac:dyDescent="0.2">
      <c r="B67" s="214" t="s">
        <v>31</v>
      </c>
    </row>
    <row r="68" spans="2:97" hidden="1" x14ac:dyDescent="0.2">
      <c r="B68" s="214" t="s">
        <v>32</v>
      </c>
    </row>
    <row r="69" spans="2:97" hidden="1" x14ac:dyDescent="0.2">
      <c r="B69" s="214" t="s">
        <v>33</v>
      </c>
    </row>
    <row r="70" spans="2:97" hidden="1" x14ac:dyDescent="0.2">
      <c r="B70" s="214" t="s">
        <v>34</v>
      </c>
    </row>
    <row r="71" spans="2:97" hidden="1" x14ac:dyDescent="0.2">
      <c r="B71" s="214" t="s">
        <v>35</v>
      </c>
    </row>
    <row r="72" spans="2:97" hidden="1" x14ac:dyDescent="0.2">
      <c r="B72" s="214" t="s">
        <v>36</v>
      </c>
    </row>
    <row r="73" spans="2:97" hidden="1" x14ac:dyDescent="0.2">
      <c r="B73" s="214" t="s">
        <v>37</v>
      </c>
    </row>
    <row r="74" spans="2:97" x14ac:dyDescent="0.2">
      <c r="B74" s="20" t="s">
        <v>6</v>
      </c>
      <c r="C74" s="23" t="s">
        <v>4</v>
      </c>
      <c r="D74" s="23"/>
      <c r="F74" s="24">
        <f t="shared" ref="F74:K74" si="270">F44+F47</f>
        <v>0</v>
      </c>
      <c r="G74" s="24">
        <f t="shared" si="270"/>
        <v>0</v>
      </c>
      <c r="H74" s="24">
        <f t="shared" si="270"/>
        <v>0</v>
      </c>
      <c r="I74" s="24">
        <f t="shared" si="270"/>
        <v>0</v>
      </c>
      <c r="J74" s="24">
        <f t="shared" si="270"/>
        <v>0</v>
      </c>
      <c r="K74" s="24">
        <f t="shared" si="270"/>
        <v>0</v>
      </c>
      <c r="L74" s="24">
        <f t="shared" ref="L74:AW74" si="271">L44+L47</f>
        <v>0</v>
      </c>
      <c r="M74" s="24">
        <f t="shared" si="271"/>
        <v>0</v>
      </c>
      <c r="N74" s="24">
        <f t="shared" si="271"/>
        <v>0</v>
      </c>
      <c r="O74" s="24">
        <f t="shared" si="271"/>
        <v>0</v>
      </c>
      <c r="P74" s="24">
        <f t="shared" si="271"/>
        <v>0</v>
      </c>
      <c r="Q74" s="24">
        <f t="shared" si="271"/>
        <v>0</v>
      </c>
      <c r="R74" s="24">
        <f t="shared" si="271"/>
        <v>0</v>
      </c>
      <c r="S74" s="24">
        <f t="shared" si="271"/>
        <v>0</v>
      </c>
      <c r="T74" s="24">
        <f t="shared" si="271"/>
        <v>0</v>
      </c>
      <c r="U74" s="24">
        <f t="shared" si="271"/>
        <v>0</v>
      </c>
      <c r="V74" s="24">
        <f t="shared" si="271"/>
        <v>0</v>
      </c>
      <c r="W74" s="24">
        <f t="shared" si="271"/>
        <v>0</v>
      </c>
      <c r="X74" s="24">
        <f t="shared" si="271"/>
        <v>0</v>
      </c>
      <c r="Y74" s="24">
        <f t="shared" si="271"/>
        <v>0</v>
      </c>
      <c r="Z74" s="24">
        <f t="shared" si="271"/>
        <v>0</v>
      </c>
      <c r="AA74" s="24">
        <f t="shared" si="271"/>
        <v>0</v>
      </c>
      <c r="AB74" s="24">
        <f t="shared" si="271"/>
        <v>0</v>
      </c>
      <c r="AC74" s="24">
        <f t="shared" si="271"/>
        <v>0</v>
      </c>
      <c r="AD74" s="24">
        <f t="shared" si="271"/>
        <v>100</v>
      </c>
      <c r="AE74" s="24">
        <f t="shared" si="271"/>
        <v>0</v>
      </c>
      <c r="AF74" s="24">
        <f t="shared" si="271"/>
        <v>0</v>
      </c>
      <c r="AG74" s="24">
        <f t="shared" si="271"/>
        <v>0</v>
      </c>
      <c r="AH74" s="24">
        <f t="shared" si="271"/>
        <v>502.79999999999995</v>
      </c>
      <c r="AI74" s="24">
        <f t="shared" si="271"/>
        <v>807.35599999999999</v>
      </c>
      <c r="AJ74" s="24">
        <f t="shared" si="271"/>
        <v>828.97379999999998</v>
      </c>
      <c r="AK74" s="24">
        <f t="shared" si="271"/>
        <v>853.37117999999998</v>
      </c>
      <c r="AL74" s="24">
        <f t="shared" si="271"/>
        <v>632.7848958738</v>
      </c>
      <c r="AM74" s="24">
        <f t="shared" si="271"/>
        <v>484.69308928780015</v>
      </c>
      <c r="AN74" s="24">
        <f t="shared" si="271"/>
        <v>524.66239821658019</v>
      </c>
      <c r="AO74" s="24">
        <f t="shared" si="271"/>
        <v>590.61175794906717</v>
      </c>
      <c r="AP74" s="24">
        <f t="shared" si="271"/>
        <v>595.66787552855794</v>
      </c>
      <c r="AQ74" s="24">
        <f t="shared" si="271"/>
        <v>600.77455428384349</v>
      </c>
      <c r="AR74" s="24">
        <f t="shared" si="271"/>
        <v>611.09004536952034</v>
      </c>
      <c r="AS74" s="24">
        <f t="shared" si="271"/>
        <v>621.6118462769108</v>
      </c>
      <c r="AT74" s="24">
        <f t="shared" si="271"/>
        <v>632.34408320244893</v>
      </c>
      <c r="AU74" s="24">
        <f t="shared" si="271"/>
        <v>637.81752403447342</v>
      </c>
      <c r="AV74" s="24">
        <f t="shared" si="271"/>
        <v>643.34569927481812</v>
      </c>
      <c r="AW74" s="24">
        <f t="shared" si="271"/>
        <v>648.92915626756644</v>
      </c>
      <c r="AX74" s="24">
        <f t="shared" ref="AX74:BU74" si="272">AX44+AX47</f>
        <v>654.56844783024212</v>
      </c>
      <c r="AY74" s="24">
        <f t="shared" si="272"/>
        <v>665.95981678684689</v>
      </c>
      <c r="AZ74" s="24">
        <f t="shared" si="272"/>
        <v>677.57901312258389</v>
      </c>
      <c r="BA74" s="24">
        <f t="shared" si="272"/>
        <v>689.43059338503565</v>
      </c>
      <c r="BB74" s="24">
        <f t="shared" si="272"/>
        <v>695.47489931888606</v>
      </c>
      <c r="BC74" s="24">
        <f t="shared" si="272"/>
        <v>701.57964831207494</v>
      </c>
      <c r="BD74" s="24">
        <f t="shared" si="272"/>
        <v>713.91124127831642</v>
      </c>
      <c r="BE74" s="24">
        <f t="shared" si="272"/>
        <v>726.48946610388271</v>
      </c>
      <c r="BF74" s="24">
        <f t="shared" si="272"/>
        <v>739.31925542596036</v>
      </c>
      <c r="BG74" s="24">
        <f t="shared" si="272"/>
        <v>745.86244798022005</v>
      </c>
      <c r="BH74" s="24">
        <f t="shared" si="272"/>
        <v>752.47107246002224</v>
      </c>
      <c r="BI74" s="24">
        <f t="shared" si="272"/>
        <v>759.14578318462259</v>
      </c>
      <c r="BJ74" s="24">
        <f t="shared" si="272"/>
        <v>765.88724101646869</v>
      </c>
      <c r="BK74" s="24">
        <f t="shared" si="272"/>
        <v>779.50498583679814</v>
      </c>
      <c r="BL74" s="24">
        <f t="shared" si="272"/>
        <v>793.39508555353416</v>
      </c>
      <c r="BM74" s="24">
        <f t="shared" si="272"/>
        <v>807.56298726460477</v>
      </c>
      <c r="BN74" s="24">
        <f t="shared" si="272"/>
        <v>814.78861713725087</v>
      </c>
      <c r="BO74" s="24">
        <f t="shared" si="272"/>
        <v>822.08650330862326</v>
      </c>
      <c r="BP74" s="24">
        <f t="shared" si="272"/>
        <v>836.82823337479579</v>
      </c>
      <c r="BQ74" s="24">
        <f t="shared" si="272"/>
        <v>851.86479804229157</v>
      </c>
      <c r="BR74" s="24">
        <f t="shared" si="272"/>
        <v>867.20209400313752</v>
      </c>
      <c r="BS74" s="24">
        <f t="shared" si="272"/>
        <v>875.02411494316891</v>
      </c>
      <c r="BT74" s="24">
        <f t="shared" si="272"/>
        <v>882.92435609260065</v>
      </c>
      <c r="BU74" s="24">
        <f t="shared" si="272"/>
        <v>890.90359965352661</v>
      </c>
      <c r="BV74" s="24">
        <f t="shared" ref="BV74:BX74" si="273">BV44+BV47</f>
        <v>898.96263565006188</v>
      </c>
      <c r="BW74" s="24">
        <f t="shared" si="273"/>
        <v>915.24188836306325</v>
      </c>
      <c r="BX74" s="24">
        <f t="shared" si="273"/>
        <v>931.84672613032444</v>
      </c>
      <c r="BY74" s="24">
        <f t="shared" ref="BY74:CK74" si="274">BY44+BY47</f>
        <v>948.78366065293096</v>
      </c>
      <c r="BZ74" s="24">
        <f t="shared" si="274"/>
        <v>966.05933386598963</v>
      </c>
      <c r="CA74" s="24">
        <f t="shared" si="274"/>
        <v>983.6805205433094</v>
      </c>
      <c r="CB74" s="24">
        <f t="shared" si="274"/>
        <v>1001.6541309541756</v>
      </c>
      <c r="CC74" s="24">
        <f t="shared" si="274"/>
        <v>1019.9872135732589</v>
      </c>
      <c r="CD74" s="24">
        <f t="shared" si="274"/>
        <v>1038.6869578447242</v>
      </c>
      <c r="CE74" s="24">
        <f t="shared" si="274"/>
        <v>1057.7606970016186</v>
      </c>
      <c r="CF74" s="24">
        <f t="shared" si="274"/>
        <v>1077.2159109416511</v>
      </c>
      <c r="CG74" s="24">
        <f t="shared" si="274"/>
        <v>1097.0602291604841</v>
      </c>
      <c r="CH74" s="24">
        <f t="shared" si="274"/>
        <v>1117.3014337436939</v>
      </c>
      <c r="CI74" s="24">
        <f t="shared" si="274"/>
        <v>1137.9474624185677</v>
      </c>
      <c r="CJ74" s="24">
        <f t="shared" si="274"/>
        <v>1159.0064116669391</v>
      </c>
      <c r="CK74" s="24">
        <f t="shared" si="274"/>
        <v>1180.4865399002781</v>
      </c>
      <c r="CM74" s="24">
        <f>SUMIF($L$2:$CK$2,CM$3,$L74:$CK74)</f>
        <v>0</v>
      </c>
      <c r="CN74" s="24">
        <f>SUMIF($L$2:$CK$2,CN$3,$L74:$CK74)</f>
        <v>0</v>
      </c>
      <c r="CO74" s="24">
        <f>SUMIF($L$2:$CK$2,CO$3,$L74:$CK74)</f>
        <v>5325.2531213272478</v>
      </c>
      <c r="CP74" s="24">
        <f>SUMIF($L$2:$CK$2,CP$3,$L74:$CK74)</f>
        <v>7679.1186553628477</v>
      </c>
      <c r="CQ74" s="24">
        <f>SUMIF($L$2:$CK$2,CQ$3,$L74:$CK74)</f>
        <v>8980.6041137353914</v>
      </c>
      <c r="CR74" s="24">
        <f t="shared" ref="CR74:CS74" si="275">SUMIF($L$2:$CK$2,CR$3,$L74:$CK74)</f>
        <v>10536.457227351775</v>
      </c>
      <c r="CS74" s="24">
        <f t="shared" si="275"/>
        <v>12836.84684161469</v>
      </c>
    </row>
    <row r="77" spans="2:97" x14ac:dyDescent="0.2">
      <c r="B77" s="12" t="s">
        <v>42</v>
      </c>
    </row>
    <row r="78" spans="2:97" x14ac:dyDescent="0.2">
      <c r="B78" s="200" t="s">
        <v>1</v>
      </c>
      <c r="C78" s="200" t="s">
        <v>2</v>
      </c>
      <c r="D78" s="200" t="s">
        <v>38</v>
      </c>
      <c r="F78" s="201">
        <f t="shared" ref="F78:K78" si="276">F43</f>
        <v>45292</v>
      </c>
      <c r="G78" s="201">
        <f t="shared" si="276"/>
        <v>45323</v>
      </c>
      <c r="H78" s="201">
        <f t="shared" si="276"/>
        <v>45352</v>
      </c>
      <c r="I78" s="201">
        <f t="shared" si="276"/>
        <v>45383</v>
      </c>
      <c r="J78" s="201">
        <f t="shared" si="276"/>
        <v>45413</v>
      </c>
      <c r="K78" s="201">
        <f t="shared" si="276"/>
        <v>45444</v>
      </c>
      <c r="L78" s="201">
        <f>L43</f>
        <v>45474</v>
      </c>
      <c r="M78" s="201">
        <f t="shared" ref="M78:BU78" si="277">M43</f>
        <v>45505</v>
      </c>
      <c r="N78" s="201">
        <f t="shared" si="277"/>
        <v>45536</v>
      </c>
      <c r="O78" s="201">
        <f t="shared" si="277"/>
        <v>45566</v>
      </c>
      <c r="P78" s="201">
        <f t="shared" si="277"/>
        <v>45597</v>
      </c>
      <c r="Q78" s="201">
        <f t="shared" si="277"/>
        <v>45627</v>
      </c>
      <c r="R78" s="201">
        <f t="shared" si="277"/>
        <v>45658</v>
      </c>
      <c r="S78" s="201">
        <f t="shared" si="277"/>
        <v>45689</v>
      </c>
      <c r="T78" s="201">
        <f t="shared" si="277"/>
        <v>45717</v>
      </c>
      <c r="U78" s="201">
        <f t="shared" si="277"/>
        <v>45748</v>
      </c>
      <c r="V78" s="201">
        <f t="shared" si="277"/>
        <v>45778</v>
      </c>
      <c r="W78" s="201">
        <f t="shared" si="277"/>
        <v>45809</v>
      </c>
      <c r="X78" s="201">
        <f t="shared" si="277"/>
        <v>45839</v>
      </c>
      <c r="Y78" s="201">
        <f t="shared" si="277"/>
        <v>45870</v>
      </c>
      <c r="Z78" s="201">
        <f t="shared" si="277"/>
        <v>45901</v>
      </c>
      <c r="AA78" s="201">
        <f t="shared" si="277"/>
        <v>45931</v>
      </c>
      <c r="AB78" s="201">
        <f t="shared" si="277"/>
        <v>45962</v>
      </c>
      <c r="AC78" s="201">
        <f t="shared" si="277"/>
        <v>45992</v>
      </c>
      <c r="AD78" s="201">
        <f t="shared" si="277"/>
        <v>46023</v>
      </c>
      <c r="AE78" s="201">
        <f t="shared" si="277"/>
        <v>46054</v>
      </c>
      <c r="AF78" s="201">
        <f t="shared" si="277"/>
        <v>46082</v>
      </c>
      <c r="AG78" s="201">
        <f t="shared" si="277"/>
        <v>46113</v>
      </c>
      <c r="AH78" s="201">
        <f t="shared" si="277"/>
        <v>46143</v>
      </c>
      <c r="AI78" s="201">
        <f t="shared" si="277"/>
        <v>46174</v>
      </c>
      <c r="AJ78" s="201">
        <f t="shared" si="277"/>
        <v>46204</v>
      </c>
      <c r="AK78" s="201">
        <f t="shared" si="277"/>
        <v>46235</v>
      </c>
      <c r="AL78" s="201">
        <f t="shared" si="277"/>
        <v>46266</v>
      </c>
      <c r="AM78" s="201">
        <f t="shared" si="277"/>
        <v>46296</v>
      </c>
      <c r="AN78" s="201">
        <f t="shared" si="277"/>
        <v>46327</v>
      </c>
      <c r="AO78" s="201">
        <f t="shared" si="277"/>
        <v>46357</v>
      </c>
      <c r="AP78" s="201">
        <f t="shared" si="277"/>
        <v>46388</v>
      </c>
      <c r="AQ78" s="201">
        <f t="shared" si="277"/>
        <v>46419</v>
      </c>
      <c r="AR78" s="201">
        <f t="shared" si="277"/>
        <v>46447</v>
      </c>
      <c r="AS78" s="201">
        <f t="shared" si="277"/>
        <v>46478</v>
      </c>
      <c r="AT78" s="201">
        <f t="shared" si="277"/>
        <v>46508</v>
      </c>
      <c r="AU78" s="201">
        <f t="shared" si="277"/>
        <v>46539</v>
      </c>
      <c r="AV78" s="201">
        <f t="shared" si="277"/>
        <v>46569</v>
      </c>
      <c r="AW78" s="201">
        <f t="shared" si="277"/>
        <v>46600</v>
      </c>
      <c r="AX78" s="201">
        <f t="shared" si="277"/>
        <v>46631</v>
      </c>
      <c r="AY78" s="201">
        <f t="shared" si="277"/>
        <v>46661</v>
      </c>
      <c r="AZ78" s="201">
        <f t="shared" si="277"/>
        <v>46692</v>
      </c>
      <c r="BA78" s="201">
        <f t="shared" si="277"/>
        <v>46722</v>
      </c>
      <c r="BB78" s="201">
        <f t="shared" si="277"/>
        <v>46753</v>
      </c>
      <c r="BC78" s="201">
        <f t="shared" si="277"/>
        <v>46784</v>
      </c>
      <c r="BD78" s="201">
        <f t="shared" si="277"/>
        <v>46813</v>
      </c>
      <c r="BE78" s="201">
        <f t="shared" si="277"/>
        <v>46844</v>
      </c>
      <c r="BF78" s="201">
        <f t="shared" si="277"/>
        <v>46874</v>
      </c>
      <c r="BG78" s="201">
        <f t="shared" si="277"/>
        <v>46905</v>
      </c>
      <c r="BH78" s="201">
        <f t="shared" si="277"/>
        <v>46935</v>
      </c>
      <c r="BI78" s="201">
        <f t="shared" si="277"/>
        <v>46966</v>
      </c>
      <c r="BJ78" s="201">
        <f t="shared" si="277"/>
        <v>46997</v>
      </c>
      <c r="BK78" s="201">
        <f t="shared" si="277"/>
        <v>47027</v>
      </c>
      <c r="BL78" s="201">
        <f t="shared" si="277"/>
        <v>47058</v>
      </c>
      <c r="BM78" s="201">
        <f t="shared" si="277"/>
        <v>47088</v>
      </c>
      <c r="BN78" s="201">
        <f t="shared" si="277"/>
        <v>47119</v>
      </c>
      <c r="BO78" s="201">
        <f t="shared" si="277"/>
        <v>47150</v>
      </c>
      <c r="BP78" s="201">
        <f t="shared" si="277"/>
        <v>47178</v>
      </c>
      <c r="BQ78" s="201">
        <f t="shared" si="277"/>
        <v>47209</v>
      </c>
      <c r="BR78" s="201">
        <f t="shared" si="277"/>
        <v>47239</v>
      </c>
      <c r="BS78" s="201">
        <f t="shared" si="277"/>
        <v>47270</v>
      </c>
      <c r="BT78" s="201">
        <f t="shared" si="277"/>
        <v>47300</v>
      </c>
      <c r="BU78" s="201">
        <f t="shared" si="277"/>
        <v>47331</v>
      </c>
      <c r="BV78" s="201">
        <f t="shared" ref="BV78:BX78" si="278">BV43</f>
        <v>47362</v>
      </c>
      <c r="BW78" s="201">
        <f t="shared" si="278"/>
        <v>47392</v>
      </c>
      <c r="BX78" s="201">
        <f t="shared" si="278"/>
        <v>47423</v>
      </c>
      <c r="BY78" s="201">
        <f t="shared" ref="BY78:CK78" si="279">BY43</f>
        <v>47453</v>
      </c>
      <c r="BZ78" s="201">
        <f t="shared" si="279"/>
        <v>47484</v>
      </c>
      <c r="CA78" s="201">
        <f t="shared" si="279"/>
        <v>47515</v>
      </c>
      <c r="CB78" s="201">
        <f t="shared" si="279"/>
        <v>47543</v>
      </c>
      <c r="CC78" s="201">
        <f t="shared" si="279"/>
        <v>47574</v>
      </c>
      <c r="CD78" s="201">
        <f t="shared" si="279"/>
        <v>47604</v>
      </c>
      <c r="CE78" s="201">
        <f t="shared" si="279"/>
        <v>47635</v>
      </c>
      <c r="CF78" s="201">
        <f t="shared" si="279"/>
        <v>47665</v>
      </c>
      <c r="CG78" s="201">
        <f t="shared" si="279"/>
        <v>47696</v>
      </c>
      <c r="CH78" s="201">
        <f t="shared" si="279"/>
        <v>47727</v>
      </c>
      <c r="CI78" s="201">
        <f t="shared" si="279"/>
        <v>47757</v>
      </c>
      <c r="CJ78" s="201">
        <f t="shared" si="279"/>
        <v>47788</v>
      </c>
      <c r="CK78" s="201">
        <f t="shared" si="279"/>
        <v>47818</v>
      </c>
      <c r="CM78" s="202">
        <f>CM43</f>
        <v>2024</v>
      </c>
      <c r="CN78" s="202">
        <f>CM78+1</f>
        <v>2025</v>
      </c>
      <c r="CO78" s="202">
        <f t="shared" ref="CO78" si="280">CN78+1</f>
        <v>2026</v>
      </c>
      <c r="CP78" s="202">
        <f t="shared" ref="CP78" si="281">CO78+1</f>
        <v>2027</v>
      </c>
      <c r="CQ78" s="202">
        <f t="shared" ref="CQ78" si="282">CP78+1</f>
        <v>2028</v>
      </c>
      <c r="CR78" s="202">
        <f t="shared" ref="CR78" si="283">CQ78+1</f>
        <v>2029</v>
      </c>
      <c r="CS78" s="202">
        <f t="shared" ref="CS78" si="284">CR78+1</f>
        <v>2030</v>
      </c>
    </row>
    <row r="79" spans="2:97" hidden="1" outlineLevel="1" x14ac:dyDescent="0.2">
      <c r="B79" s="8" t="s">
        <v>43</v>
      </c>
      <c r="C79" s="9" t="s">
        <v>39</v>
      </c>
      <c r="D79" s="211">
        <v>0</v>
      </c>
      <c r="F79" s="22"/>
      <c r="G79" s="22"/>
      <c r="H79" s="22"/>
      <c r="I79" s="22"/>
      <c r="J79" s="22"/>
      <c r="K79" s="22"/>
      <c r="L79" s="22"/>
      <c r="M79" s="22"/>
      <c r="N79" s="22"/>
      <c r="O79" s="22"/>
      <c r="P79" s="22"/>
      <c r="Q79" s="22"/>
      <c r="R79" s="22"/>
      <c r="S79" s="22">
        <f t="shared" ref="S79:CK79" si="285">S$39*$D79</f>
        <v>0</v>
      </c>
      <c r="T79" s="22">
        <f t="shared" si="285"/>
        <v>0</v>
      </c>
      <c r="U79" s="22">
        <f t="shared" si="285"/>
        <v>0</v>
      </c>
      <c r="V79" s="22">
        <f t="shared" si="285"/>
        <v>0</v>
      </c>
      <c r="W79" s="22">
        <f t="shared" si="285"/>
        <v>0</v>
      </c>
      <c r="X79" s="22">
        <f t="shared" si="285"/>
        <v>0</v>
      </c>
      <c r="Y79" s="22">
        <f t="shared" si="285"/>
        <v>0</v>
      </c>
      <c r="Z79" s="22">
        <f t="shared" si="285"/>
        <v>0</v>
      </c>
      <c r="AA79" s="22">
        <f t="shared" si="285"/>
        <v>0</v>
      </c>
      <c r="AB79" s="22">
        <f t="shared" si="285"/>
        <v>0</v>
      </c>
      <c r="AC79" s="22">
        <f t="shared" si="285"/>
        <v>0</v>
      </c>
      <c r="AD79" s="22">
        <f t="shared" si="285"/>
        <v>0</v>
      </c>
      <c r="AE79" s="22">
        <f t="shared" si="285"/>
        <v>0</v>
      </c>
      <c r="AF79" s="22">
        <f t="shared" si="285"/>
        <v>0</v>
      </c>
      <c r="AG79" s="22">
        <f t="shared" si="285"/>
        <v>0</v>
      </c>
      <c r="AH79" s="22">
        <f t="shared" si="285"/>
        <v>0</v>
      </c>
      <c r="AI79" s="22">
        <f t="shared" si="285"/>
        <v>0</v>
      </c>
      <c r="AJ79" s="22">
        <f t="shared" si="285"/>
        <v>0</v>
      </c>
      <c r="AK79" s="22">
        <f t="shared" si="285"/>
        <v>0</v>
      </c>
      <c r="AL79" s="22">
        <f t="shared" si="285"/>
        <v>0</v>
      </c>
      <c r="AM79" s="22">
        <f t="shared" si="285"/>
        <v>0</v>
      </c>
      <c r="AN79" s="22">
        <f t="shared" si="285"/>
        <v>0</v>
      </c>
      <c r="AO79" s="22">
        <f t="shared" si="285"/>
        <v>0</v>
      </c>
      <c r="AP79" s="22">
        <f t="shared" si="285"/>
        <v>0</v>
      </c>
      <c r="AQ79" s="22">
        <f t="shared" si="285"/>
        <v>0</v>
      </c>
      <c r="AR79" s="22">
        <f t="shared" si="285"/>
        <v>0</v>
      </c>
      <c r="AS79" s="22">
        <f t="shared" si="285"/>
        <v>0</v>
      </c>
      <c r="AT79" s="22">
        <f t="shared" si="285"/>
        <v>0</v>
      </c>
      <c r="AU79" s="22">
        <f t="shared" si="285"/>
        <v>0</v>
      </c>
      <c r="AV79" s="22">
        <f t="shared" si="285"/>
        <v>0</v>
      </c>
      <c r="AW79" s="22">
        <f t="shared" si="285"/>
        <v>0</v>
      </c>
      <c r="AX79" s="22">
        <f t="shared" si="285"/>
        <v>0</v>
      </c>
      <c r="AY79" s="22">
        <f t="shared" si="285"/>
        <v>0</v>
      </c>
      <c r="AZ79" s="22">
        <f t="shared" si="285"/>
        <v>0</v>
      </c>
      <c r="BA79" s="22">
        <f t="shared" si="285"/>
        <v>0</v>
      </c>
      <c r="BB79" s="22">
        <f t="shared" si="285"/>
        <v>0</v>
      </c>
      <c r="BC79" s="22">
        <f t="shared" si="285"/>
        <v>0</v>
      </c>
      <c r="BD79" s="22">
        <f t="shared" si="285"/>
        <v>0</v>
      </c>
      <c r="BE79" s="22">
        <f t="shared" si="285"/>
        <v>0</v>
      </c>
      <c r="BF79" s="22">
        <f t="shared" si="285"/>
        <v>0</v>
      </c>
      <c r="BG79" s="22">
        <f t="shared" si="285"/>
        <v>0</v>
      </c>
      <c r="BH79" s="22">
        <f t="shared" si="285"/>
        <v>0</v>
      </c>
      <c r="BI79" s="22">
        <f t="shared" si="285"/>
        <v>0</v>
      </c>
      <c r="BJ79" s="22">
        <f t="shared" si="285"/>
        <v>0</v>
      </c>
      <c r="BK79" s="22">
        <f t="shared" si="285"/>
        <v>0</v>
      </c>
      <c r="BL79" s="22">
        <f t="shared" si="285"/>
        <v>0</v>
      </c>
      <c r="BM79" s="22">
        <f t="shared" si="285"/>
        <v>0</v>
      </c>
      <c r="BN79" s="22">
        <f t="shared" si="285"/>
        <v>0</v>
      </c>
      <c r="BO79" s="22">
        <f t="shared" si="285"/>
        <v>0</v>
      </c>
      <c r="BP79" s="22">
        <f t="shared" si="285"/>
        <v>0</v>
      </c>
      <c r="BQ79" s="22">
        <f t="shared" si="285"/>
        <v>0</v>
      </c>
      <c r="BR79" s="22">
        <f t="shared" si="285"/>
        <v>0</v>
      </c>
      <c r="BS79" s="22">
        <f t="shared" si="285"/>
        <v>0</v>
      </c>
      <c r="BT79" s="22">
        <f t="shared" si="285"/>
        <v>0</v>
      </c>
      <c r="BU79" s="22">
        <f t="shared" si="285"/>
        <v>0</v>
      </c>
      <c r="BV79" s="22">
        <f t="shared" si="285"/>
        <v>0</v>
      </c>
      <c r="BW79" s="22">
        <f t="shared" si="285"/>
        <v>0</v>
      </c>
      <c r="BX79" s="22">
        <f t="shared" si="285"/>
        <v>0</v>
      </c>
      <c r="BY79" s="22">
        <f t="shared" si="285"/>
        <v>0</v>
      </c>
      <c r="BZ79" s="22">
        <f t="shared" si="285"/>
        <v>0</v>
      </c>
      <c r="CA79" s="22">
        <f t="shared" si="285"/>
        <v>0</v>
      </c>
      <c r="CB79" s="22">
        <f t="shared" si="285"/>
        <v>0</v>
      </c>
      <c r="CC79" s="22">
        <f t="shared" si="285"/>
        <v>0</v>
      </c>
      <c r="CD79" s="22">
        <f t="shared" si="285"/>
        <v>0</v>
      </c>
      <c r="CE79" s="22">
        <f t="shared" si="285"/>
        <v>0</v>
      </c>
      <c r="CF79" s="22">
        <f t="shared" si="285"/>
        <v>0</v>
      </c>
      <c r="CG79" s="22">
        <f t="shared" si="285"/>
        <v>0</v>
      </c>
      <c r="CH79" s="22">
        <f t="shared" si="285"/>
        <v>0</v>
      </c>
      <c r="CI79" s="22">
        <f t="shared" si="285"/>
        <v>0</v>
      </c>
      <c r="CJ79" s="22">
        <f t="shared" si="285"/>
        <v>0</v>
      </c>
      <c r="CK79" s="22">
        <f t="shared" si="285"/>
        <v>0</v>
      </c>
      <c r="CM79" s="10">
        <f t="shared" ref="CM79:CQ83" si="286">SUMIF($L$2:$CK$2,CM$3,$L79:$CK79)</f>
        <v>0</v>
      </c>
      <c r="CN79" s="10">
        <f t="shared" si="286"/>
        <v>0</v>
      </c>
      <c r="CO79" s="10">
        <f t="shared" si="286"/>
        <v>0</v>
      </c>
      <c r="CP79" s="10">
        <f t="shared" si="286"/>
        <v>0</v>
      </c>
      <c r="CQ79" s="10">
        <f t="shared" si="286"/>
        <v>0</v>
      </c>
      <c r="CR79" s="10">
        <f t="shared" ref="CR79:CS83" si="287">SUMIF($L$2:$CK$2,CR$3,$L79:$CK79)</f>
        <v>0</v>
      </c>
      <c r="CS79" s="10">
        <f t="shared" si="287"/>
        <v>0</v>
      </c>
    </row>
    <row r="80" spans="2:97" outlineLevel="1" x14ac:dyDescent="0.2">
      <c r="B80" s="92" t="s">
        <v>44</v>
      </c>
      <c r="C80" s="97" t="s">
        <v>4</v>
      </c>
      <c r="D80" s="91"/>
      <c r="AE80" s="227">
        <v>50</v>
      </c>
      <c r="AF80" s="8">
        <f t="shared" ref="AF80:AW80" si="288">AE80</f>
        <v>50</v>
      </c>
      <c r="AG80" s="8">
        <f t="shared" si="288"/>
        <v>50</v>
      </c>
      <c r="AH80" s="8">
        <f t="shared" si="288"/>
        <v>50</v>
      </c>
      <c r="AI80" s="8">
        <f t="shared" si="288"/>
        <v>50</v>
      </c>
      <c r="AJ80" s="227">
        <v>55</v>
      </c>
      <c r="AK80" s="8">
        <f t="shared" si="288"/>
        <v>55</v>
      </c>
      <c r="AL80" s="8">
        <f t="shared" si="288"/>
        <v>55</v>
      </c>
      <c r="AM80" s="8">
        <f t="shared" si="288"/>
        <v>55</v>
      </c>
      <c r="AN80" s="8">
        <f t="shared" si="288"/>
        <v>55</v>
      </c>
      <c r="AO80" s="8">
        <f t="shared" si="288"/>
        <v>55</v>
      </c>
      <c r="AP80" s="227">
        <v>60</v>
      </c>
      <c r="AQ80" s="8">
        <f t="shared" si="288"/>
        <v>60</v>
      </c>
      <c r="AR80" s="8">
        <f t="shared" si="288"/>
        <v>60</v>
      </c>
      <c r="AS80" s="8">
        <f t="shared" si="288"/>
        <v>60</v>
      </c>
      <c r="AT80" s="8">
        <f t="shared" si="288"/>
        <v>60</v>
      </c>
      <c r="AU80" s="8">
        <f t="shared" si="288"/>
        <v>60</v>
      </c>
      <c r="AV80" s="8">
        <f t="shared" si="288"/>
        <v>60</v>
      </c>
      <c r="AW80" s="8">
        <f t="shared" si="288"/>
        <v>60</v>
      </c>
      <c r="AX80" s="227">
        <v>70</v>
      </c>
      <c r="AY80" s="8">
        <f t="shared" ref="AY80" si="289">AX80</f>
        <v>70</v>
      </c>
      <c r="AZ80" s="8">
        <f t="shared" ref="AZ80" si="290">AY80</f>
        <v>70</v>
      </c>
      <c r="BA80" s="8">
        <f t="shared" ref="BA80" si="291">AZ80</f>
        <v>70</v>
      </c>
      <c r="BB80" s="8">
        <f t="shared" ref="BB80" si="292">BA80</f>
        <v>70</v>
      </c>
      <c r="BC80" s="8">
        <f t="shared" ref="BC80" si="293">BB80</f>
        <v>70</v>
      </c>
      <c r="BD80" s="8">
        <f t="shared" ref="BD80" si="294">BC80</f>
        <v>70</v>
      </c>
      <c r="BE80" s="8">
        <f t="shared" ref="BE80" si="295">BD80</f>
        <v>70</v>
      </c>
      <c r="BF80" s="8">
        <f t="shared" ref="BF80" si="296">BE80</f>
        <v>70</v>
      </c>
      <c r="BG80" s="8">
        <f t="shared" ref="BG80" si="297">BF80</f>
        <v>70</v>
      </c>
      <c r="BH80" s="8">
        <f t="shared" ref="BH80" si="298">BG80</f>
        <v>70</v>
      </c>
      <c r="BI80" s="8">
        <f t="shared" ref="BI80" si="299">BH80</f>
        <v>70</v>
      </c>
      <c r="BJ80" s="8">
        <f t="shared" ref="BJ80" si="300">BI80</f>
        <v>70</v>
      </c>
      <c r="BK80" s="8">
        <f t="shared" ref="BK80" si="301">BJ80</f>
        <v>70</v>
      </c>
      <c r="BL80" s="8">
        <f t="shared" ref="BL80" si="302">BK80</f>
        <v>70</v>
      </c>
      <c r="BM80" s="8">
        <f t="shared" ref="BM80" si="303">BL80</f>
        <v>70</v>
      </c>
      <c r="BN80" s="8">
        <f t="shared" ref="BN80" si="304">BM80</f>
        <v>70</v>
      </c>
      <c r="BO80" s="8">
        <f t="shared" ref="BO80" si="305">BN80</f>
        <v>70</v>
      </c>
      <c r="BP80" s="8">
        <f t="shared" ref="BP80" si="306">BO80</f>
        <v>70</v>
      </c>
      <c r="BQ80" s="8">
        <f t="shared" ref="BQ80" si="307">BP80</f>
        <v>70</v>
      </c>
      <c r="BR80" s="8">
        <f t="shared" ref="BR80" si="308">BQ80</f>
        <v>70</v>
      </c>
      <c r="BS80" s="8">
        <f t="shared" ref="BS80" si="309">BR80</f>
        <v>70</v>
      </c>
      <c r="BT80" s="8">
        <f t="shared" ref="BT80" si="310">BS80</f>
        <v>70</v>
      </c>
      <c r="BU80" s="8">
        <f t="shared" ref="BU80" si="311">BT80</f>
        <v>70</v>
      </c>
      <c r="BV80" s="8">
        <f t="shared" ref="BV80" si="312">BU80</f>
        <v>70</v>
      </c>
      <c r="BW80" s="8">
        <f t="shared" ref="BW80" si="313">BV80</f>
        <v>70</v>
      </c>
      <c r="BX80" s="8">
        <f t="shared" ref="BX80" si="314">BW80</f>
        <v>70</v>
      </c>
      <c r="BY80" s="8">
        <f t="shared" ref="BY80" si="315">BX80</f>
        <v>70</v>
      </c>
      <c r="BZ80" s="8">
        <f t="shared" ref="BZ80" si="316">BY80</f>
        <v>70</v>
      </c>
      <c r="CA80" s="8">
        <f t="shared" ref="CA80" si="317">BZ80</f>
        <v>70</v>
      </c>
      <c r="CB80" s="8">
        <f t="shared" ref="CB80" si="318">CA80</f>
        <v>70</v>
      </c>
      <c r="CC80" s="8">
        <f t="shared" ref="CC80" si="319">CB80</f>
        <v>70</v>
      </c>
      <c r="CD80" s="8">
        <f t="shared" ref="CD80" si="320">CC80</f>
        <v>70</v>
      </c>
      <c r="CE80" s="8">
        <f t="shared" ref="CE80" si="321">CD80</f>
        <v>70</v>
      </c>
      <c r="CF80" s="8">
        <f t="shared" ref="CF80" si="322">CE80</f>
        <v>70</v>
      </c>
      <c r="CG80" s="8">
        <f t="shared" ref="CG80" si="323">CF80</f>
        <v>70</v>
      </c>
      <c r="CH80" s="8">
        <f t="shared" ref="CH80" si="324">CG80</f>
        <v>70</v>
      </c>
      <c r="CI80" s="8">
        <f t="shared" ref="CI80" si="325">CH80</f>
        <v>70</v>
      </c>
      <c r="CJ80" s="8">
        <f t="shared" ref="CJ80" si="326">CI80</f>
        <v>70</v>
      </c>
      <c r="CK80" s="8">
        <f t="shared" ref="CK80" si="327">CJ80</f>
        <v>70</v>
      </c>
      <c r="CM80" s="10">
        <f t="shared" si="286"/>
        <v>0</v>
      </c>
      <c r="CN80" s="10">
        <f t="shared" si="286"/>
        <v>0</v>
      </c>
      <c r="CO80" s="10">
        <f t="shared" si="286"/>
        <v>580</v>
      </c>
      <c r="CP80" s="10">
        <f t="shared" si="286"/>
        <v>760</v>
      </c>
      <c r="CQ80" s="10">
        <f t="shared" si="286"/>
        <v>840</v>
      </c>
      <c r="CR80" s="10">
        <f t="shared" si="287"/>
        <v>840</v>
      </c>
      <c r="CS80" s="10">
        <f t="shared" si="287"/>
        <v>840</v>
      </c>
    </row>
    <row r="81" spans="2:97" outlineLevel="1" x14ac:dyDescent="0.2">
      <c r="B81" s="92" t="s">
        <v>17</v>
      </c>
      <c r="C81" s="91" t="s">
        <v>39</v>
      </c>
      <c r="D81" s="229">
        <v>9.2999999999999992E-3</v>
      </c>
      <c r="F81" s="10"/>
      <c r="G81" s="10"/>
      <c r="H81" s="10"/>
      <c r="I81" s="10"/>
      <c r="J81" s="10"/>
      <c r="K81" s="10"/>
      <c r="L81" s="10"/>
      <c r="M81" s="10"/>
      <c r="N81" s="10"/>
      <c r="O81" s="10"/>
      <c r="P81" s="10"/>
      <c r="Q81" s="10"/>
      <c r="R81" s="10"/>
      <c r="S81" s="22">
        <f>S$39*$D81</f>
        <v>0</v>
      </c>
      <c r="T81" s="22">
        <f t="shared" ref="T81:CK81" si="328">T$39*$D81</f>
        <v>0</v>
      </c>
      <c r="U81" s="22">
        <f t="shared" si="328"/>
        <v>0</v>
      </c>
      <c r="V81" s="22">
        <f t="shared" si="328"/>
        <v>0</v>
      </c>
      <c r="W81" s="22">
        <f t="shared" si="328"/>
        <v>0</v>
      </c>
      <c r="X81" s="22">
        <f t="shared" si="328"/>
        <v>0</v>
      </c>
      <c r="Y81" s="22">
        <f t="shared" si="328"/>
        <v>0</v>
      </c>
      <c r="Z81" s="22">
        <f t="shared" si="328"/>
        <v>0</v>
      </c>
      <c r="AA81" s="22">
        <f t="shared" si="328"/>
        <v>0</v>
      </c>
      <c r="AB81" s="22">
        <f t="shared" si="328"/>
        <v>0</v>
      </c>
      <c r="AC81" s="22">
        <f t="shared" si="328"/>
        <v>0</v>
      </c>
      <c r="AD81" s="22">
        <f t="shared" si="328"/>
        <v>0</v>
      </c>
      <c r="AE81" s="22">
        <f t="shared" si="328"/>
        <v>0</v>
      </c>
      <c r="AF81" s="22">
        <f t="shared" si="328"/>
        <v>0</v>
      </c>
      <c r="AG81" s="22">
        <f t="shared" si="328"/>
        <v>0</v>
      </c>
      <c r="AH81" s="22">
        <f t="shared" si="328"/>
        <v>3.1619999999999999</v>
      </c>
      <c r="AI81" s="22">
        <f t="shared" si="328"/>
        <v>3.2252399999999999</v>
      </c>
      <c r="AJ81" s="22">
        <f t="shared" si="328"/>
        <v>3.3865019999999997</v>
      </c>
      <c r="AK81" s="22">
        <f t="shared" si="328"/>
        <v>3.7251521999999992</v>
      </c>
      <c r="AL81" s="22">
        <f t="shared" si="328"/>
        <v>4.8274619875020015</v>
      </c>
      <c r="AM81" s="22">
        <f t="shared" si="328"/>
        <v>5.3102081862522015</v>
      </c>
      <c r="AN81" s="22">
        <f t="shared" si="328"/>
        <v>5.8412290048774231</v>
      </c>
      <c r="AO81" s="22">
        <f t="shared" si="328"/>
        <v>6.7174133556090352</v>
      </c>
      <c r="AP81" s="22">
        <f t="shared" si="328"/>
        <v>6.7845874891651263</v>
      </c>
      <c r="AQ81" s="22">
        <f t="shared" si="328"/>
        <v>6.8524333640567781</v>
      </c>
      <c r="AR81" s="22">
        <f t="shared" si="328"/>
        <v>6.9894820313379133</v>
      </c>
      <c r="AS81" s="22">
        <f t="shared" si="328"/>
        <v>7.1292716719646716</v>
      </c>
      <c r="AT81" s="22">
        <f t="shared" si="328"/>
        <v>7.2718571054039645</v>
      </c>
      <c r="AU81" s="22">
        <f t="shared" si="328"/>
        <v>7.3445756764580041</v>
      </c>
      <c r="AV81" s="22">
        <f t="shared" si="328"/>
        <v>7.4180214332225844</v>
      </c>
      <c r="AW81" s="22">
        <f t="shared" si="328"/>
        <v>7.4922016475548103</v>
      </c>
      <c r="AX81" s="22">
        <f t="shared" si="328"/>
        <v>7.5671236640303583</v>
      </c>
      <c r="AY81" s="22">
        <f t="shared" si="328"/>
        <v>7.7184661373109655</v>
      </c>
      <c r="AZ81" s="22">
        <f t="shared" si="328"/>
        <v>7.8728354600571855</v>
      </c>
      <c r="BA81" s="22">
        <f t="shared" si="328"/>
        <v>8.0302921692583293</v>
      </c>
      <c r="BB81" s="22">
        <f t="shared" si="328"/>
        <v>8.1105950909509144</v>
      </c>
      <c r="BC81" s="22">
        <f t="shared" si="328"/>
        <v>8.1917010418604228</v>
      </c>
      <c r="BD81" s="22">
        <f t="shared" si="328"/>
        <v>8.3555350626976317</v>
      </c>
      <c r="BE81" s="22">
        <f t="shared" si="328"/>
        <v>8.5226457639515854</v>
      </c>
      <c r="BF81" s="22">
        <f t="shared" si="328"/>
        <v>8.6930986792306175</v>
      </c>
      <c r="BG81" s="22">
        <f t="shared" si="328"/>
        <v>8.7800296660229229</v>
      </c>
      <c r="BH81" s="22">
        <f t="shared" si="328"/>
        <v>8.8678299626831532</v>
      </c>
      <c r="BI81" s="22">
        <f t="shared" si="328"/>
        <v>8.9565082623099848</v>
      </c>
      <c r="BJ81" s="22">
        <f t="shared" si="328"/>
        <v>9.0460733449330846</v>
      </c>
      <c r="BK81" s="22">
        <f t="shared" si="328"/>
        <v>9.2269948118317462</v>
      </c>
      <c r="BL81" s="22">
        <f t="shared" si="328"/>
        <v>9.4115347080683804</v>
      </c>
      <c r="BM81" s="22">
        <f t="shared" si="328"/>
        <v>9.5997654022297496</v>
      </c>
      <c r="BN81" s="22">
        <f t="shared" si="328"/>
        <v>9.695763056252046</v>
      </c>
      <c r="BO81" s="22">
        <f t="shared" si="328"/>
        <v>9.7927206868145653</v>
      </c>
      <c r="BP81" s="22">
        <f t="shared" si="328"/>
        <v>9.9885751005508574</v>
      </c>
      <c r="BQ81" s="22">
        <f t="shared" si="328"/>
        <v>10.188346602561873</v>
      </c>
      <c r="BR81" s="22">
        <f t="shared" si="328"/>
        <v>10.392113534613111</v>
      </c>
      <c r="BS81" s="22">
        <f t="shared" si="328"/>
        <v>10.496034669959244</v>
      </c>
      <c r="BT81" s="22">
        <f t="shared" si="328"/>
        <v>10.600995016658837</v>
      </c>
      <c r="BU81" s="22">
        <f t="shared" si="328"/>
        <v>10.707004966825425</v>
      </c>
      <c r="BV81" s="22">
        <f t="shared" si="328"/>
        <v>10.814075016493678</v>
      </c>
      <c r="BW81" s="22">
        <f t="shared" si="328"/>
        <v>11.030356516823554</v>
      </c>
      <c r="BX81" s="22">
        <f t="shared" si="328"/>
        <v>11.250963647160024</v>
      </c>
      <c r="BY81" s="22">
        <f t="shared" si="328"/>
        <v>11.475982920103224</v>
      </c>
      <c r="BZ81" s="22">
        <f t="shared" si="328"/>
        <v>11.705502578505289</v>
      </c>
      <c r="CA81" s="22">
        <f t="shared" si="328"/>
        <v>11.939612630075395</v>
      </c>
      <c r="CB81" s="22">
        <f t="shared" si="328"/>
        <v>12.178404882676904</v>
      </c>
      <c r="CC81" s="22">
        <f t="shared" si="328"/>
        <v>12.421972980330441</v>
      </c>
      <c r="CD81" s="22">
        <f t="shared" si="328"/>
        <v>12.670412439937049</v>
      </c>
      <c r="CE81" s="22">
        <f t="shared" si="328"/>
        <v>12.923820688735791</v>
      </c>
      <c r="CF81" s="22">
        <f t="shared" si="328"/>
        <v>13.182297102510509</v>
      </c>
      <c r="CG81" s="22">
        <f t="shared" si="328"/>
        <v>13.445943044560718</v>
      </c>
      <c r="CH81" s="22">
        <f t="shared" si="328"/>
        <v>13.714861905451933</v>
      </c>
      <c r="CI81" s="22">
        <f t="shared" si="328"/>
        <v>13.989159143560972</v>
      </c>
      <c r="CJ81" s="22">
        <f t="shared" si="328"/>
        <v>14.268942326432192</v>
      </c>
      <c r="CK81" s="22">
        <f t="shared" si="328"/>
        <v>14.554321172960837</v>
      </c>
      <c r="CM81" s="10">
        <f t="shared" si="286"/>
        <v>0</v>
      </c>
      <c r="CN81" s="10">
        <f t="shared" si="286"/>
        <v>0</v>
      </c>
      <c r="CO81" s="10">
        <f t="shared" si="286"/>
        <v>36.195206734240656</v>
      </c>
      <c r="CP81" s="10">
        <f t="shared" si="286"/>
        <v>88.47114784982071</v>
      </c>
      <c r="CQ81" s="10">
        <f t="shared" si="286"/>
        <v>105.76231179677019</v>
      </c>
      <c r="CR81" s="10">
        <f t="shared" si="287"/>
        <v>126.43293173481644</v>
      </c>
      <c r="CS81" s="10">
        <f t="shared" si="287"/>
        <v>156.99525089573802</v>
      </c>
    </row>
    <row r="82" spans="2:97" outlineLevel="1" x14ac:dyDescent="0.2">
      <c r="B82" s="92" t="s">
        <v>45</v>
      </c>
      <c r="C82" s="91" t="s">
        <v>39</v>
      </c>
      <c r="D82" s="229">
        <v>4.4999999999999998E-2</v>
      </c>
      <c r="F82" s="22">
        <f t="shared" ref="F82:K82" si="329">F$39*$D82</f>
        <v>0</v>
      </c>
      <c r="G82" s="22">
        <f t="shared" si="329"/>
        <v>0</v>
      </c>
      <c r="H82" s="22">
        <f t="shared" si="329"/>
        <v>0</v>
      </c>
      <c r="I82" s="22">
        <f t="shared" si="329"/>
        <v>0</v>
      </c>
      <c r="J82" s="22">
        <f t="shared" si="329"/>
        <v>0</v>
      </c>
      <c r="K82" s="22">
        <f t="shared" si="329"/>
        <v>0</v>
      </c>
      <c r="L82" s="22">
        <f>L$39*$D82</f>
        <v>0</v>
      </c>
      <c r="M82" s="22">
        <f t="shared" ref="M82:CK82" si="330">M$39*$D82</f>
        <v>0</v>
      </c>
      <c r="N82" s="22">
        <f t="shared" si="330"/>
        <v>0</v>
      </c>
      <c r="O82" s="22">
        <f t="shared" si="330"/>
        <v>0</v>
      </c>
      <c r="P82" s="22">
        <f t="shared" si="330"/>
        <v>0</v>
      </c>
      <c r="Q82" s="22">
        <f t="shared" si="330"/>
        <v>0</v>
      </c>
      <c r="R82" s="22">
        <f t="shared" si="330"/>
        <v>0</v>
      </c>
      <c r="S82" s="22">
        <f t="shared" si="330"/>
        <v>0</v>
      </c>
      <c r="T82" s="22">
        <f t="shared" si="330"/>
        <v>0</v>
      </c>
      <c r="U82" s="22">
        <f t="shared" si="330"/>
        <v>0</v>
      </c>
      <c r="V82" s="22">
        <f t="shared" si="330"/>
        <v>0</v>
      </c>
      <c r="W82" s="22">
        <f t="shared" si="330"/>
        <v>0</v>
      </c>
      <c r="X82" s="22">
        <f t="shared" si="330"/>
        <v>0</v>
      </c>
      <c r="Y82" s="22">
        <f t="shared" si="330"/>
        <v>0</v>
      </c>
      <c r="Z82" s="22">
        <f t="shared" si="330"/>
        <v>0</v>
      </c>
      <c r="AA82" s="22">
        <f t="shared" si="330"/>
        <v>0</v>
      </c>
      <c r="AB82" s="22">
        <f t="shared" si="330"/>
        <v>0</v>
      </c>
      <c r="AC82" s="22">
        <f t="shared" si="330"/>
        <v>0</v>
      </c>
      <c r="AD82" s="22">
        <f t="shared" si="330"/>
        <v>0</v>
      </c>
      <c r="AE82" s="22">
        <f t="shared" si="330"/>
        <v>0</v>
      </c>
      <c r="AF82" s="22">
        <f t="shared" si="330"/>
        <v>0</v>
      </c>
      <c r="AG82" s="22">
        <f t="shared" si="330"/>
        <v>0</v>
      </c>
      <c r="AH82" s="22">
        <f t="shared" si="330"/>
        <v>15.299999999999999</v>
      </c>
      <c r="AI82" s="22">
        <f t="shared" si="330"/>
        <v>15.606</v>
      </c>
      <c r="AJ82" s="22">
        <f t="shared" si="330"/>
        <v>16.386299999999999</v>
      </c>
      <c r="AK82" s="22">
        <f t="shared" si="330"/>
        <v>18.024929999999998</v>
      </c>
      <c r="AL82" s="22">
        <f t="shared" si="330"/>
        <v>23.358687036300005</v>
      </c>
      <c r="AM82" s="22">
        <f t="shared" si="330"/>
        <v>25.694555739930006</v>
      </c>
      <c r="AN82" s="22">
        <f t="shared" si="330"/>
        <v>28.264011313923014</v>
      </c>
      <c r="AO82" s="22">
        <f t="shared" si="330"/>
        <v>32.503613011011467</v>
      </c>
      <c r="AP82" s="22">
        <f t="shared" si="330"/>
        <v>32.828649141121581</v>
      </c>
      <c r="AQ82" s="22">
        <f t="shared" si="330"/>
        <v>33.1569356325328</v>
      </c>
      <c r="AR82" s="22">
        <f t="shared" si="330"/>
        <v>33.82007434518345</v>
      </c>
      <c r="AS82" s="22">
        <f t="shared" si="330"/>
        <v>34.496475832087121</v>
      </c>
      <c r="AT82" s="22">
        <f t="shared" si="330"/>
        <v>35.186405348728861</v>
      </c>
      <c r="AU82" s="22">
        <f t="shared" si="330"/>
        <v>35.538269402216152</v>
      </c>
      <c r="AV82" s="22">
        <f t="shared" si="330"/>
        <v>35.893652096238313</v>
      </c>
      <c r="AW82" s="22">
        <f t="shared" si="330"/>
        <v>36.252588617200693</v>
      </c>
      <c r="AX82" s="22">
        <f t="shared" si="330"/>
        <v>36.615114503372702</v>
      </c>
      <c r="AY82" s="22">
        <f t="shared" si="330"/>
        <v>37.347416793440161</v>
      </c>
      <c r="AZ82" s="22">
        <f t="shared" si="330"/>
        <v>38.094365129308962</v>
      </c>
      <c r="BA82" s="22">
        <f t="shared" si="330"/>
        <v>38.85625243189515</v>
      </c>
      <c r="BB82" s="22">
        <f t="shared" si="330"/>
        <v>39.2448149562141</v>
      </c>
      <c r="BC82" s="22">
        <f t="shared" si="330"/>
        <v>39.637263105776242</v>
      </c>
      <c r="BD82" s="22">
        <f t="shared" si="330"/>
        <v>40.430008367891766</v>
      </c>
      <c r="BE82" s="22">
        <f t="shared" si="330"/>
        <v>41.238608535249604</v>
      </c>
      <c r="BF82" s="22">
        <f t="shared" si="330"/>
        <v>42.0633807059546</v>
      </c>
      <c r="BG82" s="22">
        <f t="shared" si="330"/>
        <v>42.484014513014145</v>
      </c>
      <c r="BH82" s="22">
        <f t="shared" si="330"/>
        <v>42.908854658144293</v>
      </c>
      <c r="BI82" s="22">
        <f t="shared" si="330"/>
        <v>43.337943204725732</v>
      </c>
      <c r="BJ82" s="22">
        <f t="shared" si="330"/>
        <v>43.771322636772993</v>
      </c>
      <c r="BK82" s="22">
        <f t="shared" si="330"/>
        <v>44.646749089508447</v>
      </c>
      <c r="BL82" s="22">
        <f t="shared" si="330"/>
        <v>45.539684071298623</v>
      </c>
      <c r="BM82" s="22">
        <f t="shared" si="330"/>
        <v>46.450477752724595</v>
      </c>
      <c r="BN82" s="22">
        <f t="shared" si="330"/>
        <v>46.914982530251841</v>
      </c>
      <c r="BO82" s="22">
        <f t="shared" si="330"/>
        <v>47.384132355554357</v>
      </c>
      <c r="BP82" s="22">
        <f t="shared" si="330"/>
        <v>48.331815002665437</v>
      </c>
      <c r="BQ82" s="22">
        <f t="shared" si="330"/>
        <v>49.298451302718746</v>
      </c>
      <c r="BR82" s="22">
        <f t="shared" si="330"/>
        <v>50.284420328773123</v>
      </c>
      <c r="BS82" s="22">
        <f t="shared" si="330"/>
        <v>50.78726453206086</v>
      </c>
      <c r="BT82" s="22">
        <f t="shared" si="330"/>
        <v>51.29513717738147</v>
      </c>
      <c r="BU82" s="22">
        <f t="shared" si="330"/>
        <v>51.808088549155286</v>
      </c>
      <c r="BV82" s="22">
        <f t="shared" si="330"/>
        <v>52.326169434646836</v>
      </c>
      <c r="BW82" s="22">
        <f t="shared" si="330"/>
        <v>53.372692823339776</v>
      </c>
      <c r="BX82" s="22">
        <f t="shared" si="330"/>
        <v>54.440146679806567</v>
      </c>
      <c r="BY82" s="22">
        <f t="shared" si="330"/>
        <v>55.528949613402702</v>
      </c>
      <c r="BZ82" s="22">
        <f t="shared" si="330"/>
        <v>56.639528605670762</v>
      </c>
      <c r="CA82" s="22">
        <f t="shared" si="330"/>
        <v>57.772319177784176</v>
      </c>
      <c r="CB82" s="22">
        <f t="shared" si="330"/>
        <v>58.927765561339861</v>
      </c>
      <c r="CC82" s="22">
        <f t="shared" si="330"/>
        <v>60.106320872566656</v>
      </c>
      <c r="CD82" s="22">
        <f t="shared" si="330"/>
        <v>61.30844729001798</v>
      </c>
      <c r="CE82" s="22">
        <f t="shared" si="330"/>
        <v>62.534616235818348</v>
      </c>
      <c r="CF82" s="22">
        <f t="shared" si="330"/>
        <v>63.785308560534723</v>
      </c>
      <c r="CG82" s="22">
        <f t="shared" si="330"/>
        <v>65.061014731745416</v>
      </c>
      <c r="CH82" s="22">
        <f t="shared" si="330"/>
        <v>66.362235026380333</v>
      </c>
      <c r="CI82" s="22">
        <f t="shared" si="330"/>
        <v>67.689479726907933</v>
      </c>
      <c r="CJ82" s="22">
        <f t="shared" si="330"/>
        <v>69.04326932144609</v>
      </c>
      <c r="CK82" s="22">
        <f t="shared" si="330"/>
        <v>70.424134707875012</v>
      </c>
      <c r="CM82" s="10">
        <f t="shared" si="286"/>
        <v>0</v>
      </c>
      <c r="CN82" s="10">
        <f t="shared" si="286"/>
        <v>0</v>
      </c>
      <c r="CO82" s="10">
        <f t="shared" si="286"/>
        <v>175.13809710116448</v>
      </c>
      <c r="CP82" s="10">
        <f t="shared" si="286"/>
        <v>428.08619927332597</v>
      </c>
      <c r="CQ82" s="10">
        <f t="shared" si="286"/>
        <v>511.75312159727503</v>
      </c>
      <c r="CR82" s="10">
        <f t="shared" si="287"/>
        <v>611.77225032975707</v>
      </c>
      <c r="CS82" s="10">
        <f t="shared" si="287"/>
        <v>759.65443981808733</v>
      </c>
    </row>
    <row r="83" spans="2:97" x14ac:dyDescent="0.2">
      <c r="B83" s="20" t="s">
        <v>6</v>
      </c>
      <c r="C83" s="23" t="s">
        <v>4</v>
      </c>
      <c r="D83" s="23"/>
      <c r="F83" s="24">
        <f t="shared" ref="F83:K83" si="331">SUM(F79:F82)</f>
        <v>0</v>
      </c>
      <c r="G83" s="24">
        <f t="shared" si="331"/>
        <v>0</v>
      </c>
      <c r="H83" s="24">
        <f t="shared" si="331"/>
        <v>0</v>
      </c>
      <c r="I83" s="24">
        <f t="shared" si="331"/>
        <v>0</v>
      </c>
      <c r="J83" s="24">
        <f t="shared" si="331"/>
        <v>0</v>
      </c>
      <c r="K83" s="24">
        <f t="shared" si="331"/>
        <v>0</v>
      </c>
      <c r="L83" s="24">
        <f>SUM(L79:L82)</f>
        <v>0</v>
      </c>
      <c r="M83" s="24">
        <f t="shared" ref="M83:BU83" si="332">SUM(M79:M82)</f>
        <v>0</v>
      </c>
      <c r="N83" s="24">
        <f t="shared" si="332"/>
        <v>0</v>
      </c>
      <c r="O83" s="24">
        <f t="shared" si="332"/>
        <v>0</v>
      </c>
      <c r="P83" s="24">
        <f t="shared" si="332"/>
        <v>0</v>
      </c>
      <c r="Q83" s="24">
        <f t="shared" si="332"/>
        <v>0</v>
      </c>
      <c r="R83" s="24">
        <f t="shared" si="332"/>
        <v>0</v>
      </c>
      <c r="S83" s="24">
        <f t="shared" si="332"/>
        <v>0</v>
      </c>
      <c r="T83" s="24">
        <f t="shared" si="332"/>
        <v>0</v>
      </c>
      <c r="U83" s="24">
        <f t="shared" si="332"/>
        <v>0</v>
      </c>
      <c r="V83" s="24">
        <f t="shared" si="332"/>
        <v>0</v>
      </c>
      <c r="W83" s="24">
        <f t="shared" si="332"/>
        <v>0</v>
      </c>
      <c r="X83" s="24">
        <f t="shared" si="332"/>
        <v>0</v>
      </c>
      <c r="Y83" s="24">
        <f t="shared" si="332"/>
        <v>0</v>
      </c>
      <c r="Z83" s="24">
        <f t="shared" si="332"/>
        <v>0</v>
      </c>
      <c r="AA83" s="24">
        <f t="shared" si="332"/>
        <v>0</v>
      </c>
      <c r="AB83" s="24">
        <f t="shared" si="332"/>
        <v>0</v>
      </c>
      <c r="AC83" s="24">
        <f t="shared" si="332"/>
        <v>0</v>
      </c>
      <c r="AD83" s="24">
        <f t="shared" si="332"/>
        <v>0</v>
      </c>
      <c r="AE83" s="24">
        <f t="shared" si="332"/>
        <v>50</v>
      </c>
      <c r="AF83" s="24">
        <f t="shared" si="332"/>
        <v>50</v>
      </c>
      <c r="AG83" s="24">
        <f t="shared" si="332"/>
        <v>50</v>
      </c>
      <c r="AH83" s="24">
        <f t="shared" si="332"/>
        <v>68.462000000000003</v>
      </c>
      <c r="AI83" s="24">
        <f t="shared" si="332"/>
        <v>68.831239999999994</v>
      </c>
      <c r="AJ83" s="24">
        <f t="shared" si="332"/>
        <v>74.772801999999999</v>
      </c>
      <c r="AK83" s="24">
        <f t="shared" si="332"/>
        <v>76.750082199999994</v>
      </c>
      <c r="AL83" s="24">
        <f t="shared" si="332"/>
        <v>83.186149023802017</v>
      </c>
      <c r="AM83" s="24">
        <f t="shared" si="332"/>
        <v>86.004763926182207</v>
      </c>
      <c r="AN83" s="24">
        <f t="shared" si="332"/>
        <v>89.10524031880044</v>
      </c>
      <c r="AO83" s="24">
        <f t="shared" si="332"/>
        <v>94.221026366620492</v>
      </c>
      <c r="AP83" s="24">
        <f t="shared" si="332"/>
        <v>99.613236630286707</v>
      </c>
      <c r="AQ83" s="24">
        <f t="shared" si="332"/>
        <v>100.00936899658959</v>
      </c>
      <c r="AR83" s="24">
        <f t="shared" si="332"/>
        <v>100.80955637652136</v>
      </c>
      <c r="AS83" s="24">
        <f t="shared" si="332"/>
        <v>101.62574750405179</v>
      </c>
      <c r="AT83" s="24">
        <f t="shared" si="332"/>
        <v>102.45826245413284</v>
      </c>
      <c r="AU83" s="24">
        <f t="shared" si="332"/>
        <v>102.88284507867417</v>
      </c>
      <c r="AV83" s="24">
        <f t="shared" si="332"/>
        <v>103.31167352946089</v>
      </c>
      <c r="AW83" s="24">
        <f t="shared" si="332"/>
        <v>103.74479026475549</v>
      </c>
      <c r="AX83" s="24">
        <f t="shared" si="332"/>
        <v>114.18223816740306</v>
      </c>
      <c r="AY83" s="24">
        <f t="shared" si="332"/>
        <v>115.06588293075113</v>
      </c>
      <c r="AZ83" s="24">
        <f t="shared" si="332"/>
        <v>115.96720058936614</v>
      </c>
      <c r="BA83" s="24">
        <f t="shared" si="332"/>
        <v>116.88654460115347</v>
      </c>
      <c r="BB83" s="24">
        <f t="shared" si="332"/>
        <v>117.35541004716501</v>
      </c>
      <c r="BC83" s="24">
        <f t="shared" si="332"/>
        <v>117.82896414763667</v>
      </c>
      <c r="BD83" s="24">
        <f t="shared" si="332"/>
        <v>118.7855434305894</v>
      </c>
      <c r="BE83" s="24">
        <f t="shared" si="332"/>
        <v>119.7612542992012</v>
      </c>
      <c r="BF83" s="24">
        <f t="shared" si="332"/>
        <v>120.75647938518522</v>
      </c>
      <c r="BG83" s="24">
        <f t="shared" si="332"/>
        <v>121.26404417903707</v>
      </c>
      <c r="BH83" s="24">
        <f t="shared" si="332"/>
        <v>121.77668462082744</v>
      </c>
      <c r="BI83" s="24">
        <f t="shared" si="332"/>
        <v>122.29445146703571</v>
      </c>
      <c r="BJ83" s="24">
        <f t="shared" si="332"/>
        <v>122.81739598170608</v>
      </c>
      <c r="BK83" s="24">
        <f t="shared" si="332"/>
        <v>123.87374390134019</v>
      </c>
      <c r="BL83" s="24">
        <f t="shared" si="332"/>
        <v>124.95121877936701</v>
      </c>
      <c r="BM83" s="24">
        <f t="shared" si="332"/>
        <v>126.05024315495434</v>
      </c>
      <c r="BN83" s="24">
        <f t="shared" si="332"/>
        <v>126.6107455865039</v>
      </c>
      <c r="BO83" s="24">
        <f t="shared" si="332"/>
        <v>127.17685304236892</v>
      </c>
      <c r="BP83" s="24">
        <f t="shared" si="332"/>
        <v>128.32039010321631</v>
      </c>
      <c r="BQ83" s="24">
        <f t="shared" si="332"/>
        <v>129.48679790528064</v>
      </c>
      <c r="BR83" s="24">
        <f t="shared" si="332"/>
        <v>130.67653386338623</v>
      </c>
      <c r="BS83" s="24">
        <f t="shared" si="332"/>
        <v>131.28329920202009</v>
      </c>
      <c r="BT83" s="24">
        <f t="shared" si="332"/>
        <v>131.89613219404032</v>
      </c>
      <c r="BU83" s="24">
        <f t="shared" si="332"/>
        <v>132.51509351598071</v>
      </c>
      <c r="BV83" s="24">
        <f t="shared" ref="BV83:BX83" si="333">SUM(BV79:BV82)</f>
        <v>133.14024445114052</v>
      </c>
      <c r="BW83" s="24">
        <f t="shared" si="333"/>
        <v>134.40304934016334</v>
      </c>
      <c r="BX83" s="24">
        <f t="shared" si="333"/>
        <v>135.69111032696659</v>
      </c>
      <c r="BY83" s="24">
        <f t="shared" ref="BY83:CK83" si="334">SUM(BY79:BY82)</f>
        <v>137.00493253350592</v>
      </c>
      <c r="BZ83" s="24">
        <f t="shared" si="334"/>
        <v>138.34503118417604</v>
      </c>
      <c r="CA83" s="24">
        <f t="shared" si="334"/>
        <v>139.71193180785957</v>
      </c>
      <c r="CB83" s="24">
        <f t="shared" si="334"/>
        <v>141.10617044401675</v>
      </c>
      <c r="CC83" s="24">
        <f t="shared" si="334"/>
        <v>142.52829385289709</v>
      </c>
      <c r="CD83" s="24">
        <f t="shared" si="334"/>
        <v>143.97885972995505</v>
      </c>
      <c r="CE83" s="24">
        <f t="shared" si="334"/>
        <v>145.45843692455412</v>
      </c>
      <c r="CF83" s="24">
        <f t="shared" si="334"/>
        <v>146.96760566304522</v>
      </c>
      <c r="CG83" s="24">
        <f t="shared" si="334"/>
        <v>148.50695777630614</v>
      </c>
      <c r="CH83" s="24">
        <f t="shared" si="334"/>
        <v>150.07709693183227</v>
      </c>
      <c r="CI83" s="24">
        <f t="shared" si="334"/>
        <v>151.67863887046889</v>
      </c>
      <c r="CJ83" s="24">
        <f t="shared" si="334"/>
        <v>153.31221164787829</v>
      </c>
      <c r="CK83" s="24">
        <f t="shared" si="334"/>
        <v>154.97845588083584</v>
      </c>
      <c r="CM83" s="24">
        <f t="shared" si="286"/>
        <v>0</v>
      </c>
      <c r="CN83" s="24">
        <f t="shared" si="286"/>
        <v>0</v>
      </c>
      <c r="CO83" s="24">
        <f t="shared" si="286"/>
        <v>791.3333038354051</v>
      </c>
      <c r="CP83" s="24">
        <f t="shared" si="286"/>
        <v>1276.5573471231467</v>
      </c>
      <c r="CQ83" s="24">
        <f t="shared" si="286"/>
        <v>1457.5154333940457</v>
      </c>
      <c r="CR83" s="24">
        <f t="shared" si="287"/>
        <v>1578.2051820645734</v>
      </c>
      <c r="CS83" s="24">
        <f t="shared" si="287"/>
        <v>1756.6496907138251</v>
      </c>
    </row>
    <row r="86" spans="2:97" x14ac:dyDescent="0.2">
      <c r="B86" s="12" t="s">
        <v>67</v>
      </c>
    </row>
    <row r="87" spans="2:97" x14ac:dyDescent="0.2">
      <c r="B87" s="200" t="s">
        <v>1</v>
      </c>
      <c r="C87" s="200" t="s">
        <v>2</v>
      </c>
      <c r="D87" s="102" t="s">
        <v>38</v>
      </c>
      <c r="F87" s="201">
        <f t="shared" ref="F87:K87" si="335">F78</f>
        <v>45292</v>
      </c>
      <c r="G87" s="201">
        <f t="shared" si="335"/>
        <v>45323</v>
      </c>
      <c r="H87" s="201">
        <f t="shared" si="335"/>
        <v>45352</v>
      </c>
      <c r="I87" s="201">
        <f t="shared" si="335"/>
        <v>45383</v>
      </c>
      <c r="J87" s="201">
        <f t="shared" si="335"/>
        <v>45413</v>
      </c>
      <c r="K87" s="201">
        <f t="shared" si="335"/>
        <v>45444</v>
      </c>
      <c r="L87" s="201">
        <f>L78</f>
        <v>45474</v>
      </c>
      <c r="M87" s="201">
        <f t="shared" ref="M87:BU87" si="336">M78</f>
        <v>45505</v>
      </c>
      <c r="N87" s="201">
        <f t="shared" si="336"/>
        <v>45536</v>
      </c>
      <c r="O87" s="201">
        <f t="shared" si="336"/>
        <v>45566</v>
      </c>
      <c r="P87" s="201">
        <f t="shared" si="336"/>
        <v>45597</v>
      </c>
      <c r="Q87" s="201">
        <f t="shared" si="336"/>
        <v>45627</v>
      </c>
      <c r="R87" s="201">
        <f t="shared" si="336"/>
        <v>45658</v>
      </c>
      <c r="S87" s="201">
        <f t="shared" si="336"/>
        <v>45689</v>
      </c>
      <c r="T87" s="201">
        <f t="shared" si="336"/>
        <v>45717</v>
      </c>
      <c r="U87" s="201">
        <f t="shared" si="336"/>
        <v>45748</v>
      </c>
      <c r="V87" s="201">
        <f t="shared" si="336"/>
        <v>45778</v>
      </c>
      <c r="W87" s="201">
        <f t="shared" si="336"/>
        <v>45809</v>
      </c>
      <c r="X87" s="201">
        <f t="shared" si="336"/>
        <v>45839</v>
      </c>
      <c r="Y87" s="201">
        <f t="shared" si="336"/>
        <v>45870</v>
      </c>
      <c r="Z87" s="201">
        <f t="shared" si="336"/>
        <v>45901</v>
      </c>
      <c r="AA87" s="201">
        <f t="shared" si="336"/>
        <v>45931</v>
      </c>
      <c r="AB87" s="201">
        <f t="shared" si="336"/>
        <v>45962</v>
      </c>
      <c r="AC87" s="201">
        <f t="shared" si="336"/>
        <v>45992</v>
      </c>
      <c r="AD87" s="201">
        <f t="shared" si="336"/>
        <v>46023</v>
      </c>
      <c r="AE87" s="201">
        <f t="shared" si="336"/>
        <v>46054</v>
      </c>
      <c r="AF87" s="201">
        <f t="shared" si="336"/>
        <v>46082</v>
      </c>
      <c r="AG87" s="201">
        <f t="shared" si="336"/>
        <v>46113</v>
      </c>
      <c r="AH87" s="201">
        <f t="shared" si="336"/>
        <v>46143</v>
      </c>
      <c r="AI87" s="201">
        <f t="shared" si="336"/>
        <v>46174</v>
      </c>
      <c r="AJ87" s="201">
        <f t="shared" si="336"/>
        <v>46204</v>
      </c>
      <c r="AK87" s="201">
        <f t="shared" si="336"/>
        <v>46235</v>
      </c>
      <c r="AL87" s="201">
        <f t="shared" si="336"/>
        <v>46266</v>
      </c>
      <c r="AM87" s="201">
        <f t="shared" si="336"/>
        <v>46296</v>
      </c>
      <c r="AN87" s="201">
        <f t="shared" si="336"/>
        <v>46327</v>
      </c>
      <c r="AO87" s="201">
        <f t="shared" si="336"/>
        <v>46357</v>
      </c>
      <c r="AP87" s="201">
        <f t="shared" si="336"/>
        <v>46388</v>
      </c>
      <c r="AQ87" s="201">
        <f t="shared" si="336"/>
        <v>46419</v>
      </c>
      <c r="AR87" s="201">
        <f t="shared" si="336"/>
        <v>46447</v>
      </c>
      <c r="AS87" s="201">
        <f t="shared" si="336"/>
        <v>46478</v>
      </c>
      <c r="AT87" s="201">
        <f t="shared" si="336"/>
        <v>46508</v>
      </c>
      <c r="AU87" s="201">
        <f t="shared" si="336"/>
        <v>46539</v>
      </c>
      <c r="AV87" s="201">
        <f t="shared" si="336"/>
        <v>46569</v>
      </c>
      <c r="AW87" s="201">
        <f t="shared" si="336"/>
        <v>46600</v>
      </c>
      <c r="AX87" s="201">
        <f t="shared" si="336"/>
        <v>46631</v>
      </c>
      <c r="AY87" s="201">
        <f t="shared" si="336"/>
        <v>46661</v>
      </c>
      <c r="AZ87" s="201">
        <f t="shared" si="336"/>
        <v>46692</v>
      </c>
      <c r="BA87" s="201">
        <f t="shared" si="336"/>
        <v>46722</v>
      </c>
      <c r="BB87" s="201">
        <f t="shared" si="336"/>
        <v>46753</v>
      </c>
      <c r="BC87" s="201">
        <f t="shared" si="336"/>
        <v>46784</v>
      </c>
      <c r="BD87" s="201">
        <f t="shared" si="336"/>
        <v>46813</v>
      </c>
      <c r="BE87" s="201">
        <f t="shared" si="336"/>
        <v>46844</v>
      </c>
      <c r="BF87" s="201">
        <f t="shared" si="336"/>
        <v>46874</v>
      </c>
      <c r="BG87" s="201">
        <f t="shared" si="336"/>
        <v>46905</v>
      </c>
      <c r="BH87" s="201">
        <f t="shared" si="336"/>
        <v>46935</v>
      </c>
      <c r="BI87" s="201">
        <f t="shared" si="336"/>
        <v>46966</v>
      </c>
      <c r="BJ87" s="201">
        <f t="shared" si="336"/>
        <v>46997</v>
      </c>
      <c r="BK87" s="201">
        <f t="shared" si="336"/>
        <v>47027</v>
      </c>
      <c r="BL87" s="201">
        <f t="shared" si="336"/>
        <v>47058</v>
      </c>
      <c r="BM87" s="201">
        <f t="shared" si="336"/>
        <v>47088</v>
      </c>
      <c r="BN87" s="201">
        <f t="shared" si="336"/>
        <v>47119</v>
      </c>
      <c r="BO87" s="201">
        <f t="shared" si="336"/>
        <v>47150</v>
      </c>
      <c r="BP87" s="201">
        <f t="shared" si="336"/>
        <v>47178</v>
      </c>
      <c r="BQ87" s="201">
        <f t="shared" si="336"/>
        <v>47209</v>
      </c>
      <c r="BR87" s="201">
        <f t="shared" si="336"/>
        <v>47239</v>
      </c>
      <c r="BS87" s="201">
        <f t="shared" si="336"/>
        <v>47270</v>
      </c>
      <c r="BT87" s="201">
        <f t="shared" si="336"/>
        <v>47300</v>
      </c>
      <c r="BU87" s="201">
        <f t="shared" si="336"/>
        <v>47331</v>
      </c>
      <c r="BV87" s="201">
        <f t="shared" ref="BV87:BX87" si="337">BV78</f>
        <v>47362</v>
      </c>
      <c r="BW87" s="201">
        <f t="shared" si="337"/>
        <v>47392</v>
      </c>
      <c r="BX87" s="201">
        <f t="shared" si="337"/>
        <v>47423</v>
      </c>
      <c r="BY87" s="201">
        <f t="shared" ref="BY87:CK87" si="338">BY78</f>
        <v>47453</v>
      </c>
      <c r="BZ87" s="201">
        <f t="shared" si="338"/>
        <v>47484</v>
      </c>
      <c r="CA87" s="201">
        <f t="shared" si="338"/>
        <v>47515</v>
      </c>
      <c r="CB87" s="201">
        <f t="shared" si="338"/>
        <v>47543</v>
      </c>
      <c r="CC87" s="201">
        <f t="shared" si="338"/>
        <v>47574</v>
      </c>
      <c r="CD87" s="201">
        <f t="shared" si="338"/>
        <v>47604</v>
      </c>
      <c r="CE87" s="201">
        <f t="shared" si="338"/>
        <v>47635</v>
      </c>
      <c r="CF87" s="201">
        <f t="shared" si="338"/>
        <v>47665</v>
      </c>
      <c r="CG87" s="201">
        <f t="shared" si="338"/>
        <v>47696</v>
      </c>
      <c r="CH87" s="201">
        <f t="shared" si="338"/>
        <v>47727</v>
      </c>
      <c r="CI87" s="201">
        <f t="shared" si="338"/>
        <v>47757</v>
      </c>
      <c r="CJ87" s="201">
        <f t="shared" si="338"/>
        <v>47788</v>
      </c>
      <c r="CK87" s="201">
        <f t="shared" si="338"/>
        <v>47818</v>
      </c>
      <c r="CM87" s="202">
        <f>CM78</f>
        <v>2024</v>
      </c>
      <c r="CN87" s="202">
        <f>CM87+1</f>
        <v>2025</v>
      </c>
      <c r="CO87" s="202">
        <f t="shared" ref="CO87" si="339">CN87+1</f>
        <v>2026</v>
      </c>
      <c r="CP87" s="202">
        <f t="shared" ref="CP87" si="340">CO87+1</f>
        <v>2027</v>
      </c>
      <c r="CQ87" s="202">
        <f t="shared" ref="CQ87" si="341">CP87+1</f>
        <v>2028</v>
      </c>
      <c r="CR87" s="202">
        <f t="shared" ref="CR87" si="342">CQ87+1</f>
        <v>2029</v>
      </c>
      <c r="CS87" s="202">
        <f t="shared" ref="CS87" si="343">CR87+1</f>
        <v>2030</v>
      </c>
    </row>
    <row r="88" spans="2:97" outlineLevel="1" x14ac:dyDescent="0.2">
      <c r="B88" s="92" t="s">
        <v>47</v>
      </c>
      <c r="C88" s="97" t="s">
        <v>4</v>
      </c>
      <c r="D88" s="9"/>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f t="shared" ref="CM88:CS90" si="344">SUMIF($L$2:$CK$2,CM$3,$L88:$CK88)</f>
        <v>0</v>
      </c>
      <c r="CN88" s="10">
        <f t="shared" si="344"/>
        <v>0</v>
      </c>
      <c r="CO88" s="10">
        <f t="shared" si="344"/>
        <v>0</v>
      </c>
      <c r="CP88" s="10">
        <f t="shared" si="344"/>
        <v>0</v>
      </c>
      <c r="CQ88" s="10">
        <f t="shared" si="344"/>
        <v>0</v>
      </c>
      <c r="CR88" s="10">
        <f t="shared" si="344"/>
        <v>0</v>
      </c>
      <c r="CS88" s="10">
        <f t="shared" si="344"/>
        <v>0</v>
      </c>
    </row>
    <row r="89" spans="2:97" outlineLevel="1" x14ac:dyDescent="0.2">
      <c r="B89" s="92" t="s">
        <v>48</v>
      </c>
      <c r="C89" s="97" t="s">
        <v>4</v>
      </c>
      <c r="D89" s="9"/>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f t="shared" si="344"/>
        <v>0</v>
      </c>
      <c r="CN89" s="10">
        <f t="shared" si="344"/>
        <v>0</v>
      </c>
      <c r="CO89" s="10">
        <f t="shared" si="344"/>
        <v>0</v>
      </c>
      <c r="CP89" s="10">
        <f t="shared" si="344"/>
        <v>0</v>
      </c>
      <c r="CQ89" s="10">
        <f t="shared" si="344"/>
        <v>0</v>
      </c>
      <c r="CR89" s="10">
        <f t="shared" si="344"/>
        <v>0</v>
      </c>
      <c r="CS89" s="10">
        <f t="shared" si="344"/>
        <v>0</v>
      </c>
    </row>
    <row r="90" spans="2:97" x14ac:dyDescent="0.2">
      <c r="B90" s="20" t="s">
        <v>6</v>
      </c>
      <c r="C90" s="23" t="s">
        <v>4</v>
      </c>
      <c r="D90" s="102"/>
      <c r="F90" s="24">
        <f t="shared" ref="F90:AK90" si="345">SUM(F88:F89)</f>
        <v>0</v>
      </c>
      <c r="G90" s="24">
        <f t="shared" si="345"/>
        <v>0</v>
      </c>
      <c r="H90" s="24">
        <f t="shared" si="345"/>
        <v>0</v>
      </c>
      <c r="I90" s="24">
        <f t="shared" si="345"/>
        <v>0</v>
      </c>
      <c r="J90" s="24">
        <f t="shared" si="345"/>
        <v>0</v>
      </c>
      <c r="K90" s="24">
        <f t="shared" si="345"/>
        <v>0</v>
      </c>
      <c r="L90" s="24">
        <f t="shared" si="345"/>
        <v>0</v>
      </c>
      <c r="M90" s="24">
        <f t="shared" si="345"/>
        <v>0</v>
      </c>
      <c r="N90" s="24">
        <f t="shared" si="345"/>
        <v>0</v>
      </c>
      <c r="O90" s="24">
        <f t="shared" si="345"/>
        <v>0</v>
      </c>
      <c r="P90" s="24">
        <f t="shared" si="345"/>
        <v>0</v>
      </c>
      <c r="Q90" s="24">
        <f t="shared" si="345"/>
        <v>0</v>
      </c>
      <c r="R90" s="24">
        <f t="shared" si="345"/>
        <v>0</v>
      </c>
      <c r="S90" s="24">
        <f t="shared" si="345"/>
        <v>0</v>
      </c>
      <c r="T90" s="24">
        <f t="shared" si="345"/>
        <v>0</v>
      </c>
      <c r="U90" s="24">
        <f t="shared" si="345"/>
        <v>0</v>
      </c>
      <c r="V90" s="24">
        <f t="shared" si="345"/>
        <v>0</v>
      </c>
      <c r="W90" s="24">
        <f t="shared" si="345"/>
        <v>0</v>
      </c>
      <c r="X90" s="24">
        <f t="shared" si="345"/>
        <v>0</v>
      </c>
      <c r="Y90" s="24">
        <f t="shared" si="345"/>
        <v>0</v>
      </c>
      <c r="Z90" s="24">
        <f t="shared" si="345"/>
        <v>0</v>
      </c>
      <c r="AA90" s="24">
        <f t="shared" si="345"/>
        <v>0</v>
      </c>
      <c r="AB90" s="24">
        <f t="shared" si="345"/>
        <v>0</v>
      </c>
      <c r="AC90" s="24">
        <f t="shared" si="345"/>
        <v>0</v>
      </c>
      <c r="AD90" s="24">
        <f t="shared" si="345"/>
        <v>0</v>
      </c>
      <c r="AE90" s="24">
        <f t="shared" si="345"/>
        <v>0</v>
      </c>
      <c r="AF90" s="24">
        <f t="shared" si="345"/>
        <v>0</v>
      </c>
      <c r="AG90" s="24">
        <f t="shared" si="345"/>
        <v>0</v>
      </c>
      <c r="AH90" s="24">
        <f t="shared" si="345"/>
        <v>0</v>
      </c>
      <c r="AI90" s="24">
        <f t="shared" si="345"/>
        <v>0</v>
      </c>
      <c r="AJ90" s="24">
        <f t="shared" si="345"/>
        <v>0</v>
      </c>
      <c r="AK90" s="24">
        <f t="shared" si="345"/>
        <v>0</v>
      </c>
      <c r="AL90" s="24">
        <f t="shared" ref="AL90:BQ90" si="346">SUM(AL88:AL89)</f>
        <v>0</v>
      </c>
      <c r="AM90" s="24">
        <f t="shared" si="346"/>
        <v>0</v>
      </c>
      <c r="AN90" s="24">
        <f t="shared" si="346"/>
        <v>0</v>
      </c>
      <c r="AO90" s="24">
        <f t="shared" si="346"/>
        <v>0</v>
      </c>
      <c r="AP90" s="24">
        <f t="shared" si="346"/>
        <v>0</v>
      </c>
      <c r="AQ90" s="24">
        <f t="shared" si="346"/>
        <v>0</v>
      </c>
      <c r="AR90" s="24">
        <f t="shared" si="346"/>
        <v>0</v>
      </c>
      <c r="AS90" s="24">
        <f t="shared" si="346"/>
        <v>0</v>
      </c>
      <c r="AT90" s="24">
        <f t="shared" si="346"/>
        <v>0</v>
      </c>
      <c r="AU90" s="24">
        <f t="shared" si="346"/>
        <v>0</v>
      </c>
      <c r="AV90" s="24">
        <f t="shared" si="346"/>
        <v>0</v>
      </c>
      <c r="AW90" s="24">
        <f t="shared" si="346"/>
        <v>0</v>
      </c>
      <c r="AX90" s="24">
        <f t="shared" si="346"/>
        <v>0</v>
      </c>
      <c r="AY90" s="24">
        <f t="shared" si="346"/>
        <v>0</v>
      </c>
      <c r="AZ90" s="24">
        <f t="shared" si="346"/>
        <v>0</v>
      </c>
      <c r="BA90" s="24">
        <f t="shared" si="346"/>
        <v>0</v>
      </c>
      <c r="BB90" s="24">
        <f t="shared" si="346"/>
        <v>0</v>
      </c>
      <c r="BC90" s="24">
        <f t="shared" si="346"/>
        <v>0</v>
      </c>
      <c r="BD90" s="24">
        <f t="shared" si="346"/>
        <v>0</v>
      </c>
      <c r="BE90" s="24">
        <f t="shared" si="346"/>
        <v>0</v>
      </c>
      <c r="BF90" s="24">
        <f t="shared" si="346"/>
        <v>0</v>
      </c>
      <c r="BG90" s="24">
        <f t="shared" si="346"/>
        <v>0</v>
      </c>
      <c r="BH90" s="24">
        <f t="shared" si="346"/>
        <v>0</v>
      </c>
      <c r="BI90" s="24">
        <f t="shared" si="346"/>
        <v>0</v>
      </c>
      <c r="BJ90" s="24">
        <f t="shared" si="346"/>
        <v>0</v>
      </c>
      <c r="BK90" s="24">
        <f t="shared" si="346"/>
        <v>0</v>
      </c>
      <c r="BL90" s="24">
        <f t="shared" si="346"/>
        <v>0</v>
      </c>
      <c r="BM90" s="24">
        <f t="shared" si="346"/>
        <v>0</v>
      </c>
      <c r="BN90" s="24">
        <f t="shared" si="346"/>
        <v>0</v>
      </c>
      <c r="BO90" s="24">
        <f t="shared" si="346"/>
        <v>0</v>
      </c>
      <c r="BP90" s="24">
        <f t="shared" si="346"/>
        <v>0</v>
      </c>
      <c r="BQ90" s="24">
        <f t="shared" si="346"/>
        <v>0</v>
      </c>
      <c r="BR90" s="24">
        <f t="shared" ref="BR90:BX90" si="347">SUM(BR88:BR89)</f>
        <v>0</v>
      </c>
      <c r="BS90" s="24">
        <f t="shared" si="347"/>
        <v>0</v>
      </c>
      <c r="BT90" s="24">
        <f t="shared" si="347"/>
        <v>0</v>
      </c>
      <c r="BU90" s="24">
        <f t="shared" si="347"/>
        <v>0</v>
      </c>
      <c r="BV90" s="24">
        <f t="shared" si="347"/>
        <v>0</v>
      </c>
      <c r="BW90" s="24">
        <f t="shared" si="347"/>
        <v>0</v>
      </c>
      <c r="BX90" s="24">
        <f t="shared" si="347"/>
        <v>0</v>
      </c>
      <c r="BY90" s="24">
        <f t="shared" ref="BY90:CK90" si="348">SUM(BY88:BY89)</f>
        <v>0</v>
      </c>
      <c r="BZ90" s="24">
        <f t="shared" si="348"/>
        <v>0</v>
      </c>
      <c r="CA90" s="24">
        <f t="shared" si="348"/>
        <v>0</v>
      </c>
      <c r="CB90" s="24">
        <f t="shared" si="348"/>
        <v>0</v>
      </c>
      <c r="CC90" s="24">
        <f t="shared" si="348"/>
        <v>0</v>
      </c>
      <c r="CD90" s="24">
        <f t="shared" si="348"/>
        <v>0</v>
      </c>
      <c r="CE90" s="24">
        <f t="shared" si="348"/>
        <v>0</v>
      </c>
      <c r="CF90" s="24">
        <f t="shared" si="348"/>
        <v>0</v>
      </c>
      <c r="CG90" s="24">
        <f t="shared" si="348"/>
        <v>0</v>
      </c>
      <c r="CH90" s="24">
        <f t="shared" si="348"/>
        <v>0</v>
      </c>
      <c r="CI90" s="24">
        <f t="shared" si="348"/>
        <v>0</v>
      </c>
      <c r="CJ90" s="24">
        <f t="shared" si="348"/>
        <v>0</v>
      </c>
      <c r="CK90" s="24">
        <f t="shared" si="348"/>
        <v>0</v>
      </c>
      <c r="CM90" s="24">
        <f t="shared" si="344"/>
        <v>0</v>
      </c>
      <c r="CN90" s="24">
        <f t="shared" si="344"/>
        <v>0</v>
      </c>
      <c r="CO90" s="24">
        <f t="shared" si="344"/>
        <v>0</v>
      </c>
      <c r="CP90" s="24">
        <f t="shared" si="344"/>
        <v>0</v>
      </c>
      <c r="CQ90" s="24">
        <f t="shared" si="344"/>
        <v>0</v>
      </c>
      <c r="CR90" s="24">
        <f t="shared" si="344"/>
        <v>0</v>
      </c>
      <c r="CS90" s="24">
        <f t="shared" si="344"/>
        <v>0</v>
      </c>
    </row>
    <row r="92" spans="2:97" s="27" customFormat="1" x14ac:dyDescent="0.2">
      <c r="B92" s="27" t="s">
        <v>88</v>
      </c>
      <c r="F92" s="28">
        <f t="shared" ref="F92:AK92" si="349">F39/1.2*0.2-F74/1.2*0.2-F90/1.2*0.2</f>
        <v>0</v>
      </c>
      <c r="G92" s="28">
        <f t="shared" si="349"/>
        <v>0</v>
      </c>
      <c r="H92" s="28">
        <f t="shared" si="349"/>
        <v>0</v>
      </c>
      <c r="I92" s="28">
        <f t="shared" si="349"/>
        <v>0</v>
      </c>
      <c r="J92" s="28">
        <f t="shared" si="349"/>
        <v>0</v>
      </c>
      <c r="K92" s="28">
        <f t="shared" si="349"/>
        <v>0</v>
      </c>
      <c r="L92" s="28">
        <f t="shared" si="349"/>
        <v>0</v>
      </c>
      <c r="M92" s="28">
        <f t="shared" si="349"/>
        <v>0</v>
      </c>
      <c r="N92" s="28">
        <f t="shared" si="349"/>
        <v>0</v>
      </c>
      <c r="O92" s="28">
        <f t="shared" si="349"/>
        <v>0</v>
      </c>
      <c r="P92" s="28">
        <f t="shared" si="349"/>
        <v>0</v>
      </c>
      <c r="Q92" s="28">
        <f t="shared" si="349"/>
        <v>0</v>
      </c>
      <c r="R92" s="28">
        <f t="shared" si="349"/>
        <v>0</v>
      </c>
      <c r="S92" s="28">
        <f t="shared" si="349"/>
        <v>0</v>
      </c>
      <c r="T92" s="28">
        <f t="shared" si="349"/>
        <v>0</v>
      </c>
      <c r="U92" s="28">
        <f t="shared" si="349"/>
        <v>0</v>
      </c>
      <c r="V92" s="28">
        <f t="shared" si="349"/>
        <v>0</v>
      </c>
      <c r="W92" s="28">
        <f t="shared" si="349"/>
        <v>0</v>
      </c>
      <c r="X92" s="28">
        <f t="shared" si="349"/>
        <v>0</v>
      </c>
      <c r="Y92" s="28">
        <f t="shared" si="349"/>
        <v>0</v>
      </c>
      <c r="Z92" s="28">
        <f t="shared" si="349"/>
        <v>0</v>
      </c>
      <c r="AA92" s="28">
        <f t="shared" si="349"/>
        <v>0</v>
      </c>
      <c r="AB92" s="28">
        <f t="shared" si="349"/>
        <v>0</v>
      </c>
      <c r="AC92" s="28">
        <f t="shared" si="349"/>
        <v>0</v>
      </c>
      <c r="AD92" s="28">
        <f t="shared" si="349"/>
        <v>-16.666666666666668</v>
      </c>
      <c r="AE92" s="28">
        <f t="shared" si="349"/>
        <v>0</v>
      </c>
      <c r="AF92" s="28">
        <f t="shared" si="349"/>
        <v>0</v>
      </c>
      <c r="AG92" s="28">
        <f t="shared" si="349"/>
        <v>0</v>
      </c>
      <c r="AH92" s="28">
        <f t="shared" si="349"/>
        <v>-27.133333333333333</v>
      </c>
      <c r="AI92" s="28">
        <f t="shared" si="349"/>
        <v>-76.759333333333331</v>
      </c>
      <c r="AJ92" s="28">
        <f t="shared" si="349"/>
        <v>-77.472300000000018</v>
      </c>
      <c r="AK92" s="28">
        <f t="shared" si="349"/>
        <v>-75.469530000000006</v>
      </c>
      <c r="AL92" s="28">
        <f t="shared" ref="AL92:BQ92" si="350">AL39/1.2*0.2-AL74/1.2*0.2-AL90/1.2*0.2</f>
        <v>-18.950493622299987</v>
      </c>
      <c r="AM92" s="28">
        <f t="shared" si="350"/>
        <v>14.382839711033341</v>
      </c>
      <c r="AN92" s="28">
        <f t="shared" si="350"/>
        <v>17.237790348803344</v>
      </c>
      <c r="AO92" s="28">
        <f t="shared" si="350"/>
        <v>21.948458901123871</v>
      </c>
      <c r="AP92" s="28">
        <f t="shared" si="350"/>
        <v>22.309610156801781</v>
      </c>
      <c r="AQ92" s="28">
        <f t="shared" si="350"/>
        <v>22.674372925036437</v>
      </c>
      <c r="AR92" s="28">
        <f t="shared" si="350"/>
        <v>23.411193716870528</v>
      </c>
      <c r="AS92" s="28">
        <f t="shared" si="350"/>
        <v>24.162750924541257</v>
      </c>
      <c r="AT92" s="28">
        <f t="shared" si="350"/>
        <v>24.929339276365425</v>
      </c>
      <c r="AU92" s="28">
        <f t="shared" si="350"/>
        <v>25.320299335795752</v>
      </c>
      <c r="AV92" s="28">
        <f t="shared" si="350"/>
        <v>25.715168995820363</v>
      </c>
      <c r="AW92" s="28">
        <f t="shared" si="350"/>
        <v>26.113987352445193</v>
      </c>
      <c r="AX92" s="28">
        <f t="shared" si="350"/>
        <v>26.516793892636343</v>
      </c>
      <c r="AY92" s="28">
        <f t="shared" si="350"/>
        <v>27.330463103822439</v>
      </c>
      <c r="AZ92" s="28">
        <f t="shared" si="350"/>
        <v>28.160405699232172</v>
      </c>
      <c r="BA92" s="28">
        <f t="shared" si="350"/>
        <v>29.006947146550175</v>
      </c>
      <c r="BB92" s="28">
        <f t="shared" si="350"/>
        <v>29.438683284682341</v>
      </c>
      <c r="BC92" s="28">
        <f t="shared" si="350"/>
        <v>29.874736784195832</v>
      </c>
      <c r="BD92" s="28">
        <f t="shared" si="350"/>
        <v>30.755564853213087</v>
      </c>
      <c r="BE92" s="28">
        <f t="shared" si="350"/>
        <v>31.654009483610679</v>
      </c>
      <c r="BF92" s="28">
        <f t="shared" si="350"/>
        <v>32.570423006616238</v>
      </c>
      <c r="BG92" s="28">
        <f t="shared" si="350"/>
        <v>33.037793903349083</v>
      </c>
      <c r="BH92" s="28">
        <f t="shared" si="350"/>
        <v>33.509838509049246</v>
      </c>
      <c r="BI92" s="28">
        <f t="shared" si="350"/>
        <v>33.986603560806358</v>
      </c>
      <c r="BJ92" s="28">
        <f t="shared" si="350"/>
        <v>34.468136263081121</v>
      </c>
      <c r="BK92" s="28">
        <f t="shared" si="350"/>
        <v>35.440832321676055</v>
      </c>
      <c r="BL92" s="28">
        <f t="shared" si="350"/>
        <v>36.432982301442934</v>
      </c>
      <c r="BM92" s="28">
        <f t="shared" si="350"/>
        <v>37.444975280805124</v>
      </c>
      <c r="BN92" s="28">
        <f t="shared" si="350"/>
        <v>37.961091700279809</v>
      </c>
      <c r="BO92" s="28">
        <f t="shared" si="350"/>
        <v>38.482369283949282</v>
      </c>
      <c r="BP92" s="28">
        <f t="shared" si="350"/>
        <v>39.535350002961621</v>
      </c>
      <c r="BQ92" s="28">
        <f t="shared" si="350"/>
        <v>40.60939033635421</v>
      </c>
      <c r="BR92" s="28">
        <f t="shared" ref="BR92:BX92" si="351">BR39/1.2*0.2-BR74/1.2*0.2-BR90/1.2*0.2</f>
        <v>41.704911476414594</v>
      </c>
      <c r="BS92" s="28">
        <f t="shared" si="351"/>
        <v>42.2636272578454</v>
      </c>
      <c r="BT92" s="28">
        <f t="shared" si="351"/>
        <v>42.827930197090552</v>
      </c>
      <c r="BU92" s="28">
        <f t="shared" si="351"/>
        <v>43.39787616572815</v>
      </c>
      <c r="BV92" s="28">
        <f t="shared" si="351"/>
        <v>43.973521594052073</v>
      </c>
      <c r="BW92" s="28">
        <f t="shared" si="351"/>
        <v>45.136325359266408</v>
      </c>
      <c r="BX92" s="28">
        <f t="shared" si="351"/>
        <v>46.322385199785117</v>
      </c>
      <c r="BY92" s="28">
        <f t="shared" ref="BY92:CK92" si="352">BY39/1.2*0.2-BY74/1.2*0.2-BY90/1.2*0.2</f>
        <v>47.532166237114097</v>
      </c>
      <c r="BZ92" s="28">
        <f t="shared" si="352"/>
        <v>48.766142895189716</v>
      </c>
      <c r="CA92" s="28">
        <f t="shared" si="352"/>
        <v>50.024799086426839</v>
      </c>
      <c r="CB92" s="28">
        <f t="shared" si="352"/>
        <v>51.308628401488789</v>
      </c>
      <c r="CC92" s="28">
        <f t="shared" si="352"/>
        <v>52.618134302851871</v>
      </c>
      <c r="CD92" s="28">
        <f t="shared" si="352"/>
        <v>53.953830322242197</v>
      </c>
      <c r="CE92" s="28">
        <f t="shared" si="352"/>
        <v>55.316240262020415</v>
      </c>
      <c r="CF92" s="28">
        <f t="shared" si="352"/>
        <v>56.70589840059418</v>
      </c>
      <c r="CG92" s="28">
        <f t="shared" si="352"/>
        <v>58.123349701939361</v>
      </c>
      <c r="CH92" s="28">
        <f t="shared" si="352"/>
        <v>59.569150029311487</v>
      </c>
      <c r="CI92" s="28">
        <f t="shared" si="352"/>
        <v>61.043866363231047</v>
      </c>
      <c r="CJ92" s="28">
        <f t="shared" si="352"/>
        <v>62.548077023828995</v>
      </c>
      <c r="CK92" s="28">
        <f t="shared" si="352"/>
        <v>64.082371897638893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3">
    <outlinePr summaryBelow="0"/>
  </sheetPr>
  <dimension ref="A2:CU92"/>
  <sheetViews>
    <sheetView showGridLines="0" zoomScale="94" zoomScaleNormal="94" workbookViewId="0">
      <pane xSplit="2" ySplit="3" topLeftCell="CE19" activePane="bottomRight" state="frozen"/>
      <selection activeCell="BB40" sqref="BB40"/>
      <selection pane="topRight" activeCell="BB40" sqref="BB40"/>
      <selection pane="bottomLeft" activeCell="BB40" sqref="BB40"/>
      <selection pane="bottomRight" activeCell="BB40" sqref="BB40"/>
    </sheetView>
  </sheetViews>
  <sheetFormatPr defaultColWidth="8.7109375" defaultRowHeight="12.75" outlineLevelRow="2" outlineLevelCol="1" x14ac:dyDescent="0.2"/>
  <cols>
    <col min="1" max="1" width="8.7109375" style="8"/>
    <col min="2" max="2" width="38.7109375" style="8" customWidth="1"/>
    <col min="3" max="3" width="13.140625" style="8" bestFit="1" customWidth="1"/>
    <col min="4" max="4" width="11.42578125" style="8" customWidth="1"/>
    <col min="5" max="5" width="7" style="8" bestFit="1" customWidth="1"/>
    <col min="6" max="6" width="7" style="8" bestFit="1" customWidth="1" outlineLevel="1"/>
    <col min="7" max="8" width="7.42578125" style="8" bestFit="1" customWidth="1" outlineLevel="1"/>
    <col min="9" max="9" width="7.140625" style="8" bestFit="1" customWidth="1" outlineLevel="1"/>
    <col min="10" max="10" width="7.42578125" style="8" bestFit="1" customWidth="1" outlineLevel="1"/>
    <col min="11" max="11" width="7.7109375" style="8" bestFit="1" customWidth="1" outlineLevel="1"/>
    <col min="12" max="12" width="9.7109375" style="8" customWidth="1" outlineLevel="1"/>
    <col min="13" max="18" width="8.7109375" style="8" customWidth="1" outlineLevel="1"/>
    <col min="19" max="19" width="10.42578125" style="8" customWidth="1" outlineLevel="1"/>
    <col min="20" max="42" width="8.7109375" style="8" customWidth="1" outlineLevel="1"/>
    <col min="43" max="89" width="9.42578125" style="8" customWidth="1" outlineLevel="1"/>
    <col min="90" max="90" width="8.7109375" style="8" customWidth="1" outlineLevel="1"/>
    <col min="91" max="91" width="8.7109375" style="8"/>
    <col min="92" max="93" width="9.42578125" style="8" bestFit="1" customWidth="1"/>
    <col min="94" max="96" width="9.42578125" style="8" customWidth="1"/>
    <col min="97" max="97" width="10.140625" style="8" bestFit="1" customWidth="1"/>
    <col min="98" max="16384" width="8.7109375" style="8"/>
  </cols>
  <sheetData>
    <row r="2" spans="2:97" x14ac:dyDescent="0.2">
      <c r="B2" s="7" t="s">
        <v>49</v>
      </c>
      <c r="E2" s="102"/>
      <c r="F2" s="5">
        <f t="shared" ref="F2:K2" si="0">YEAR(F3)</f>
        <v>2024</v>
      </c>
      <c r="G2" s="5">
        <f t="shared" si="0"/>
        <v>2024</v>
      </c>
      <c r="H2" s="5">
        <f t="shared" si="0"/>
        <v>2024</v>
      </c>
      <c r="I2" s="5">
        <f t="shared" si="0"/>
        <v>2024</v>
      </c>
      <c r="J2" s="5">
        <f t="shared" si="0"/>
        <v>2024</v>
      </c>
      <c r="K2" s="5">
        <f t="shared" si="0"/>
        <v>2024</v>
      </c>
      <c r="L2" s="5">
        <f>YEAR(L3)</f>
        <v>2024</v>
      </c>
      <c r="M2" s="5">
        <f t="shared" ref="M2:CK2" si="1">YEAR(M3)</f>
        <v>2024</v>
      </c>
      <c r="N2" s="5">
        <f t="shared" si="1"/>
        <v>2024</v>
      </c>
      <c r="O2" s="5">
        <f t="shared" si="1"/>
        <v>2024</v>
      </c>
      <c r="P2" s="5">
        <f t="shared" si="1"/>
        <v>2024</v>
      </c>
      <c r="Q2" s="5">
        <f t="shared" si="1"/>
        <v>2024</v>
      </c>
      <c r="R2" s="5">
        <f t="shared" si="1"/>
        <v>2025</v>
      </c>
      <c r="S2" s="5">
        <f t="shared" si="1"/>
        <v>2025</v>
      </c>
      <c r="T2" s="5">
        <f t="shared" si="1"/>
        <v>2025</v>
      </c>
      <c r="U2" s="5">
        <f t="shared" si="1"/>
        <v>2025</v>
      </c>
      <c r="V2" s="5">
        <f t="shared" si="1"/>
        <v>2025</v>
      </c>
      <c r="W2" s="5">
        <f t="shared" si="1"/>
        <v>2025</v>
      </c>
      <c r="X2" s="5">
        <f t="shared" si="1"/>
        <v>2025</v>
      </c>
      <c r="Y2" s="5">
        <f t="shared" si="1"/>
        <v>2025</v>
      </c>
      <c r="Z2" s="5">
        <f t="shared" si="1"/>
        <v>2025</v>
      </c>
      <c r="AA2" s="5">
        <f t="shared" si="1"/>
        <v>2025</v>
      </c>
      <c r="AB2" s="5">
        <f t="shared" si="1"/>
        <v>2025</v>
      </c>
      <c r="AC2" s="5">
        <f t="shared" si="1"/>
        <v>2025</v>
      </c>
      <c r="AD2" s="5">
        <f t="shared" si="1"/>
        <v>2026</v>
      </c>
      <c r="AE2" s="5">
        <f t="shared" si="1"/>
        <v>2026</v>
      </c>
      <c r="AF2" s="5">
        <f t="shared" si="1"/>
        <v>2026</v>
      </c>
      <c r="AG2" s="5">
        <f t="shared" si="1"/>
        <v>2026</v>
      </c>
      <c r="AH2" s="5">
        <f t="shared" si="1"/>
        <v>2026</v>
      </c>
      <c r="AI2" s="5">
        <f t="shared" si="1"/>
        <v>2026</v>
      </c>
      <c r="AJ2" s="5">
        <f t="shared" si="1"/>
        <v>2026</v>
      </c>
      <c r="AK2" s="5">
        <f t="shared" si="1"/>
        <v>2026</v>
      </c>
      <c r="AL2" s="5">
        <f t="shared" si="1"/>
        <v>2026</v>
      </c>
      <c r="AM2" s="5">
        <f t="shared" si="1"/>
        <v>2026</v>
      </c>
      <c r="AN2" s="5">
        <f t="shared" si="1"/>
        <v>2026</v>
      </c>
      <c r="AO2" s="5">
        <f t="shared" si="1"/>
        <v>2026</v>
      </c>
      <c r="AP2" s="5">
        <f t="shared" si="1"/>
        <v>2027</v>
      </c>
      <c r="AQ2" s="5">
        <f t="shared" si="1"/>
        <v>2027</v>
      </c>
      <c r="AR2" s="5">
        <f t="shared" si="1"/>
        <v>2027</v>
      </c>
      <c r="AS2" s="5">
        <f t="shared" si="1"/>
        <v>2027</v>
      </c>
      <c r="AT2" s="5">
        <f t="shared" si="1"/>
        <v>2027</v>
      </c>
      <c r="AU2" s="5">
        <f t="shared" si="1"/>
        <v>2027</v>
      </c>
      <c r="AV2" s="5">
        <f t="shared" si="1"/>
        <v>2027</v>
      </c>
      <c r="AW2" s="5">
        <f t="shared" si="1"/>
        <v>2027</v>
      </c>
      <c r="AX2" s="5">
        <f t="shared" si="1"/>
        <v>2027</v>
      </c>
      <c r="AY2" s="5">
        <f t="shared" si="1"/>
        <v>2027</v>
      </c>
      <c r="AZ2" s="5">
        <f t="shared" si="1"/>
        <v>2027</v>
      </c>
      <c r="BA2" s="5">
        <f t="shared" si="1"/>
        <v>2027</v>
      </c>
      <c r="BB2" s="5">
        <f t="shared" si="1"/>
        <v>2028</v>
      </c>
      <c r="BC2" s="5">
        <f t="shared" si="1"/>
        <v>2028</v>
      </c>
      <c r="BD2" s="5">
        <f t="shared" si="1"/>
        <v>2028</v>
      </c>
      <c r="BE2" s="5">
        <f t="shared" si="1"/>
        <v>2028</v>
      </c>
      <c r="BF2" s="5">
        <f t="shared" si="1"/>
        <v>2028</v>
      </c>
      <c r="BG2" s="5">
        <f t="shared" si="1"/>
        <v>2028</v>
      </c>
      <c r="BH2" s="5">
        <f t="shared" si="1"/>
        <v>2028</v>
      </c>
      <c r="BI2" s="5">
        <f t="shared" si="1"/>
        <v>2028</v>
      </c>
      <c r="BJ2" s="5">
        <f t="shared" si="1"/>
        <v>2028</v>
      </c>
      <c r="BK2" s="5">
        <f t="shared" si="1"/>
        <v>2028</v>
      </c>
      <c r="BL2" s="5">
        <f t="shared" si="1"/>
        <v>2028</v>
      </c>
      <c r="BM2" s="5">
        <f t="shared" si="1"/>
        <v>2028</v>
      </c>
      <c r="BN2" s="5">
        <f t="shared" si="1"/>
        <v>2029</v>
      </c>
      <c r="BO2" s="5">
        <f t="shared" si="1"/>
        <v>2029</v>
      </c>
      <c r="BP2" s="5">
        <f t="shared" si="1"/>
        <v>2029</v>
      </c>
      <c r="BQ2" s="5">
        <f t="shared" si="1"/>
        <v>2029</v>
      </c>
      <c r="BR2" s="5">
        <f t="shared" si="1"/>
        <v>2029</v>
      </c>
      <c r="BS2" s="5">
        <f t="shared" si="1"/>
        <v>2029</v>
      </c>
      <c r="BT2" s="5">
        <f t="shared" si="1"/>
        <v>2029</v>
      </c>
      <c r="BU2" s="5">
        <f t="shared" si="1"/>
        <v>2029</v>
      </c>
      <c r="BV2" s="5">
        <f t="shared" si="1"/>
        <v>2029</v>
      </c>
      <c r="BW2" s="5">
        <f t="shared" si="1"/>
        <v>2029</v>
      </c>
      <c r="BX2" s="5">
        <f t="shared" si="1"/>
        <v>2029</v>
      </c>
      <c r="BY2" s="5">
        <f t="shared" si="1"/>
        <v>2029</v>
      </c>
      <c r="BZ2" s="5">
        <f t="shared" si="1"/>
        <v>2030</v>
      </c>
      <c r="CA2" s="5">
        <f t="shared" si="1"/>
        <v>2030</v>
      </c>
      <c r="CB2" s="5">
        <f t="shared" si="1"/>
        <v>2030</v>
      </c>
      <c r="CC2" s="5">
        <f t="shared" si="1"/>
        <v>2030</v>
      </c>
      <c r="CD2" s="5">
        <f t="shared" si="1"/>
        <v>2030</v>
      </c>
      <c r="CE2" s="5">
        <f t="shared" si="1"/>
        <v>2030</v>
      </c>
      <c r="CF2" s="5">
        <f t="shared" si="1"/>
        <v>2030</v>
      </c>
      <c r="CG2" s="5">
        <f t="shared" si="1"/>
        <v>2030</v>
      </c>
      <c r="CH2" s="5">
        <f t="shared" si="1"/>
        <v>2030</v>
      </c>
      <c r="CI2" s="5">
        <f t="shared" si="1"/>
        <v>2030</v>
      </c>
      <c r="CJ2" s="5">
        <f t="shared" si="1"/>
        <v>2030</v>
      </c>
      <c r="CK2" s="5">
        <f t="shared" si="1"/>
        <v>2030</v>
      </c>
    </row>
    <row r="3" spans="2:97" x14ac:dyDescent="0.2">
      <c r="B3" s="128" t="s">
        <v>1</v>
      </c>
      <c r="C3" s="128" t="s">
        <v>2</v>
      </c>
      <c r="D3" s="102"/>
      <c r="E3" s="9"/>
      <c r="F3" s="129">
        <f>Снеки!F3</f>
        <v>45292</v>
      </c>
      <c r="G3" s="129">
        <f>Снеки!G3</f>
        <v>45323</v>
      </c>
      <c r="H3" s="129">
        <f>Снеки!H3</f>
        <v>45352</v>
      </c>
      <c r="I3" s="129">
        <f>Снеки!I3</f>
        <v>45383</v>
      </c>
      <c r="J3" s="129">
        <f>Снеки!J3</f>
        <v>45413</v>
      </c>
      <c r="K3" s="129">
        <f>Снеки!K3</f>
        <v>45444</v>
      </c>
      <c r="L3" s="129">
        <f>Снеки!L3</f>
        <v>45474</v>
      </c>
      <c r="M3" s="129">
        <f>Снеки!M3</f>
        <v>45505</v>
      </c>
      <c r="N3" s="129">
        <f>Снеки!N3</f>
        <v>45536</v>
      </c>
      <c r="O3" s="129">
        <f>Снеки!O3</f>
        <v>45566</v>
      </c>
      <c r="P3" s="129">
        <f>Снеки!P3</f>
        <v>45597</v>
      </c>
      <c r="Q3" s="129">
        <f>Снеки!Q3</f>
        <v>45627</v>
      </c>
      <c r="R3" s="129">
        <f>Снеки!R3</f>
        <v>45658</v>
      </c>
      <c r="S3" s="129">
        <f>Снеки!S3</f>
        <v>45689</v>
      </c>
      <c r="T3" s="129">
        <f>Снеки!T3</f>
        <v>45717</v>
      </c>
      <c r="U3" s="129">
        <f>Снеки!U3</f>
        <v>45748</v>
      </c>
      <c r="V3" s="129">
        <f>Снеки!V3</f>
        <v>45778</v>
      </c>
      <c r="W3" s="129">
        <f>Снеки!W3</f>
        <v>45809</v>
      </c>
      <c r="X3" s="129">
        <f>Снеки!X3</f>
        <v>45839</v>
      </c>
      <c r="Y3" s="129">
        <f>Снеки!Y3</f>
        <v>45870</v>
      </c>
      <c r="Z3" s="129">
        <f>Снеки!Z3</f>
        <v>45901</v>
      </c>
      <c r="AA3" s="129">
        <f>Снеки!AA3</f>
        <v>45931</v>
      </c>
      <c r="AB3" s="129">
        <f>Снеки!AB3</f>
        <v>45962</v>
      </c>
      <c r="AC3" s="129">
        <f>Снеки!AC3</f>
        <v>45992</v>
      </c>
      <c r="AD3" s="129">
        <f>Снеки!AD3</f>
        <v>46023</v>
      </c>
      <c r="AE3" s="129">
        <f>Снеки!AE3</f>
        <v>46054</v>
      </c>
      <c r="AF3" s="129">
        <f>Снеки!AF3</f>
        <v>46082</v>
      </c>
      <c r="AG3" s="129">
        <f>Снеки!AG3</f>
        <v>46113</v>
      </c>
      <c r="AH3" s="129">
        <f>Снеки!AH3</f>
        <v>46143</v>
      </c>
      <c r="AI3" s="129">
        <f>Снеки!AI3</f>
        <v>46174</v>
      </c>
      <c r="AJ3" s="129">
        <f>Снеки!AJ3</f>
        <v>46204</v>
      </c>
      <c r="AK3" s="129">
        <f>Снеки!AK3</f>
        <v>46235</v>
      </c>
      <c r="AL3" s="129">
        <f>Снеки!AL3</f>
        <v>46266</v>
      </c>
      <c r="AM3" s="129">
        <f>Снеки!AM3</f>
        <v>46296</v>
      </c>
      <c r="AN3" s="129">
        <f>Снеки!AN3</f>
        <v>46327</v>
      </c>
      <c r="AO3" s="129">
        <f>Снеки!AO3</f>
        <v>46357</v>
      </c>
      <c r="AP3" s="129">
        <f>Снеки!AP3</f>
        <v>46388</v>
      </c>
      <c r="AQ3" s="129">
        <f>Снеки!AQ3</f>
        <v>46419</v>
      </c>
      <c r="AR3" s="129">
        <f>Снеки!AR3</f>
        <v>46447</v>
      </c>
      <c r="AS3" s="129">
        <f>Снеки!AS3</f>
        <v>46478</v>
      </c>
      <c r="AT3" s="129">
        <f>Снеки!AT3</f>
        <v>46508</v>
      </c>
      <c r="AU3" s="129">
        <f>Снеки!AU3</f>
        <v>46539</v>
      </c>
      <c r="AV3" s="129">
        <f>Снеки!AV3</f>
        <v>46569</v>
      </c>
      <c r="AW3" s="129">
        <f>Снеки!AW3</f>
        <v>46600</v>
      </c>
      <c r="AX3" s="129">
        <f>Снеки!AX3</f>
        <v>46631</v>
      </c>
      <c r="AY3" s="129">
        <f>Снеки!AY3</f>
        <v>46661</v>
      </c>
      <c r="AZ3" s="129">
        <f>Снеки!AZ3</f>
        <v>46692</v>
      </c>
      <c r="BA3" s="129">
        <f>Снеки!BA3</f>
        <v>46722</v>
      </c>
      <c r="BB3" s="129">
        <f>Снеки!BB3</f>
        <v>46753</v>
      </c>
      <c r="BC3" s="129">
        <f>Снеки!BC3</f>
        <v>46784</v>
      </c>
      <c r="BD3" s="129">
        <f>Снеки!BD3</f>
        <v>46813</v>
      </c>
      <c r="BE3" s="129">
        <f>Снеки!BE3</f>
        <v>46844</v>
      </c>
      <c r="BF3" s="129">
        <f>Снеки!BF3</f>
        <v>46874</v>
      </c>
      <c r="BG3" s="129">
        <f>Снеки!BG3</f>
        <v>46905</v>
      </c>
      <c r="BH3" s="129">
        <f>Снеки!BH3</f>
        <v>46935</v>
      </c>
      <c r="BI3" s="129">
        <f>Снеки!BI3</f>
        <v>46966</v>
      </c>
      <c r="BJ3" s="129">
        <f>Снеки!BJ3</f>
        <v>46997</v>
      </c>
      <c r="BK3" s="129">
        <f>Снеки!BK3</f>
        <v>47027</v>
      </c>
      <c r="BL3" s="129">
        <f>Снеки!BL3</f>
        <v>47058</v>
      </c>
      <c r="BM3" s="129">
        <f>Снеки!BM3</f>
        <v>47088</v>
      </c>
      <c r="BN3" s="129">
        <f>Снеки!BN3</f>
        <v>47119</v>
      </c>
      <c r="BO3" s="129">
        <f>Снеки!BO3</f>
        <v>47150</v>
      </c>
      <c r="BP3" s="129">
        <f>Снеки!BP3</f>
        <v>47178</v>
      </c>
      <c r="BQ3" s="129">
        <f>Снеки!BQ3</f>
        <v>47209</v>
      </c>
      <c r="BR3" s="129">
        <f>Снеки!BR3</f>
        <v>47239</v>
      </c>
      <c r="BS3" s="129">
        <f>Снеки!BS3</f>
        <v>47270</v>
      </c>
      <c r="BT3" s="129">
        <f>Снеки!BT3</f>
        <v>47300</v>
      </c>
      <c r="BU3" s="129">
        <f>Снеки!BU3</f>
        <v>47331</v>
      </c>
      <c r="BV3" s="129">
        <f>Снеки!BV3</f>
        <v>47362</v>
      </c>
      <c r="BW3" s="129">
        <f>Снеки!BW3</f>
        <v>47392</v>
      </c>
      <c r="BX3" s="129">
        <f>Снеки!BX3</f>
        <v>47423</v>
      </c>
      <c r="BY3" s="129">
        <f>Снеки!BY3</f>
        <v>47453</v>
      </c>
      <c r="BZ3" s="129">
        <f>Снеки!BZ3</f>
        <v>47484</v>
      </c>
      <c r="CA3" s="129">
        <f>Снеки!CA3</f>
        <v>47515</v>
      </c>
      <c r="CB3" s="129">
        <f>Снеки!CB3</f>
        <v>47543</v>
      </c>
      <c r="CC3" s="129">
        <f>Снеки!CC3</f>
        <v>47574</v>
      </c>
      <c r="CD3" s="129">
        <f>Снеки!CD3</f>
        <v>47604</v>
      </c>
      <c r="CE3" s="129">
        <f>Снеки!CE3</f>
        <v>47635</v>
      </c>
      <c r="CF3" s="129">
        <f>Снеки!CF3</f>
        <v>47665</v>
      </c>
      <c r="CG3" s="129">
        <f>Снеки!CG3</f>
        <v>47696</v>
      </c>
      <c r="CH3" s="129">
        <f>Снеки!CH3</f>
        <v>47727</v>
      </c>
      <c r="CI3" s="129">
        <f>Снеки!CI3</f>
        <v>47757</v>
      </c>
      <c r="CJ3" s="129">
        <f>Снеки!CJ3</f>
        <v>47788</v>
      </c>
      <c r="CK3" s="129">
        <f>Снеки!CK3</f>
        <v>47818</v>
      </c>
      <c r="CM3" s="130">
        <v>2024</v>
      </c>
      <c r="CN3" s="130">
        <f>CM3+1</f>
        <v>2025</v>
      </c>
      <c r="CO3" s="130">
        <f t="shared" ref="CO3" si="2">CN3+1</f>
        <v>2026</v>
      </c>
      <c r="CP3" s="130">
        <f t="shared" ref="CP3" si="3">CO3+1</f>
        <v>2027</v>
      </c>
      <c r="CQ3" s="130">
        <f t="shared" ref="CQ3" si="4">CP3+1</f>
        <v>2028</v>
      </c>
      <c r="CR3" s="130">
        <f t="shared" ref="CR3" si="5">CQ3+1</f>
        <v>2029</v>
      </c>
      <c r="CS3" s="130">
        <f t="shared" ref="CS3" si="6">CR3+1</f>
        <v>2030</v>
      </c>
    </row>
    <row r="4" spans="2:97" x14ac:dyDescent="0.2">
      <c r="B4" s="90" t="s">
        <v>0</v>
      </c>
      <c r="C4" s="91" t="s">
        <v>4</v>
      </c>
      <c r="D4" s="9"/>
      <c r="E4" s="9"/>
      <c r="F4" s="10">
        <f t="shared" ref="F4:K4" si="7">F39/1.2</f>
        <v>0</v>
      </c>
      <c r="G4" s="10">
        <f t="shared" si="7"/>
        <v>0</v>
      </c>
      <c r="H4" s="10">
        <f t="shared" si="7"/>
        <v>0</v>
      </c>
      <c r="I4" s="10">
        <f t="shared" si="7"/>
        <v>0</v>
      </c>
      <c r="J4" s="10">
        <f t="shared" si="7"/>
        <v>0</v>
      </c>
      <c r="K4" s="10">
        <f t="shared" si="7"/>
        <v>0</v>
      </c>
      <c r="L4" s="10">
        <f>L39/1.2</f>
        <v>0</v>
      </c>
      <c r="M4" s="10">
        <f t="shared" ref="M4:AW4" si="8">M39/1.2</f>
        <v>0</v>
      </c>
      <c r="N4" s="10">
        <f t="shared" si="8"/>
        <v>0</v>
      </c>
      <c r="O4" s="10">
        <f t="shared" si="8"/>
        <v>0</v>
      </c>
      <c r="P4" s="10">
        <f t="shared" si="8"/>
        <v>0</v>
      </c>
      <c r="Q4" s="10">
        <f t="shared" si="8"/>
        <v>0</v>
      </c>
      <c r="R4" s="10">
        <f t="shared" si="8"/>
        <v>63.890000000000008</v>
      </c>
      <c r="S4" s="10">
        <f t="shared" si="8"/>
        <v>101.27250000000001</v>
      </c>
      <c r="T4" s="10">
        <f t="shared" si="8"/>
        <v>46.402500000000003</v>
      </c>
      <c r="U4" s="10">
        <f t="shared" si="8"/>
        <v>465.45166666666671</v>
      </c>
      <c r="V4" s="10">
        <f t="shared" si="8"/>
        <v>435.55250000000001</v>
      </c>
      <c r="W4" s="10">
        <f t="shared" si="8"/>
        <v>397.35083333333336</v>
      </c>
      <c r="X4" s="10">
        <f t="shared" si="8"/>
        <v>615.66250833333334</v>
      </c>
      <c r="Y4" s="10">
        <f t="shared" si="8"/>
        <v>520.84050000000002</v>
      </c>
      <c r="Z4" s="10">
        <f t="shared" si="8"/>
        <v>561.33046666666678</v>
      </c>
      <c r="AA4" s="10">
        <f t="shared" si="8"/>
        <v>708.05856666666671</v>
      </c>
      <c r="AB4" s="10">
        <f t="shared" si="8"/>
        <v>616.2016583333334</v>
      </c>
      <c r="AC4" s="10">
        <f t="shared" si="8"/>
        <v>1143.388175</v>
      </c>
      <c r="AD4" s="10">
        <f t="shared" si="8"/>
        <v>411.76416666666671</v>
      </c>
      <c r="AE4" s="10">
        <f t="shared" si="8"/>
        <v>491.65916666666669</v>
      </c>
      <c r="AF4" s="10">
        <f t="shared" si="8"/>
        <v>581.0625</v>
      </c>
      <c r="AG4" s="10">
        <f t="shared" si="8"/>
        <v>589.7784375</v>
      </c>
      <c r="AH4" s="10">
        <f t="shared" si="8"/>
        <v>598.62511406249996</v>
      </c>
      <c r="AI4" s="10">
        <f t="shared" si="8"/>
        <v>601.61823963281245</v>
      </c>
      <c r="AJ4" s="10">
        <f t="shared" si="8"/>
        <v>604.62633083097649</v>
      </c>
      <c r="AK4" s="10">
        <f t="shared" si="8"/>
        <v>607.64946248513127</v>
      </c>
      <c r="AL4" s="10">
        <f t="shared" si="8"/>
        <v>610.68770979755686</v>
      </c>
      <c r="AM4" s="10">
        <f t="shared" si="8"/>
        <v>619.8480254445202</v>
      </c>
      <c r="AN4" s="10">
        <f t="shared" si="8"/>
        <v>629.14574582618798</v>
      </c>
      <c r="AO4" s="10">
        <f t="shared" si="8"/>
        <v>638.58293201358083</v>
      </c>
      <c r="AP4" s="10">
        <f t="shared" si="8"/>
        <v>644.96876133371666</v>
      </c>
      <c r="AQ4" s="10">
        <f t="shared" si="8"/>
        <v>651.41844894705378</v>
      </c>
      <c r="AR4" s="10">
        <f t="shared" si="8"/>
        <v>661.18972568125957</v>
      </c>
      <c r="AS4" s="10">
        <f t="shared" si="8"/>
        <v>671.10757156647833</v>
      </c>
      <c r="AT4" s="10">
        <f t="shared" si="8"/>
        <v>681.17418513997552</v>
      </c>
      <c r="AU4" s="10">
        <f t="shared" si="8"/>
        <v>687.98592699137532</v>
      </c>
      <c r="AV4" s="10">
        <f t="shared" si="8"/>
        <v>694.86578626128892</v>
      </c>
      <c r="AW4" s="10">
        <f t="shared" si="8"/>
        <v>701.81444412390181</v>
      </c>
      <c r="AX4" s="10">
        <f t="shared" ref="AX4:BU4" si="9">AX39/1.2</f>
        <v>708.83258856514078</v>
      </c>
      <c r="AY4" s="10">
        <f t="shared" si="9"/>
        <v>719.46507739361789</v>
      </c>
      <c r="AZ4" s="10">
        <f t="shared" si="9"/>
        <v>730.25705355452203</v>
      </c>
      <c r="BA4" s="10">
        <f t="shared" si="9"/>
        <v>741.2109093578398</v>
      </c>
      <c r="BB4" s="10">
        <f t="shared" si="9"/>
        <v>744.91696390462891</v>
      </c>
      <c r="BC4" s="10">
        <f t="shared" si="9"/>
        <v>748.64154872415202</v>
      </c>
      <c r="BD4" s="10">
        <f t="shared" si="9"/>
        <v>759.87117195501423</v>
      </c>
      <c r="BE4" s="10">
        <f t="shared" si="9"/>
        <v>771.26923953433936</v>
      </c>
      <c r="BF4" s="10">
        <f t="shared" si="9"/>
        <v>782.83827812735444</v>
      </c>
      <c r="BG4" s="10">
        <f t="shared" si="9"/>
        <v>786.75246951799113</v>
      </c>
      <c r="BH4" s="10">
        <f t="shared" si="9"/>
        <v>790.68623186558102</v>
      </c>
      <c r="BI4" s="10">
        <f t="shared" si="9"/>
        <v>794.63966302490883</v>
      </c>
      <c r="BJ4" s="10">
        <f t="shared" si="9"/>
        <v>798.61286134003331</v>
      </c>
      <c r="BK4" s="10">
        <f t="shared" si="9"/>
        <v>810.59205426013375</v>
      </c>
      <c r="BL4" s="10">
        <f t="shared" si="9"/>
        <v>822.75093507403562</v>
      </c>
      <c r="BM4" s="10">
        <f t="shared" si="9"/>
        <v>835.0921991001461</v>
      </c>
      <c r="BN4" s="10">
        <f t="shared" si="9"/>
        <v>839.26766009564676</v>
      </c>
      <c r="BO4" s="10">
        <f t="shared" si="9"/>
        <v>843.46399839612491</v>
      </c>
      <c r="BP4" s="10">
        <f t="shared" si="9"/>
        <v>856.11595837206664</v>
      </c>
      <c r="BQ4" s="10">
        <f t="shared" si="9"/>
        <v>868.95769774764744</v>
      </c>
      <c r="BR4" s="10">
        <f t="shared" si="9"/>
        <v>881.99206321386214</v>
      </c>
      <c r="BS4" s="10">
        <f t="shared" si="9"/>
        <v>886.40202352993128</v>
      </c>
      <c r="BT4" s="10">
        <f t="shared" si="9"/>
        <v>890.83403364758101</v>
      </c>
      <c r="BU4" s="10">
        <f t="shared" si="9"/>
        <v>895.28820381581875</v>
      </c>
      <c r="BV4" s="10">
        <f t="shared" ref="BV4:BX4" si="10">BV39/1.2</f>
        <v>899.76464483489781</v>
      </c>
      <c r="BW4" s="10">
        <f t="shared" si="10"/>
        <v>913.26111450742121</v>
      </c>
      <c r="BX4" s="10">
        <f t="shared" si="10"/>
        <v>926.96003122503214</v>
      </c>
      <c r="BY4" s="10">
        <f t="shared" ref="BY4:CK4" si="11">BY39/1.2</f>
        <v>940.86443169340748</v>
      </c>
      <c r="BZ4" s="10">
        <f t="shared" si="11"/>
        <v>954.97739816880869</v>
      </c>
      <c r="CA4" s="10">
        <f t="shared" si="11"/>
        <v>969.30205914134081</v>
      </c>
      <c r="CB4" s="10">
        <f t="shared" si="11"/>
        <v>983.8415900284607</v>
      </c>
      <c r="CC4" s="10">
        <f t="shared" si="11"/>
        <v>998.59921387888755</v>
      </c>
      <c r="CD4" s="10">
        <f t="shared" si="11"/>
        <v>1013.5782020870708</v>
      </c>
      <c r="CE4" s="10">
        <f t="shared" si="11"/>
        <v>1028.781875118377</v>
      </c>
      <c r="CF4" s="10">
        <f t="shared" si="11"/>
        <v>1044.2136032451524</v>
      </c>
      <c r="CG4" s="10">
        <f t="shared" si="11"/>
        <v>1059.8768072938296</v>
      </c>
      <c r="CH4" s="10">
        <f t="shared" si="11"/>
        <v>1075.7749594032368</v>
      </c>
      <c r="CI4" s="10">
        <f t="shared" si="11"/>
        <v>1091.9115837942852</v>
      </c>
      <c r="CJ4" s="10">
        <f t="shared" si="11"/>
        <v>1108.2902575511994</v>
      </c>
      <c r="CK4" s="10">
        <f t="shared" si="11"/>
        <v>1124.9146114144671</v>
      </c>
      <c r="CM4" s="10">
        <f t="shared" ref="CM4:CQ5" si="12">SUMIF($L$2:$CK$2,CM$3,$L4:$CK4)</f>
        <v>0</v>
      </c>
      <c r="CN4" s="10">
        <f t="shared" si="12"/>
        <v>5675.4018749999996</v>
      </c>
      <c r="CO4" s="10">
        <f t="shared" si="12"/>
        <v>6985.0478309265991</v>
      </c>
      <c r="CP4" s="10">
        <f t="shared" si="12"/>
        <v>8294.2904789161712</v>
      </c>
      <c r="CQ4" s="10">
        <f t="shared" si="12"/>
        <v>9446.6636164283209</v>
      </c>
      <c r="CR4" s="10">
        <f t="shared" ref="CR4:CS5" si="13">SUMIF($L$2:$CK$2,CR$3,$L4:$CK4)</f>
        <v>10643.171861079436</v>
      </c>
      <c r="CS4" s="10">
        <f t="shared" si="13"/>
        <v>12454.062161125117</v>
      </c>
    </row>
    <row r="5" spans="2:97" x14ac:dyDescent="0.2">
      <c r="B5" s="90" t="s">
        <v>50</v>
      </c>
      <c r="C5" s="91" t="s">
        <v>4</v>
      </c>
      <c r="D5" s="9"/>
      <c r="E5" s="9"/>
      <c r="F5" s="11">
        <f t="shared" ref="F5:K5" si="14">-F44/1.2</f>
        <v>0</v>
      </c>
      <c r="G5" s="11">
        <f t="shared" si="14"/>
        <v>0</v>
      </c>
      <c r="H5" s="11">
        <f t="shared" si="14"/>
        <v>0</v>
      </c>
      <c r="I5" s="11">
        <f t="shared" si="14"/>
        <v>0</v>
      </c>
      <c r="J5" s="11">
        <f t="shared" si="14"/>
        <v>0</v>
      </c>
      <c r="K5" s="11">
        <f t="shared" si="14"/>
        <v>0</v>
      </c>
      <c r="L5" s="11">
        <f>-L44/1.2</f>
        <v>0</v>
      </c>
      <c r="M5" s="11">
        <f t="shared" ref="M5:BU5" si="15">-M44/1.2</f>
        <v>0</v>
      </c>
      <c r="N5" s="11">
        <f t="shared" si="15"/>
        <v>0</v>
      </c>
      <c r="O5" s="11">
        <f t="shared" si="15"/>
        <v>0</v>
      </c>
      <c r="P5" s="11">
        <f t="shared" si="15"/>
        <v>0</v>
      </c>
      <c r="Q5" s="11">
        <f t="shared" si="15"/>
        <v>0</v>
      </c>
      <c r="R5" s="11">
        <f t="shared" si="15"/>
        <v>-54.333333333333329</v>
      </c>
      <c r="S5" s="11">
        <f t="shared" si="15"/>
        <v>-89.333333333333343</v>
      </c>
      <c r="T5" s="11">
        <f t="shared" si="15"/>
        <v>-41.5</v>
      </c>
      <c r="U5" s="11">
        <f t="shared" si="15"/>
        <v>-529.33333333333326</v>
      </c>
      <c r="V5" s="11">
        <f t="shared" si="15"/>
        <v>-450.87110500000006</v>
      </c>
      <c r="W5" s="11">
        <f t="shared" si="15"/>
        <v>-396.7947016666667</v>
      </c>
      <c r="X5" s="11">
        <f t="shared" si="15"/>
        <v>-370.62883001666665</v>
      </c>
      <c r="Y5" s="11">
        <f t="shared" si="15"/>
        <v>-313.54598099999998</v>
      </c>
      <c r="Z5" s="11">
        <f t="shared" si="15"/>
        <v>-337.92094093333333</v>
      </c>
      <c r="AA5" s="11">
        <f t="shared" si="15"/>
        <v>-426.25125713333335</v>
      </c>
      <c r="AB5" s="11">
        <f t="shared" si="15"/>
        <v>-370.95339831666666</v>
      </c>
      <c r="AC5" s="11">
        <f t="shared" si="15"/>
        <v>-688.31968135</v>
      </c>
      <c r="AD5" s="11">
        <f t="shared" si="15"/>
        <v>-247.8820283333333</v>
      </c>
      <c r="AE5" s="11">
        <f t="shared" si="15"/>
        <v>-295.97881833333332</v>
      </c>
      <c r="AF5" s="11">
        <f t="shared" si="15"/>
        <v>-349.79962499999993</v>
      </c>
      <c r="AG5" s="11">
        <f t="shared" si="15"/>
        <v>-355.04661937499998</v>
      </c>
      <c r="AH5" s="11">
        <f t="shared" si="15"/>
        <v>-360.37231866562502</v>
      </c>
      <c r="AI5" s="11">
        <f t="shared" si="15"/>
        <v>-362.17418025895307</v>
      </c>
      <c r="AJ5" s="11">
        <f t="shared" si="15"/>
        <v>-363.98505116024779</v>
      </c>
      <c r="AK5" s="11">
        <f t="shared" si="15"/>
        <v>-365.80497641604904</v>
      </c>
      <c r="AL5" s="11">
        <f t="shared" si="15"/>
        <v>-367.63400129812931</v>
      </c>
      <c r="AM5" s="11">
        <f t="shared" si="15"/>
        <v>-373.14851131760116</v>
      </c>
      <c r="AN5" s="11">
        <f t="shared" si="15"/>
        <v>-378.74573898736514</v>
      </c>
      <c r="AO5" s="11">
        <f t="shared" si="15"/>
        <v>-384.42692507217566</v>
      </c>
      <c r="AP5" s="11">
        <f t="shared" si="15"/>
        <v>-388.27119432289743</v>
      </c>
      <c r="AQ5" s="11">
        <f t="shared" si="15"/>
        <v>-392.1539062661264</v>
      </c>
      <c r="AR5" s="11">
        <f t="shared" si="15"/>
        <v>-398.03621486011821</v>
      </c>
      <c r="AS5" s="11">
        <f t="shared" si="15"/>
        <v>-404.00675808301992</v>
      </c>
      <c r="AT5" s="11">
        <f t="shared" si="15"/>
        <v>-410.06685945426523</v>
      </c>
      <c r="AU5" s="11">
        <f t="shared" si="15"/>
        <v>-414.16752804880787</v>
      </c>
      <c r="AV5" s="11">
        <f t="shared" si="15"/>
        <v>-418.30920332929588</v>
      </c>
      <c r="AW5" s="11">
        <f t="shared" si="15"/>
        <v>-422.49229536258889</v>
      </c>
      <c r="AX5" s="11">
        <f t="shared" si="15"/>
        <v>-426.71721831621477</v>
      </c>
      <c r="AY5" s="11">
        <f t="shared" si="15"/>
        <v>-433.11797659095788</v>
      </c>
      <c r="AZ5" s="11">
        <f t="shared" si="15"/>
        <v>-439.61474623982224</v>
      </c>
      <c r="BA5" s="11">
        <f t="shared" si="15"/>
        <v>-446.20896743341956</v>
      </c>
      <c r="BB5" s="11">
        <f t="shared" si="15"/>
        <v>-448.44001227058664</v>
      </c>
      <c r="BC5" s="11">
        <f t="shared" si="15"/>
        <v>-450.68221233193952</v>
      </c>
      <c r="BD5" s="11">
        <f t="shared" si="15"/>
        <v>-457.4424455169185</v>
      </c>
      <c r="BE5" s="11">
        <f t="shared" si="15"/>
        <v>-464.30408219967228</v>
      </c>
      <c r="BF5" s="11">
        <f t="shared" si="15"/>
        <v>-471.26864343266732</v>
      </c>
      <c r="BG5" s="11">
        <f t="shared" si="15"/>
        <v>-473.62498664983059</v>
      </c>
      <c r="BH5" s="11">
        <f t="shared" si="15"/>
        <v>-475.99311158307978</v>
      </c>
      <c r="BI5" s="11">
        <f t="shared" si="15"/>
        <v>-478.37307714099506</v>
      </c>
      <c r="BJ5" s="11">
        <f t="shared" si="15"/>
        <v>-480.76494252670011</v>
      </c>
      <c r="BK5" s="11">
        <f t="shared" si="15"/>
        <v>-487.97641666460061</v>
      </c>
      <c r="BL5" s="11">
        <f t="shared" si="15"/>
        <v>-495.29606291456952</v>
      </c>
      <c r="BM5" s="11">
        <f t="shared" si="15"/>
        <v>-502.72550385828788</v>
      </c>
      <c r="BN5" s="11">
        <f t="shared" si="15"/>
        <v>-505.23913137757927</v>
      </c>
      <c r="BO5" s="11">
        <f t="shared" si="15"/>
        <v>-507.76532703446713</v>
      </c>
      <c r="BP5" s="11">
        <f t="shared" si="15"/>
        <v>-515.38180693998413</v>
      </c>
      <c r="BQ5" s="11">
        <f t="shared" si="15"/>
        <v>-523.11253404408376</v>
      </c>
      <c r="BR5" s="11">
        <f t="shared" si="15"/>
        <v>-530.95922205474506</v>
      </c>
      <c r="BS5" s="11">
        <f t="shared" si="15"/>
        <v>-533.61401816501859</v>
      </c>
      <c r="BT5" s="11">
        <f t="shared" si="15"/>
        <v>-536.28208825584375</v>
      </c>
      <c r="BU5" s="11">
        <f t="shared" si="15"/>
        <v>-538.96349869712299</v>
      </c>
      <c r="BV5" s="11">
        <f t="shared" ref="BV5:BX5" si="16">-BV44/1.2</f>
        <v>-541.65831619060839</v>
      </c>
      <c r="BW5" s="11">
        <f t="shared" si="16"/>
        <v>-549.78319093346749</v>
      </c>
      <c r="BX5" s="11">
        <f t="shared" si="16"/>
        <v>-558.02993879746941</v>
      </c>
      <c r="BY5" s="11">
        <f t="shared" ref="BY5:CK5" si="17">-BY44/1.2</f>
        <v>-566.40038787943126</v>
      </c>
      <c r="BZ5" s="11">
        <f t="shared" si="17"/>
        <v>-574.8963936976229</v>
      </c>
      <c r="CA5" s="11">
        <f t="shared" si="17"/>
        <v>-583.51983960308712</v>
      </c>
      <c r="CB5" s="11">
        <f t="shared" si="17"/>
        <v>-592.27263719713335</v>
      </c>
      <c r="CC5" s="11">
        <f t="shared" si="17"/>
        <v>-601.15672675509029</v>
      </c>
      <c r="CD5" s="11">
        <f t="shared" si="17"/>
        <v>-610.17407765641667</v>
      </c>
      <c r="CE5" s="11">
        <f t="shared" si="17"/>
        <v>-619.32668882126291</v>
      </c>
      <c r="CF5" s="11">
        <f t="shared" si="17"/>
        <v>-628.61658915358169</v>
      </c>
      <c r="CG5" s="11">
        <f t="shared" si="17"/>
        <v>-638.04583799088539</v>
      </c>
      <c r="CH5" s="11">
        <f t="shared" si="17"/>
        <v>-647.61652556074853</v>
      </c>
      <c r="CI5" s="11">
        <f t="shared" si="17"/>
        <v>-657.33077344415972</v>
      </c>
      <c r="CJ5" s="11">
        <f t="shared" si="17"/>
        <v>-667.19073504582195</v>
      </c>
      <c r="CK5" s="11">
        <f t="shared" si="17"/>
        <v>-677.1985960715092</v>
      </c>
      <c r="CM5" s="11">
        <f t="shared" si="12"/>
        <v>0</v>
      </c>
      <c r="CN5" s="11">
        <f t="shared" si="12"/>
        <v>-4069.7858954166663</v>
      </c>
      <c r="CO5" s="11">
        <f t="shared" si="12"/>
        <v>-4204.9987942178132</v>
      </c>
      <c r="CP5" s="11">
        <f t="shared" si="12"/>
        <v>-4993.1628683075342</v>
      </c>
      <c r="CQ5" s="11">
        <f t="shared" si="12"/>
        <v>-5686.8914970898486</v>
      </c>
      <c r="CR5" s="11">
        <f t="shared" si="13"/>
        <v>-6407.1894603698202</v>
      </c>
      <c r="CS5" s="11">
        <f t="shared" si="13"/>
        <v>-7497.3454209973197</v>
      </c>
    </row>
    <row r="6" spans="2:97" x14ac:dyDescent="0.2">
      <c r="B6" s="92"/>
      <c r="C6" s="91"/>
      <c r="D6" s="9"/>
      <c r="E6" s="13"/>
    </row>
    <row r="7" spans="2:97" s="12" customFormat="1" x14ac:dyDescent="0.2">
      <c r="B7" s="88" t="s">
        <v>51</v>
      </c>
      <c r="C7" s="89" t="s">
        <v>4</v>
      </c>
      <c r="D7" s="13"/>
      <c r="E7" s="15"/>
      <c r="F7" s="14">
        <f t="shared" ref="F7:K7" si="18">SUM(F4:F5)</f>
        <v>0</v>
      </c>
      <c r="G7" s="14">
        <f t="shared" si="18"/>
        <v>0</v>
      </c>
      <c r="H7" s="14">
        <f t="shared" si="18"/>
        <v>0</v>
      </c>
      <c r="I7" s="14">
        <f t="shared" si="18"/>
        <v>0</v>
      </c>
      <c r="J7" s="14">
        <f t="shared" si="18"/>
        <v>0</v>
      </c>
      <c r="K7" s="14">
        <f t="shared" si="18"/>
        <v>0</v>
      </c>
      <c r="L7" s="14">
        <f>SUM(L4:L5)</f>
        <v>0</v>
      </c>
      <c r="M7" s="14">
        <f t="shared" ref="M7:AW7" si="19">SUM(M4:M5)</f>
        <v>0</v>
      </c>
      <c r="N7" s="14">
        <f t="shared" si="19"/>
        <v>0</v>
      </c>
      <c r="O7" s="14">
        <f t="shared" si="19"/>
        <v>0</v>
      </c>
      <c r="P7" s="14">
        <f t="shared" si="19"/>
        <v>0</v>
      </c>
      <c r="Q7" s="14">
        <f t="shared" si="19"/>
        <v>0</v>
      </c>
      <c r="R7" s="14">
        <f t="shared" si="19"/>
        <v>9.5566666666666791</v>
      </c>
      <c r="S7" s="14">
        <f t="shared" si="19"/>
        <v>11.939166666666665</v>
      </c>
      <c r="T7" s="14">
        <f t="shared" si="19"/>
        <v>4.9025000000000034</v>
      </c>
      <c r="U7" s="14">
        <f t="shared" si="19"/>
        <v>-63.881666666666547</v>
      </c>
      <c r="V7" s="14">
        <f t="shared" si="19"/>
        <v>-15.318605000000048</v>
      </c>
      <c r="W7" s="14">
        <f t="shared" si="19"/>
        <v>0.55613166666665848</v>
      </c>
      <c r="X7" s="14">
        <f t="shared" si="19"/>
        <v>245.03367831666668</v>
      </c>
      <c r="Y7" s="14">
        <f t="shared" si="19"/>
        <v>207.29451900000004</v>
      </c>
      <c r="Z7" s="14">
        <f t="shared" si="19"/>
        <v>223.40952573333345</v>
      </c>
      <c r="AA7" s="14">
        <f t="shared" si="19"/>
        <v>281.80730953333335</v>
      </c>
      <c r="AB7" s="14">
        <f t="shared" si="19"/>
        <v>245.24826001666673</v>
      </c>
      <c r="AC7" s="14">
        <f t="shared" si="19"/>
        <v>455.06849365000005</v>
      </c>
      <c r="AD7" s="14">
        <f t="shared" si="19"/>
        <v>163.88213833333342</v>
      </c>
      <c r="AE7" s="14">
        <f t="shared" si="19"/>
        <v>195.68034833333337</v>
      </c>
      <c r="AF7" s="14">
        <f t="shared" si="19"/>
        <v>231.26287500000007</v>
      </c>
      <c r="AG7" s="14">
        <f t="shared" si="19"/>
        <v>234.73181812500002</v>
      </c>
      <c r="AH7" s="14">
        <f t="shared" si="19"/>
        <v>238.25279539687494</v>
      </c>
      <c r="AI7" s="14">
        <f t="shared" si="19"/>
        <v>239.44405937385937</v>
      </c>
      <c r="AJ7" s="14">
        <f t="shared" si="19"/>
        <v>240.64127967072869</v>
      </c>
      <c r="AK7" s="14">
        <f t="shared" si="19"/>
        <v>241.84448606908222</v>
      </c>
      <c r="AL7" s="14">
        <f t="shared" si="19"/>
        <v>243.05370849942756</v>
      </c>
      <c r="AM7" s="14">
        <f t="shared" si="19"/>
        <v>246.69951412691904</v>
      </c>
      <c r="AN7" s="14">
        <f t="shared" si="19"/>
        <v>250.40000683882283</v>
      </c>
      <c r="AO7" s="14">
        <f t="shared" si="19"/>
        <v>254.15600694140517</v>
      </c>
      <c r="AP7" s="14">
        <f t="shared" si="19"/>
        <v>256.69756701081923</v>
      </c>
      <c r="AQ7" s="14">
        <f t="shared" si="19"/>
        <v>259.26454268092738</v>
      </c>
      <c r="AR7" s="14">
        <f t="shared" si="19"/>
        <v>263.15351082114137</v>
      </c>
      <c r="AS7" s="14">
        <f t="shared" si="19"/>
        <v>267.10081348345841</v>
      </c>
      <c r="AT7" s="14">
        <f t="shared" si="19"/>
        <v>271.10732568571029</v>
      </c>
      <c r="AU7" s="14">
        <f t="shared" si="19"/>
        <v>273.81839894256746</v>
      </c>
      <c r="AV7" s="14">
        <f t="shared" si="19"/>
        <v>276.55658293199303</v>
      </c>
      <c r="AW7" s="14">
        <f t="shared" si="19"/>
        <v>279.32214876131292</v>
      </c>
      <c r="AX7" s="14">
        <f t="shared" ref="AX7:BU7" si="20">SUM(AX4:AX5)</f>
        <v>282.11537024892601</v>
      </c>
      <c r="AY7" s="14">
        <f t="shared" si="20"/>
        <v>286.34710080266001</v>
      </c>
      <c r="AZ7" s="14">
        <f t="shared" si="20"/>
        <v>290.64230731469979</v>
      </c>
      <c r="BA7" s="14">
        <f t="shared" si="20"/>
        <v>295.00194192442024</v>
      </c>
      <c r="BB7" s="14">
        <f t="shared" si="20"/>
        <v>296.47695163404228</v>
      </c>
      <c r="BC7" s="14">
        <f t="shared" si="20"/>
        <v>297.95933639221249</v>
      </c>
      <c r="BD7" s="14">
        <f t="shared" si="20"/>
        <v>302.42872643809574</v>
      </c>
      <c r="BE7" s="14">
        <f t="shared" si="20"/>
        <v>306.96515733466708</v>
      </c>
      <c r="BF7" s="14">
        <f t="shared" si="20"/>
        <v>311.56963469468712</v>
      </c>
      <c r="BG7" s="14">
        <f t="shared" si="20"/>
        <v>313.12748286816054</v>
      </c>
      <c r="BH7" s="14">
        <f t="shared" si="20"/>
        <v>314.69312028250124</v>
      </c>
      <c r="BI7" s="14">
        <f t="shared" si="20"/>
        <v>316.26658588391376</v>
      </c>
      <c r="BJ7" s="14">
        <f t="shared" si="20"/>
        <v>317.84791881333319</v>
      </c>
      <c r="BK7" s="14">
        <f t="shared" si="20"/>
        <v>322.61563759553314</v>
      </c>
      <c r="BL7" s="14">
        <f t="shared" si="20"/>
        <v>327.45487215946611</v>
      </c>
      <c r="BM7" s="14">
        <f t="shared" si="20"/>
        <v>332.36669524185822</v>
      </c>
      <c r="BN7" s="14">
        <f t="shared" si="20"/>
        <v>334.02852871806749</v>
      </c>
      <c r="BO7" s="14">
        <f t="shared" si="20"/>
        <v>335.69867136165777</v>
      </c>
      <c r="BP7" s="14">
        <f t="shared" si="20"/>
        <v>340.73415143208251</v>
      </c>
      <c r="BQ7" s="14">
        <f t="shared" si="20"/>
        <v>345.84516370356368</v>
      </c>
      <c r="BR7" s="14">
        <f t="shared" si="20"/>
        <v>351.03284115911708</v>
      </c>
      <c r="BS7" s="14">
        <f t="shared" si="20"/>
        <v>352.78800536491269</v>
      </c>
      <c r="BT7" s="14">
        <f t="shared" si="20"/>
        <v>354.55194539173726</v>
      </c>
      <c r="BU7" s="14">
        <f t="shared" si="20"/>
        <v>356.32470511869576</v>
      </c>
      <c r="BV7" s="14">
        <f t="shared" ref="BV7:BX7" si="21">SUM(BV4:BV5)</f>
        <v>358.10632864428942</v>
      </c>
      <c r="BW7" s="14">
        <f t="shared" si="21"/>
        <v>363.47792357395372</v>
      </c>
      <c r="BX7" s="14">
        <f t="shared" si="21"/>
        <v>368.93009242756273</v>
      </c>
      <c r="BY7" s="14">
        <f t="shared" ref="BY7:CK7" si="22">SUM(BY4:BY5)</f>
        <v>374.46404381397622</v>
      </c>
      <c r="BZ7" s="14">
        <f t="shared" si="22"/>
        <v>380.08100447118579</v>
      </c>
      <c r="CA7" s="14">
        <f t="shared" si="22"/>
        <v>385.78221953825368</v>
      </c>
      <c r="CB7" s="14">
        <f t="shared" si="22"/>
        <v>391.56895283132735</v>
      </c>
      <c r="CC7" s="14">
        <f t="shared" si="22"/>
        <v>397.44248712379726</v>
      </c>
      <c r="CD7" s="14">
        <f t="shared" si="22"/>
        <v>403.40412443065418</v>
      </c>
      <c r="CE7" s="14">
        <f t="shared" si="22"/>
        <v>409.4551862971141</v>
      </c>
      <c r="CF7" s="14">
        <f t="shared" si="22"/>
        <v>415.59701409157071</v>
      </c>
      <c r="CG7" s="14">
        <f t="shared" si="22"/>
        <v>421.83096930294425</v>
      </c>
      <c r="CH7" s="14">
        <f t="shared" si="22"/>
        <v>428.15843384248831</v>
      </c>
      <c r="CI7" s="14">
        <f t="shared" si="22"/>
        <v>434.58081035012549</v>
      </c>
      <c r="CJ7" s="14">
        <f t="shared" si="22"/>
        <v>441.09952250537742</v>
      </c>
      <c r="CK7" s="14">
        <f t="shared" si="22"/>
        <v>447.71601534295792</v>
      </c>
      <c r="CM7" s="14">
        <f t="shared" ref="CM7:CO7" si="23">SUM(CM4:CM5)</f>
        <v>0</v>
      </c>
      <c r="CN7" s="14">
        <f t="shared" si="23"/>
        <v>1605.6159795833332</v>
      </c>
      <c r="CO7" s="14">
        <f t="shared" si="23"/>
        <v>2780.0490367087859</v>
      </c>
      <c r="CP7" s="14">
        <f t="shared" ref="CP7:CQ7" si="24">SUM(CP4:CP5)</f>
        <v>3301.127610608637</v>
      </c>
      <c r="CQ7" s="14">
        <f t="shared" si="24"/>
        <v>3759.7721193384723</v>
      </c>
      <c r="CR7" s="14">
        <f t="shared" ref="CR7:CS7" si="25">SUM(CR4:CR5)</f>
        <v>4235.9824007096158</v>
      </c>
      <c r="CS7" s="14">
        <f t="shared" si="25"/>
        <v>4956.7167401277975</v>
      </c>
    </row>
    <row r="8" spans="2:97" s="5" customFormat="1" x14ac:dyDescent="0.2">
      <c r="B8" s="191" t="s">
        <v>58</v>
      </c>
      <c r="C8" s="192" t="s">
        <v>59</v>
      </c>
      <c r="D8" s="15"/>
      <c r="E8" s="9"/>
      <c r="F8" s="16" t="str">
        <f t="shared" ref="F8:K8" si="26">IFERROR(F7/F4,"")</f>
        <v/>
      </c>
      <c r="G8" s="16" t="str">
        <f t="shared" si="26"/>
        <v/>
      </c>
      <c r="H8" s="16" t="str">
        <f t="shared" si="26"/>
        <v/>
      </c>
      <c r="I8" s="16" t="str">
        <f t="shared" si="26"/>
        <v/>
      </c>
      <c r="J8" s="16" t="str">
        <f t="shared" si="26"/>
        <v/>
      </c>
      <c r="K8" s="16" t="str">
        <f t="shared" si="26"/>
        <v/>
      </c>
      <c r="L8" s="16" t="str">
        <f>IFERROR(L7/L4,"")</f>
        <v/>
      </c>
      <c r="M8" s="16" t="str">
        <f t="shared" ref="M8:AW8" si="27">IFERROR(M7/M4,"")</f>
        <v/>
      </c>
      <c r="N8" s="16" t="str">
        <f t="shared" si="27"/>
        <v/>
      </c>
      <c r="O8" s="16" t="str">
        <f t="shared" si="27"/>
        <v/>
      </c>
      <c r="P8" s="16" t="str">
        <f t="shared" si="27"/>
        <v/>
      </c>
      <c r="Q8" s="16" t="str">
        <f t="shared" si="27"/>
        <v/>
      </c>
      <c r="R8" s="16">
        <f t="shared" si="27"/>
        <v>0.14958000730422097</v>
      </c>
      <c r="S8" s="16">
        <f t="shared" si="27"/>
        <v>0.11789149736272596</v>
      </c>
      <c r="T8" s="16">
        <f t="shared" si="27"/>
        <v>0.10565163514896833</v>
      </c>
      <c r="U8" s="16">
        <f t="shared" si="27"/>
        <v>-0.13724661708519656</v>
      </c>
      <c r="V8" s="16">
        <f t="shared" si="27"/>
        <v>-3.5170513313550138E-2</v>
      </c>
      <c r="W8" s="16">
        <f t="shared" si="27"/>
        <v>1.3995985915049676E-3</v>
      </c>
      <c r="X8" s="16">
        <f t="shared" si="27"/>
        <v>0.39800000000000002</v>
      </c>
      <c r="Y8" s="16">
        <f t="shared" si="27"/>
        <v>0.39800000000000008</v>
      </c>
      <c r="Z8" s="16">
        <f t="shared" si="27"/>
        <v>0.39800000000000013</v>
      </c>
      <c r="AA8" s="16">
        <f t="shared" si="27"/>
        <v>0.39800000000000002</v>
      </c>
      <c r="AB8" s="16">
        <f t="shared" si="27"/>
        <v>0.39800000000000008</v>
      </c>
      <c r="AC8" s="16">
        <f t="shared" si="27"/>
        <v>0.39800000000000002</v>
      </c>
      <c r="AD8" s="16">
        <f t="shared" si="27"/>
        <v>0.39800000000000013</v>
      </c>
      <c r="AE8" s="16">
        <f t="shared" si="27"/>
        <v>0.39800000000000008</v>
      </c>
      <c r="AF8" s="16">
        <f t="shared" si="27"/>
        <v>0.39800000000000013</v>
      </c>
      <c r="AG8" s="16">
        <f t="shared" si="27"/>
        <v>0.39800000000000002</v>
      </c>
      <c r="AH8" s="16">
        <f t="shared" si="27"/>
        <v>0.39799999999999991</v>
      </c>
      <c r="AI8" s="16">
        <f t="shared" si="27"/>
        <v>0.39800000000000002</v>
      </c>
      <c r="AJ8" s="16">
        <f t="shared" si="27"/>
        <v>0.39800000000000008</v>
      </c>
      <c r="AK8" s="16">
        <f t="shared" si="27"/>
        <v>0.39799999999999996</v>
      </c>
      <c r="AL8" s="16">
        <f t="shared" si="27"/>
        <v>0.39799999999999985</v>
      </c>
      <c r="AM8" s="16">
        <f t="shared" si="27"/>
        <v>0.39800000000000002</v>
      </c>
      <c r="AN8" s="16">
        <f t="shared" si="27"/>
        <v>0.39800000000000002</v>
      </c>
      <c r="AO8" s="16">
        <f t="shared" si="27"/>
        <v>0.39800000000000002</v>
      </c>
      <c r="AP8" s="16">
        <f t="shared" si="27"/>
        <v>0.39800000000000002</v>
      </c>
      <c r="AQ8" s="16">
        <f t="shared" si="27"/>
        <v>0.39799999999999996</v>
      </c>
      <c r="AR8" s="16">
        <f t="shared" si="27"/>
        <v>0.39800000000000008</v>
      </c>
      <c r="AS8" s="16">
        <f t="shared" si="27"/>
        <v>0.39800000000000008</v>
      </c>
      <c r="AT8" s="16">
        <f t="shared" si="27"/>
        <v>0.39800000000000008</v>
      </c>
      <c r="AU8" s="16">
        <f t="shared" si="27"/>
        <v>0.39800000000000013</v>
      </c>
      <c r="AV8" s="16">
        <f t="shared" si="27"/>
        <v>0.39800000000000008</v>
      </c>
      <c r="AW8" s="16">
        <f t="shared" si="27"/>
        <v>0.39800000000000002</v>
      </c>
      <c r="AX8" s="16">
        <f t="shared" ref="AX8:BU8" si="28">IFERROR(AX7/AX4,"")</f>
        <v>0.39799999999999996</v>
      </c>
      <c r="AY8" s="16">
        <f t="shared" si="28"/>
        <v>0.39800000000000013</v>
      </c>
      <c r="AZ8" s="16">
        <f t="shared" si="28"/>
        <v>0.39800000000000002</v>
      </c>
      <c r="BA8" s="16">
        <f t="shared" si="28"/>
        <v>0.39800000000000002</v>
      </c>
      <c r="BB8" s="16">
        <f t="shared" si="28"/>
        <v>0.39799999999999996</v>
      </c>
      <c r="BC8" s="16">
        <f t="shared" si="28"/>
        <v>0.39799999999999996</v>
      </c>
      <c r="BD8" s="16">
        <f t="shared" si="28"/>
        <v>0.39800000000000008</v>
      </c>
      <c r="BE8" s="16">
        <f t="shared" si="28"/>
        <v>0.39800000000000002</v>
      </c>
      <c r="BF8" s="16">
        <f t="shared" si="28"/>
        <v>0.39800000000000008</v>
      </c>
      <c r="BG8" s="16">
        <f t="shared" si="28"/>
        <v>0.39800000000000008</v>
      </c>
      <c r="BH8" s="16">
        <f t="shared" si="28"/>
        <v>0.39799999999999996</v>
      </c>
      <c r="BI8" s="16">
        <f t="shared" si="28"/>
        <v>0.39800000000000008</v>
      </c>
      <c r="BJ8" s="16">
        <f t="shared" si="28"/>
        <v>0.39799999999999991</v>
      </c>
      <c r="BK8" s="16">
        <f t="shared" si="28"/>
        <v>0.39799999999999991</v>
      </c>
      <c r="BL8" s="16">
        <f t="shared" si="28"/>
        <v>0.39799999999999991</v>
      </c>
      <c r="BM8" s="16">
        <f t="shared" si="28"/>
        <v>0.39800000000000008</v>
      </c>
      <c r="BN8" s="16">
        <f t="shared" si="28"/>
        <v>0.39800000000000008</v>
      </c>
      <c r="BO8" s="16">
        <f t="shared" si="28"/>
        <v>0.39800000000000008</v>
      </c>
      <c r="BP8" s="16">
        <f t="shared" si="28"/>
        <v>0.39799999999999996</v>
      </c>
      <c r="BQ8" s="16">
        <f t="shared" si="28"/>
        <v>0.39800000000000002</v>
      </c>
      <c r="BR8" s="16">
        <f t="shared" si="28"/>
        <v>0.39799999999999996</v>
      </c>
      <c r="BS8" s="16">
        <f t="shared" si="28"/>
        <v>0.39800000000000002</v>
      </c>
      <c r="BT8" s="16">
        <f t="shared" si="28"/>
        <v>0.39800000000000002</v>
      </c>
      <c r="BU8" s="16">
        <f t="shared" si="28"/>
        <v>0.39799999999999991</v>
      </c>
      <c r="BV8" s="16">
        <f t="shared" ref="BV8:BX8" si="29">IFERROR(BV7/BV4,"")</f>
        <v>0.39800000000000008</v>
      </c>
      <c r="BW8" s="16">
        <f t="shared" si="29"/>
        <v>0.39800000000000008</v>
      </c>
      <c r="BX8" s="16">
        <f t="shared" si="29"/>
        <v>0.39799999999999991</v>
      </c>
      <c r="BY8" s="16">
        <f t="shared" ref="BY8:CK8" si="30">IFERROR(BY7/BY4,"")</f>
        <v>0.39800000000000002</v>
      </c>
      <c r="BZ8" s="16">
        <f t="shared" si="30"/>
        <v>0.39799999999999991</v>
      </c>
      <c r="CA8" s="16">
        <f t="shared" si="30"/>
        <v>0.39800000000000002</v>
      </c>
      <c r="CB8" s="16">
        <f t="shared" si="30"/>
        <v>0.39799999999999996</v>
      </c>
      <c r="CC8" s="16">
        <f t="shared" si="30"/>
        <v>0.39800000000000002</v>
      </c>
      <c r="CD8" s="16">
        <f t="shared" si="30"/>
        <v>0.39799999999999996</v>
      </c>
      <c r="CE8" s="16">
        <f t="shared" si="30"/>
        <v>0.39800000000000002</v>
      </c>
      <c r="CF8" s="16">
        <f t="shared" si="30"/>
        <v>0.39800000000000008</v>
      </c>
      <c r="CG8" s="16">
        <f t="shared" si="30"/>
        <v>0.39800000000000008</v>
      </c>
      <c r="CH8" s="16">
        <f t="shared" si="30"/>
        <v>0.39800000000000002</v>
      </c>
      <c r="CI8" s="16">
        <f t="shared" si="30"/>
        <v>0.39799999999999996</v>
      </c>
      <c r="CJ8" s="16">
        <f t="shared" si="30"/>
        <v>0.39800000000000008</v>
      </c>
      <c r="CK8" s="16">
        <f t="shared" si="30"/>
        <v>0.39800000000000002</v>
      </c>
      <c r="CM8" s="16" t="str">
        <f>IFERROR(CM7/CM4,"")</f>
        <v/>
      </c>
      <c r="CN8" s="16">
        <f t="shared" ref="CN8:CO8" si="31">CN7/CN4</f>
        <v>0.2829078918016415</v>
      </c>
      <c r="CO8" s="16">
        <f t="shared" si="31"/>
        <v>0.39799999999999991</v>
      </c>
      <c r="CP8" s="16">
        <f t="shared" ref="CP8:CQ8" si="32">CP7/CP4</f>
        <v>0.39800000000000013</v>
      </c>
      <c r="CQ8" s="16">
        <f t="shared" si="32"/>
        <v>0.39800000000000008</v>
      </c>
      <c r="CR8" s="16">
        <f t="shared" ref="CR8:CS8" si="33">CR7/CR4</f>
        <v>0.39800000000000002</v>
      </c>
      <c r="CS8" s="16">
        <f t="shared" si="33"/>
        <v>0.39800000000000008</v>
      </c>
    </row>
    <row r="9" spans="2:97" x14ac:dyDescent="0.2">
      <c r="B9" s="92"/>
      <c r="C9" s="91"/>
      <c r="D9" s="9"/>
      <c r="E9" s="9"/>
    </row>
    <row r="10" spans="2:97" x14ac:dyDescent="0.2">
      <c r="B10" s="90" t="s">
        <v>52</v>
      </c>
      <c r="C10" s="91" t="s">
        <v>4</v>
      </c>
      <c r="D10" s="9"/>
      <c r="E10" s="9"/>
      <c r="F10" s="11">
        <f t="shared" ref="F10:K10" si="34">-F54/1.2-F82</f>
        <v>0</v>
      </c>
      <c r="G10" s="11">
        <f t="shared" si="34"/>
        <v>0</v>
      </c>
      <c r="H10" s="11">
        <f t="shared" si="34"/>
        <v>0</v>
      </c>
      <c r="I10" s="11">
        <f t="shared" si="34"/>
        <v>0</v>
      </c>
      <c r="J10" s="11">
        <f t="shared" si="34"/>
        <v>0</v>
      </c>
      <c r="K10" s="11">
        <f t="shared" si="34"/>
        <v>0</v>
      </c>
      <c r="L10" s="11">
        <f t="shared" ref="L10:AQ10" si="35">-L54/1.2-L82</f>
        <v>0</v>
      </c>
      <c r="M10" s="11">
        <f t="shared" si="35"/>
        <v>0</v>
      </c>
      <c r="N10" s="11">
        <f t="shared" si="35"/>
        <v>0</v>
      </c>
      <c r="O10" s="11">
        <f t="shared" si="35"/>
        <v>0</v>
      </c>
      <c r="P10" s="11">
        <f t="shared" si="35"/>
        <v>0</v>
      </c>
      <c r="Q10" s="11">
        <f t="shared" si="35"/>
        <v>0</v>
      </c>
      <c r="R10" s="11">
        <f t="shared" si="35"/>
        <v>-7.3055666666666674</v>
      </c>
      <c r="S10" s="11">
        <f t="shared" si="35"/>
        <v>-7.6793916666666675</v>
      </c>
      <c r="T10" s="11">
        <f t="shared" si="35"/>
        <v>-3.7973583333333334</v>
      </c>
      <c r="U10" s="11">
        <f t="shared" si="35"/>
        <v>-72.642366666666675</v>
      </c>
      <c r="V10" s="11">
        <f t="shared" si="35"/>
        <v>-49.0332875</v>
      </c>
      <c r="W10" s="11">
        <f t="shared" si="35"/>
        <v>-50.960262500000006</v>
      </c>
      <c r="X10" s="11">
        <f t="shared" si="35"/>
        <v>-64.02890086666666</v>
      </c>
      <c r="Y10" s="11">
        <f t="shared" si="35"/>
        <v>-54.167411999999999</v>
      </c>
      <c r="Z10" s="11">
        <f t="shared" si="35"/>
        <v>-58.378368533333337</v>
      </c>
      <c r="AA10" s="11">
        <f t="shared" si="35"/>
        <v>-73.638090933333331</v>
      </c>
      <c r="AB10" s="11">
        <f t="shared" si="35"/>
        <v>-64.08497246666667</v>
      </c>
      <c r="AC10" s="11">
        <f t="shared" si="35"/>
        <v>-118.9123702</v>
      </c>
      <c r="AD10" s="11">
        <f t="shared" si="35"/>
        <v>-42.823473333333332</v>
      </c>
      <c r="AE10" s="11">
        <f t="shared" si="35"/>
        <v>-51.132553333333334</v>
      </c>
      <c r="AF10" s="11">
        <f t="shared" si="35"/>
        <v>-60.430499999999995</v>
      </c>
      <c r="AG10" s="11">
        <f t="shared" si="35"/>
        <v>-61.336957499999997</v>
      </c>
      <c r="AH10" s="11">
        <f t="shared" si="35"/>
        <v>-62.257011862499994</v>
      </c>
      <c r="AI10" s="11">
        <f t="shared" si="35"/>
        <v>-62.56829692181249</v>
      </c>
      <c r="AJ10" s="11">
        <f t="shared" si="35"/>
        <v>-62.881138406421549</v>
      </c>
      <c r="AK10" s="11">
        <f t="shared" si="35"/>
        <v>-211.6327268905664</v>
      </c>
      <c r="AL10" s="11">
        <f t="shared" si="35"/>
        <v>-461.85755719168583</v>
      </c>
      <c r="AM10" s="11">
        <f t="shared" si="35"/>
        <v>-212.53542054956114</v>
      </c>
      <c r="AN10" s="11">
        <f t="shared" si="35"/>
        <v>-65.431157565923556</v>
      </c>
      <c r="AO10" s="11">
        <f t="shared" si="35"/>
        <v>-66.412624929412402</v>
      </c>
      <c r="AP10" s="11">
        <f t="shared" si="35"/>
        <v>-67.07675117870653</v>
      </c>
      <c r="AQ10" s="11">
        <f t="shared" si="35"/>
        <v>-67.747518690493592</v>
      </c>
      <c r="AR10" s="11">
        <f t="shared" ref="AR10:BU10" si="36">-AR54/1.2-AR82</f>
        <v>-68.763731470850985</v>
      </c>
      <c r="AS10" s="11">
        <f t="shared" si="36"/>
        <v>-69.795187442913743</v>
      </c>
      <c r="AT10" s="11">
        <f t="shared" si="36"/>
        <v>-70.842115254557456</v>
      </c>
      <c r="AU10" s="11">
        <f t="shared" si="36"/>
        <v>-71.55053640710301</v>
      </c>
      <c r="AV10" s="11">
        <f t="shared" si="36"/>
        <v>-72.266041771174045</v>
      </c>
      <c r="AW10" s="11">
        <f t="shared" si="36"/>
        <v>-72.988702188885796</v>
      </c>
      <c r="AX10" s="11">
        <f t="shared" si="36"/>
        <v>-73.718589210774638</v>
      </c>
      <c r="AY10" s="11">
        <f t="shared" si="36"/>
        <v>-74.824368048936265</v>
      </c>
      <c r="AZ10" s="11">
        <f t="shared" si="36"/>
        <v>-75.9467335696703</v>
      </c>
      <c r="BA10" s="11">
        <f t="shared" si="36"/>
        <v>-77.08593457321534</v>
      </c>
      <c r="BB10" s="11">
        <f t="shared" si="36"/>
        <v>-77.471364246081407</v>
      </c>
      <c r="BC10" s="11">
        <f t="shared" si="36"/>
        <v>-77.858721067311819</v>
      </c>
      <c r="BD10" s="11">
        <f t="shared" si="36"/>
        <v>-79.02660188332149</v>
      </c>
      <c r="BE10" s="11">
        <f t="shared" si="36"/>
        <v>-80.212000911571295</v>
      </c>
      <c r="BF10" s="11">
        <f t="shared" si="36"/>
        <v>-81.415180925244854</v>
      </c>
      <c r="BG10" s="11">
        <f t="shared" si="36"/>
        <v>-81.822256829871066</v>
      </c>
      <c r="BH10" s="11">
        <f t="shared" si="36"/>
        <v>-82.231368114020427</v>
      </c>
      <c r="BI10" s="11">
        <f t="shared" si="36"/>
        <v>-82.642524954590527</v>
      </c>
      <c r="BJ10" s="11">
        <f t="shared" si="36"/>
        <v>-83.055737579363466</v>
      </c>
      <c r="BK10" s="11">
        <f t="shared" si="36"/>
        <v>-84.301573643053899</v>
      </c>
      <c r="BL10" s="11">
        <f t="shared" si="36"/>
        <v>-85.566097247699702</v>
      </c>
      <c r="BM10" s="11">
        <f t="shared" si="36"/>
        <v>-86.84958870641519</v>
      </c>
      <c r="BN10" s="11">
        <f t="shared" si="36"/>
        <v>-87.283836649947261</v>
      </c>
      <c r="BO10" s="11">
        <f t="shared" si="36"/>
        <v>-87.720255833196973</v>
      </c>
      <c r="BP10" s="11">
        <f t="shared" si="36"/>
        <v>-89.036059670694925</v>
      </c>
      <c r="BQ10" s="11">
        <f t="shared" si="36"/>
        <v>-90.37160056575533</v>
      </c>
      <c r="BR10" s="11">
        <f t="shared" si="36"/>
        <v>-91.727174574241658</v>
      </c>
      <c r="BS10" s="11">
        <f t="shared" si="36"/>
        <v>-92.185810447112857</v>
      </c>
      <c r="BT10" s="11">
        <f t="shared" si="36"/>
        <v>-92.646739499348413</v>
      </c>
      <c r="BU10" s="11">
        <f t="shared" si="36"/>
        <v>-93.109973196845147</v>
      </c>
      <c r="BV10" s="11">
        <f t="shared" ref="BV10:BX10" si="37">-BV54/1.2-BV82</f>
        <v>-93.575523062829376</v>
      </c>
      <c r="BW10" s="11">
        <f t="shared" si="37"/>
        <v>-94.979155908771801</v>
      </c>
      <c r="BX10" s="11">
        <f t="shared" si="37"/>
        <v>-96.403843247403344</v>
      </c>
      <c r="BY10" s="11">
        <f t="shared" ref="BY10:CK10" si="38">-BY54/1.2-BY82</f>
        <v>-97.849900896114377</v>
      </c>
      <c r="BZ10" s="11">
        <f t="shared" si="38"/>
        <v>-99.317649409556111</v>
      </c>
      <c r="CA10" s="11">
        <f t="shared" si="38"/>
        <v>-100.80741415069943</v>
      </c>
      <c r="CB10" s="11">
        <f t="shared" si="38"/>
        <v>-102.31952536295992</v>
      </c>
      <c r="CC10" s="11">
        <f t="shared" si="38"/>
        <v>-103.85431824340429</v>
      </c>
      <c r="CD10" s="11">
        <f t="shared" si="38"/>
        <v>-105.41213301705535</v>
      </c>
      <c r="CE10" s="11">
        <f t="shared" si="38"/>
        <v>-106.99331501231119</v>
      </c>
      <c r="CF10" s="11">
        <f t="shared" si="38"/>
        <v>-108.59821473749582</v>
      </c>
      <c r="CG10" s="11">
        <f t="shared" si="38"/>
        <v>-110.22718795855826</v>
      </c>
      <c r="CH10" s="11">
        <f t="shared" si="38"/>
        <v>-111.88059577793662</v>
      </c>
      <c r="CI10" s="11">
        <f t="shared" si="38"/>
        <v>-113.55880471460566</v>
      </c>
      <c r="CJ10" s="11">
        <f t="shared" si="38"/>
        <v>-115.26218678532473</v>
      </c>
      <c r="CK10" s="11">
        <f t="shared" si="38"/>
        <v>-116.99111958710458</v>
      </c>
      <c r="CM10" s="11">
        <f t="shared" ref="CM10:CQ12" si="39">SUMIF($L$2:$CK$2,CM$3,$L10:$CK10)</f>
        <v>0</v>
      </c>
      <c r="CN10" s="11">
        <f t="shared" si="39"/>
        <v>-624.62834833333341</v>
      </c>
      <c r="CO10" s="11">
        <f t="shared" si="39"/>
        <v>-1421.2994184845502</v>
      </c>
      <c r="CP10" s="11">
        <f t="shared" si="39"/>
        <v>-862.60620980728174</v>
      </c>
      <c r="CQ10" s="11">
        <f t="shared" si="39"/>
        <v>-982.45301610854506</v>
      </c>
      <c r="CR10" s="11">
        <f t="shared" ref="CR10:CS12" si="40">SUMIF($L$2:$CK$2,CR$3,$L10:$CK10)</f>
        <v>-1106.8898735522614</v>
      </c>
      <c r="CS10" s="11">
        <f t="shared" si="40"/>
        <v>-1295.2224647570119</v>
      </c>
    </row>
    <row r="11" spans="2:97" x14ac:dyDescent="0.2">
      <c r="B11" s="90" t="s">
        <v>53</v>
      </c>
      <c r="C11" s="91" t="s">
        <v>4</v>
      </c>
      <c r="D11" s="9"/>
      <c r="E11" s="9"/>
      <c r="F11" s="11">
        <f t="shared" ref="F11:K11" si="41">-F48/1.2-F51/1.2-F80-F81</f>
        <v>0</v>
      </c>
      <c r="G11" s="11">
        <f t="shared" si="41"/>
        <v>0</v>
      </c>
      <c r="H11" s="11">
        <f t="shared" si="41"/>
        <v>0</v>
      </c>
      <c r="I11" s="11">
        <f t="shared" si="41"/>
        <v>0</v>
      </c>
      <c r="J11" s="11">
        <f t="shared" si="41"/>
        <v>0</v>
      </c>
      <c r="K11" s="11">
        <f t="shared" si="41"/>
        <v>0</v>
      </c>
      <c r="L11" s="11">
        <f t="shared" ref="L11:AQ11" si="42">-L48/1.2-L51/1.2-L80-L81</f>
        <v>0</v>
      </c>
      <c r="M11" s="11">
        <f t="shared" si="42"/>
        <v>0</v>
      </c>
      <c r="N11" s="11">
        <f t="shared" si="42"/>
        <v>0</v>
      </c>
      <c r="O11" s="11">
        <f t="shared" si="42"/>
        <v>0</v>
      </c>
      <c r="P11" s="11">
        <f t="shared" si="42"/>
        <v>0</v>
      </c>
      <c r="Q11" s="11">
        <f t="shared" si="42"/>
        <v>0</v>
      </c>
      <c r="R11" s="11">
        <f t="shared" si="42"/>
        <v>-3.1945000000000001</v>
      </c>
      <c r="S11" s="11">
        <f t="shared" si="42"/>
        <v>-5.0636250000000009</v>
      </c>
      <c r="T11" s="11">
        <f t="shared" si="42"/>
        <v>-2.3201250000000004</v>
      </c>
      <c r="U11" s="11">
        <f t="shared" si="42"/>
        <v>-39.939250000000001</v>
      </c>
      <c r="V11" s="11">
        <f t="shared" si="42"/>
        <v>-44.277625</v>
      </c>
      <c r="W11" s="11">
        <f t="shared" si="42"/>
        <v>-34.867541666666668</v>
      </c>
      <c r="X11" s="11">
        <f t="shared" si="42"/>
        <v>-92.653919009666666</v>
      </c>
      <c r="Y11" s="11">
        <f t="shared" si="42"/>
        <v>-86.854604979999991</v>
      </c>
      <c r="Z11" s="11">
        <f t="shared" si="42"/>
        <v>-89.330971341333338</v>
      </c>
      <c r="AA11" s="11">
        <f t="shared" si="42"/>
        <v>-98.304861937333328</v>
      </c>
      <c r="AB11" s="11">
        <f t="shared" si="42"/>
        <v>-92.686893423666675</v>
      </c>
      <c r="AC11" s="11">
        <f t="shared" si="42"/>
        <v>-124.92962078300002</v>
      </c>
      <c r="AD11" s="11">
        <f t="shared" si="42"/>
        <v>-80.183496433333346</v>
      </c>
      <c r="AE11" s="11">
        <f t="shared" si="42"/>
        <v>-125.90320796666667</v>
      </c>
      <c r="AF11" s="11">
        <f t="shared" si="42"/>
        <v>-131.37111583333333</v>
      </c>
      <c r="AG11" s="11">
        <f t="shared" si="42"/>
        <v>-131.90418257083334</v>
      </c>
      <c r="AH11" s="11">
        <f t="shared" si="42"/>
        <v>-132.44524530939583</v>
      </c>
      <c r="AI11" s="11">
        <f t="shared" si="42"/>
        <v>-132.62830486927615</v>
      </c>
      <c r="AJ11" s="11">
        <f t="shared" si="42"/>
        <v>-146.14561306028918</v>
      </c>
      <c r="AK11" s="11">
        <f t="shared" si="42"/>
        <v>-146.33050779225729</v>
      </c>
      <c r="AL11" s="11">
        <f t="shared" si="42"/>
        <v>-146.51632699788524</v>
      </c>
      <c r="AM11" s="11">
        <f t="shared" si="42"/>
        <v>-147.07657190285354</v>
      </c>
      <c r="AN11" s="11">
        <f t="shared" si="42"/>
        <v>-147.64522048139634</v>
      </c>
      <c r="AO11" s="11">
        <f t="shared" si="42"/>
        <v>-148.22239878861726</v>
      </c>
      <c r="AP11" s="11">
        <f t="shared" si="42"/>
        <v>-153.61295610983677</v>
      </c>
      <c r="AQ11" s="11">
        <f t="shared" si="42"/>
        <v>-154.00741900426848</v>
      </c>
      <c r="AR11" s="11">
        <f t="shared" ref="AR11:BU11" si="43">-AR48/1.2-AR51/1.2-AR80-AR81</f>
        <v>-154.60503028933249</v>
      </c>
      <c r="AS11" s="11">
        <f t="shared" si="43"/>
        <v>-155.21160574367246</v>
      </c>
      <c r="AT11" s="11">
        <f t="shared" si="43"/>
        <v>-155.82727982982757</v>
      </c>
      <c r="AU11" s="11">
        <f t="shared" si="43"/>
        <v>-156.24388596145917</v>
      </c>
      <c r="AV11" s="11">
        <f t="shared" si="43"/>
        <v>-156.66465815440711</v>
      </c>
      <c r="AW11" s="11">
        <f t="shared" si="43"/>
        <v>-157.08963806928452</v>
      </c>
      <c r="AX11" s="11">
        <f t="shared" si="43"/>
        <v>-167.51886778331067</v>
      </c>
      <c r="AY11" s="11">
        <f t="shared" si="43"/>
        <v>-168.16915080006035</v>
      </c>
      <c r="AZ11" s="11">
        <f t="shared" si="43"/>
        <v>-168.82918806206123</v>
      </c>
      <c r="BA11" s="11">
        <f t="shared" si="43"/>
        <v>-169.49912588299216</v>
      </c>
      <c r="BB11" s="11">
        <f t="shared" si="43"/>
        <v>-169.72578817907376</v>
      </c>
      <c r="BC11" s="11">
        <f t="shared" si="43"/>
        <v>-169.95358378663579</v>
      </c>
      <c r="BD11" s="11">
        <f t="shared" si="43"/>
        <v>-170.64038754343534</v>
      </c>
      <c r="BE11" s="11">
        <f t="shared" si="43"/>
        <v>-171.33749335658686</v>
      </c>
      <c r="BF11" s="11">
        <f t="shared" si="43"/>
        <v>-172.04505575693565</v>
      </c>
      <c r="BG11" s="11">
        <f t="shared" si="43"/>
        <v>-172.28444770238701</v>
      </c>
      <c r="BH11" s="11">
        <f t="shared" si="43"/>
        <v>-172.5250366075656</v>
      </c>
      <c r="BI11" s="11">
        <f t="shared" si="43"/>
        <v>-172.76682845727009</v>
      </c>
      <c r="BJ11" s="11">
        <f t="shared" si="43"/>
        <v>-173.00982926622311</v>
      </c>
      <c r="BK11" s="11">
        <f t="shared" si="43"/>
        <v>-173.74247670521646</v>
      </c>
      <c r="BL11" s="11">
        <f t="shared" si="43"/>
        <v>-174.48611385579468</v>
      </c>
      <c r="BM11" s="11">
        <f t="shared" si="43"/>
        <v>-175.24090556363163</v>
      </c>
      <c r="BN11" s="11">
        <f t="shared" si="43"/>
        <v>-175.49627675811641</v>
      </c>
      <c r="BO11" s="11">
        <f t="shared" si="43"/>
        <v>-175.75292480857365</v>
      </c>
      <c r="BP11" s="11">
        <f t="shared" si="43"/>
        <v>-176.52671868070229</v>
      </c>
      <c r="BQ11" s="11">
        <f t="shared" si="43"/>
        <v>-177.31211946091281</v>
      </c>
      <c r="BR11" s="11">
        <f t="shared" si="43"/>
        <v>-178.1093012528265</v>
      </c>
      <c r="BS11" s="11">
        <f t="shared" si="43"/>
        <v>-178.37901442575728</v>
      </c>
      <c r="BT11" s="11">
        <f t="shared" si="43"/>
        <v>-178.65007616455273</v>
      </c>
      <c r="BU11" s="11">
        <f t="shared" si="43"/>
        <v>-178.92249321204216</v>
      </c>
      <c r="BV11" s="11">
        <f t="shared" ref="BV11:BX11" si="44">-BV48/1.2-BV51/1.2-BV80-BV81</f>
        <v>-179.196272344769</v>
      </c>
      <c r="BW11" s="11">
        <f t="shared" si="44"/>
        <v>-180.02171642994057</v>
      </c>
      <c r="BX11" s="11">
        <f t="shared" si="44"/>
        <v>-180.85954217638962</v>
      </c>
      <c r="BY11" s="11">
        <f t="shared" ref="BY11:CK11" si="45">-BY48/1.2-BY51/1.2-BY80-BY81</f>
        <v>-181.70993530903547</v>
      </c>
      <c r="BZ11" s="11">
        <f t="shared" si="45"/>
        <v>-182.57308433867104</v>
      </c>
      <c r="CA11" s="11">
        <f t="shared" si="45"/>
        <v>-183.44918060375107</v>
      </c>
      <c r="CB11" s="11">
        <f t="shared" si="45"/>
        <v>-184.33841831280733</v>
      </c>
      <c r="CC11" s="11">
        <f t="shared" si="45"/>
        <v>-185.24099458749944</v>
      </c>
      <c r="CD11" s="11">
        <f t="shared" si="45"/>
        <v>-186.15710950631191</v>
      </c>
      <c r="CE11" s="11">
        <f t="shared" si="45"/>
        <v>-187.08696614890661</v>
      </c>
      <c r="CF11" s="11">
        <f t="shared" si="45"/>
        <v>-188.03077064114018</v>
      </c>
      <c r="CG11" s="11">
        <f t="shared" si="45"/>
        <v>-188.98873220075728</v>
      </c>
      <c r="CH11" s="11">
        <f t="shared" si="45"/>
        <v>-189.9610631837686</v>
      </c>
      <c r="CI11" s="11">
        <f t="shared" si="45"/>
        <v>-190.94797913152516</v>
      </c>
      <c r="CJ11" s="11">
        <f t="shared" si="45"/>
        <v>-191.94969881849804</v>
      </c>
      <c r="CK11" s="11">
        <f t="shared" si="45"/>
        <v>-192.96644430077546</v>
      </c>
      <c r="CM11" s="11">
        <f t="shared" si="39"/>
        <v>0</v>
      </c>
      <c r="CN11" s="11">
        <f t="shared" si="39"/>
        <v>-714.42353814166665</v>
      </c>
      <c r="CO11" s="11">
        <f t="shared" si="39"/>
        <v>-1616.3721920061375</v>
      </c>
      <c r="CP11" s="11">
        <f t="shared" si="39"/>
        <v>-1917.2788056905131</v>
      </c>
      <c r="CQ11" s="11">
        <f t="shared" si="39"/>
        <v>-2067.7579467807559</v>
      </c>
      <c r="CR11" s="11">
        <f t="shared" si="40"/>
        <v>-2140.9363910236184</v>
      </c>
      <c r="CS11" s="11">
        <f t="shared" si="40"/>
        <v>-2251.6904417744122</v>
      </c>
    </row>
    <row r="12" spans="2:97" x14ac:dyDescent="0.2">
      <c r="B12" s="90" t="s">
        <v>56</v>
      </c>
      <c r="C12" s="91" t="s">
        <v>4</v>
      </c>
      <c r="D12" s="9"/>
      <c r="E12" s="9"/>
      <c r="F12" s="11">
        <f t="shared" ref="F12:K12" si="46">-F83*0.3</f>
        <v>0</v>
      </c>
      <c r="G12" s="11">
        <f t="shared" si="46"/>
        <v>0</v>
      </c>
      <c r="H12" s="11">
        <f t="shared" si="46"/>
        <v>0</v>
      </c>
      <c r="I12" s="11">
        <f t="shared" si="46"/>
        <v>0</v>
      </c>
      <c r="J12" s="11">
        <f t="shared" si="46"/>
        <v>0</v>
      </c>
      <c r="K12" s="11">
        <f t="shared" si="46"/>
        <v>0</v>
      </c>
      <c r="L12" s="11">
        <f t="shared" ref="L12:AW12" si="47">-L83*0.3</f>
        <v>0</v>
      </c>
      <c r="M12" s="11">
        <f t="shared" si="47"/>
        <v>0</v>
      </c>
      <c r="N12" s="11">
        <f t="shared" si="47"/>
        <v>0</v>
      </c>
      <c r="O12" s="11">
        <f t="shared" si="47"/>
        <v>0</v>
      </c>
      <c r="P12" s="11">
        <f t="shared" si="47"/>
        <v>0</v>
      </c>
      <c r="Q12" s="11">
        <f t="shared" si="47"/>
        <v>0</v>
      </c>
      <c r="R12" s="11">
        <f t="shared" si="47"/>
        <v>-1.7999999999999998</v>
      </c>
      <c r="S12" s="11">
        <f t="shared" si="47"/>
        <v>-3</v>
      </c>
      <c r="T12" s="11">
        <f t="shared" si="47"/>
        <v>-1.2</v>
      </c>
      <c r="U12" s="11">
        <f t="shared" si="47"/>
        <v>-21.3</v>
      </c>
      <c r="V12" s="11">
        <f t="shared" si="47"/>
        <v>-16.5</v>
      </c>
      <c r="W12" s="11">
        <f t="shared" si="47"/>
        <v>-17.099999999999998</v>
      </c>
      <c r="X12" s="11">
        <f t="shared" si="47"/>
        <v>-24.034970712899998</v>
      </c>
      <c r="Y12" s="11">
        <f t="shared" si="47"/>
        <v>-22.181390093999998</v>
      </c>
      <c r="Z12" s="11">
        <f t="shared" si="47"/>
        <v>-22.972887962400002</v>
      </c>
      <c r="AA12" s="11">
        <f t="shared" si="47"/>
        <v>-25.841128861200001</v>
      </c>
      <c r="AB12" s="11">
        <f t="shared" si="47"/>
        <v>-24.0455100171</v>
      </c>
      <c r="AC12" s="11">
        <f t="shared" si="47"/>
        <v>-34.350952044900005</v>
      </c>
      <c r="AD12" s="11">
        <f t="shared" si="47"/>
        <v>-20.049165930000001</v>
      </c>
      <c r="AE12" s="11">
        <f t="shared" si="47"/>
        <v>-24.610953389999999</v>
      </c>
      <c r="AF12" s="11">
        <f t="shared" si="47"/>
        <v>-26.358609749999999</v>
      </c>
      <c r="AG12" s="11">
        <f t="shared" si="47"/>
        <v>-26.528988896249995</v>
      </c>
      <c r="AH12" s="11">
        <f t="shared" si="47"/>
        <v>-26.701923729693746</v>
      </c>
      <c r="AI12" s="11">
        <f t="shared" si="47"/>
        <v>-26.760433348342218</v>
      </c>
      <c r="AJ12" s="11">
        <f t="shared" si="47"/>
        <v>-28.319235515083925</v>
      </c>
      <c r="AK12" s="11">
        <f t="shared" si="47"/>
        <v>-28.378331692659344</v>
      </c>
      <c r="AL12" s="11">
        <f t="shared" si="47"/>
        <v>-28.437723351122642</v>
      </c>
      <c r="AM12" s="11">
        <f t="shared" si="47"/>
        <v>-28.61678920138948</v>
      </c>
      <c r="AN12" s="11">
        <f t="shared" si="47"/>
        <v>-28.798541039410321</v>
      </c>
      <c r="AO12" s="11">
        <f t="shared" si="47"/>
        <v>-28.983019155001475</v>
      </c>
      <c r="AP12" s="11">
        <f t="shared" si="47"/>
        <v>-30.60784934655149</v>
      </c>
      <c r="AQ12" s="11">
        <f t="shared" si="47"/>
        <v>-30.733927840017003</v>
      </c>
      <c r="AR12" s="11">
        <f t="shared" si="47"/>
        <v>-30.924936757617257</v>
      </c>
      <c r="AS12" s="11">
        <f t="shared" si="47"/>
        <v>-31.118810808981518</v>
      </c>
      <c r="AT12" s="11">
        <f t="shared" si="47"/>
        <v>-31.315592971116239</v>
      </c>
      <c r="AU12" s="11">
        <f t="shared" si="47"/>
        <v>-31.4487489008274</v>
      </c>
      <c r="AV12" s="11">
        <f t="shared" si="47"/>
        <v>-31.583236389835672</v>
      </c>
      <c r="AW12" s="11">
        <f t="shared" si="47"/>
        <v>-31.719068753734028</v>
      </c>
      <c r="AX12" s="11">
        <f t="shared" ref="AX12:BU12" si="48">-AX83*0.3</f>
        <v>-34.856259441271369</v>
      </c>
      <c r="AY12" s="11">
        <f t="shared" si="48"/>
        <v>-35.06410333289044</v>
      </c>
      <c r="AZ12" s="11">
        <f t="shared" si="48"/>
        <v>-35.27506488288379</v>
      </c>
      <c r="BA12" s="11">
        <f t="shared" si="48"/>
        <v>-35.489190856127045</v>
      </c>
      <c r="BB12" s="11">
        <f t="shared" si="48"/>
        <v>-35.561636810407684</v>
      </c>
      <c r="BC12" s="11">
        <f t="shared" si="48"/>
        <v>-35.63444499445972</v>
      </c>
      <c r="BD12" s="11">
        <f t="shared" si="48"/>
        <v>-35.853961669376616</v>
      </c>
      <c r="BE12" s="11">
        <f t="shared" si="48"/>
        <v>-36.076771094417261</v>
      </c>
      <c r="BF12" s="11">
        <f t="shared" si="48"/>
        <v>-36.302922660833524</v>
      </c>
      <c r="BG12" s="11">
        <f t="shared" si="48"/>
        <v>-36.379437274137686</v>
      </c>
      <c r="BH12" s="11">
        <f t="shared" si="48"/>
        <v>-36.456334460508373</v>
      </c>
      <c r="BI12" s="11">
        <f t="shared" si="48"/>
        <v>-36.533616132810913</v>
      </c>
      <c r="BJ12" s="11">
        <f t="shared" si="48"/>
        <v>-36.611284213474967</v>
      </c>
      <c r="BK12" s="11">
        <f t="shared" si="48"/>
        <v>-36.845453476677093</v>
      </c>
      <c r="BL12" s="11">
        <f t="shared" si="48"/>
        <v>-37.083135278827243</v>
      </c>
      <c r="BM12" s="11">
        <f t="shared" si="48"/>
        <v>-37.324382308009653</v>
      </c>
      <c r="BN12" s="11">
        <f t="shared" si="48"/>
        <v>-37.4060042195497</v>
      </c>
      <c r="BO12" s="11">
        <f t="shared" si="48"/>
        <v>-37.488034240647444</v>
      </c>
      <c r="BP12" s="11">
        <f t="shared" si="48"/>
        <v>-37.735354754257159</v>
      </c>
      <c r="BQ12" s="11">
        <f t="shared" si="48"/>
        <v>-37.986385075571008</v>
      </c>
      <c r="BR12" s="11">
        <f t="shared" si="48"/>
        <v>-38.241180851704577</v>
      </c>
      <c r="BS12" s="11">
        <f t="shared" si="48"/>
        <v>-38.327386755963097</v>
      </c>
      <c r="BT12" s="11">
        <f t="shared" si="48"/>
        <v>-38.414023689742905</v>
      </c>
      <c r="BU12" s="11">
        <f t="shared" si="48"/>
        <v>-38.501093808191619</v>
      </c>
      <c r="BV12" s="11">
        <f t="shared" ref="BV12:BX12" si="49">-BV83*0.3</f>
        <v>-38.588599277232575</v>
      </c>
      <c r="BW12" s="11">
        <f t="shared" si="49"/>
        <v>-38.852428266391065</v>
      </c>
      <c r="BX12" s="11">
        <f t="shared" si="49"/>
        <v>-39.120214690386923</v>
      </c>
      <c r="BY12" s="11">
        <f t="shared" ref="BY12:CK12" si="50">-BY83*0.3</f>
        <v>-39.39201791074273</v>
      </c>
      <c r="BZ12" s="11">
        <f t="shared" si="50"/>
        <v>-39.667898179403863</v>
      </c>
      <c r="CA12" s="11">
        <f t="shared" si="50"/>
        <v>-39.947916652094925</v>
      </c>
      <c r="CB12" s="11">
        <f t="shared" si="50"/>
        <v>-40.232135401876349</v>
      </c>
      <c r="CC12" s="11">
        <f t="shared" si="50"/>
        <v>-40.520617432904494</v>
      </c>
      <c r="CD12" s="11">
        <f t="shared" si="50"/>
        <v>-40.813426694398053</v>
      </c>
      <c r="CE12" s="11">
        <f t="shared" si="50"/>
        <v>-41.110628094814025</v>
      </c>
      <c r="CF12" s="11">
        <f t="shared" si="50"/>
        <v>-41.412287516236233</v>
      </c>
      <c r="CG12" s="11">
        <f t="shared" si="50"/>
        <v>-41.71847182897978</v>
      </c>
      <c r="CH12" s="11">
        <f t="shared" si="50"/>
        <v>-42.029248906414473</v>
      </c>
      <c r="CI12" s="11">
        <f t="shared" si="50"/>
        <v>-42.34468764001069</v>
      </c>
      <c r="CJ12" s="11">
        <f t="shared" si="50"/>
        <v>-42.664857954610838</v>
      </c>
      <c r="CK12" s="11">
        <f t="shared" si="50"/>
        <v>-42.989830823929999</v>
      </c>
      <c r="CM12" s="11">
        <f t="shared" si="39"/>
        <v>0</v>
      </c>
      <c r="CN12" s="11">
        <f t="shared" si="39"/>
        <v>-214.32683969249996</v>
      </c>
      <c r="CO12" s="11">
        <f t="shared" si="39"/>
        <v>-322.54371499895325</v>
      </c>
      <c r="CP12" s="11">
        <f t="shared" si="39"/>
        <v>-390.13679028185328</v>
      </c>
      <c r="CQ12" s="11">
        <f t="shared" si="39"/>
        <v>-436.66338037394075</v>
      </c>
      <c r="CR12" s="11">
        <f t="shared" si="40"/>
        <v>-460.05272354038084</v>
      </c>
      <c r="CS12" s="11">
        <f t="shared" si="40"/>
        <v>-495.45200712567373</v>
      </c>
    </row>
    <row r="13" spans="2:97" x14ac:dyDescent="0.2">
      <c r="B13" s="92"/>
      <c r="C13" s="91"/>
      <c r="D13" s="9"/>
      <c r="E13" s="13"/>
    </row>
    <row r="14" spans="2:97" s="12" customFormat="1" x14ac:dyDescent="0.2">
      <c r="B14" s="88" t="s">
        <v>54</v>
      </c>
      <c r="C14" s="89" t="s">
        <v>4</v>
      </c>
      <c r="D14" s="13"/>
      <c r="E14" s="9"/>
      <c r="F14" s="14">
        <f t="shared" ref="F14:K14" si="51">SUM(F7,F10:F12)</f>
        <v>0</v>
      </c>
      <c r="G14" s="14">
        <f t="shared" si="51"/>
        <v>0</v>
      </c>
      <c r="H14" s="14">
        <f t="shared" si="51"/>
        <v>0</v>
      </c>
      <c r="I14" s="14">
        <f t="shared" si="51"/>
        <v>0</v>
      </c>
      <c r="J14" s="14">
        <f t="shared" si="51"/>
        <v>0</v>
      </c>
      <c r="K14" s="14">
        <f t="shared" si="51"/>
        <v>0</v>
      </c>
      <c r="L14" s="14">
        <f>SUM(L7,L10:L12)</f>
        <v>0</v>
      </c>
      <c r="M14" s="14">
        <f t="shared" ref="M14:CO14" si="52">SUM(M7,M10:M12)</f>
        <v>0</v>
      </c>
      <c r="N14" s="14">
        <f t="shared" si="52"/>
        <v>0</v>
      </c>
      <c r="O14" s="14">
        <f t="shared" si="52"/>
        <v>0</v>
      </c>
      <c r="P14" s="14">
        <f t="shared" si="52"/>
        <v>0</v>
      </c>
      <c r="Q14" s="14">
        <f t="shared" si="52"/>
        <v>0</v>
      </c>
      <c r="R14" s="14">
        <f t="shared" si="52"/>
        <v>-2.7433999999999883</v>
      </c>
      <c r="S14" s="14">
        <f t="shared" si="52"/>
        <v>-3.8038500000000033</v>
      </c>
      <c r="T14" s="14">
        <f t="shared" si="52"/>
        <v>-2.4149833333333302</v>
      </c>
      <c r="U14" s="14">
        <f t="shared" si="52"/>
        <v>-197.76328333333322</v>
      </c>
      <c r="V14" s="14">
        <f t="shared" si="52"/>
        <v>-125.12951750000005</v>
      </c>
      <c r="W14" s="14">
        <f t="shared" si="52"/>
        <v>-102.37167250000002</v>
      </c>
      <c r="X14" s="14">
        <f t="shared" si="52"/>
        <v>64.315887727433335</v>
      </c>
      <c r="Y14" s="14">
        <f t="shared" si="52"/>
        <v>44.091111926000039</v>
      </c>
      <c r="Z14" s="14">
        <f t="shared" si="52"/>
        <v>52.727297896266769</v>
      </c>
      <c r="AA14" s="14">
        <f t="shared" si="52"/>
        <v>84.023227801466689</v>
      </c>
      <c r="AB14" s="14">
        <f t="shared" si="52"/>
        <v>64.430884109233389</v>
      </c>
      <c r="AC14" s="14">
        <f t="shared" si="52"/>
        <v>176.87555062210004</v>
      </c>
      <c r="AD14" s="14">
        <f t="shared" si="52"/>
        <v>20.826002636666729</v>
      </c>
      <c r="AE14" s="14">
        <f t="shared" si="52"/>
        <v>-5.966366356666633</v>
      </c>
      <c r="AF14" s="14">
        <f t="shared" si="52"/>
        <v>13.102649416666736</v>
      </c>
      <c r="AG14" s="14">
        <f t="shared" si="52"/>
        <v>14.961689157916698</v>
      </c>
      <c r="AH14" s="14">
        <f t="shared" si="52"/>
        <v>16.848614495285361</v>
      </c>
      <c r="AI14" s="14">
        <f t="shared" si="52"/>
        <v>17.487024234428532</v>
      </c>
      <c r="AJ14" s="14">
        <f t="shared" si="52"/>
        <v>3.2952926889340475</v>
      </c>
      <c r="AK14" s="14">
        <f t="shared" si="52"/>
        <v>-144.49708030640082</v>
      </c>
      <c r="AL14" s="14">
        <f t="shared" si="52"/>
        <v>-393.75789904126617</v>
      </c>
      <c r="AM14" s="14">
        <f t="shared" si="52"/>
        <v>-141.52926752688512</v>
      </c>
      <c r="AN14" s="14">
        <f t="shared" si="52"/>
        <v>8.5250877520926061</v>
      </c>
      <c r="AO14" s="14">
        <f t="shared" si="52"/>
        <v>10.537964068374034</v>
      </c>
      <c r="AP14" s="14">
        <f t="shared" si="52"/>
        <v>5.4000103757244347</v>
      </c>
      <c r="AQ14" s="14">
        <f t="shared" si="52"/>
        <v>6.775677146148297</v>
      </c>
      <c r="AR14" s="14">
        <f t="shared" si="52"/>
        <v>8.859812303340636</v>
      </c>
      <c r="AS14" s="14">
        <f t="shared" si="52"/>
        <v>10.975209487890684</v>
      </c>
      <c r="AT14" s="14">
        <f t="shared" si="52"/>
        <v>13.122337630209024</v>
      </c>
      <c r="AU14" s="14">
        <f t="shared" si="52"/>
        <v>14.575227673177874</v>
      </c>
      <c r="AV14" s="14">
        <f t="shared" si="52"/>
        <v>16.042646616576196</v>
      </c>
      <c r="AW14" s="14">
        <f t="shared" si="52"/>
        <v>17.524739749408589</v>
      </c>
      <c r="AX14" s="14">
        <f t="shared" ref="AX14:BU14" si="53">SUM(AX7,AX10:AX12)</f>
        <v>6.0216538135693369</v>
      </c>
      <c r="AY14" s="14">
        <f t="shared" si="53"/>
        <v>8.2894786207729538</v>
      </c>
      <c r="AZ14" s="14">
        <f t="shared" si="53"/>
        <v>10.591320800084468</v>
      </c>
      <c r="BA14" s="14">
        <f t="shared" si="53"/>
        <v>12.927690612085676</v>
      </c>
      <c r="BB14" s="14">
        <f t="shared" si="53"/>
        <v>13.718162398479429</v>
      </c>
      <c r="BC14" s="14">
        <f t="shared" si="53"/>
        <v>14.512586543805163</v>
      </c>
      <c r="BD14" s="14">
        <f t="shared" si="53"/>
        <v>16.907775341962292</v>
      </c>
      <c r="BE14" s="14">
        <f t="shared" si="53"/>
        <v>19.338891972091666</v>
      </c>
      <c r="BF14" s="14">
        <f t="shared" si="53"/>
        <v>21.806475351673107</v>
      </c>
      <c r="BG14" s="14">
        <f t="shared" si="53"/>
        <v>22.641341061764777</v>
      </c>
      <c r="BH14" s="14">
        <f t="shared" si="53"/>
        <v>23.480381100406845</v>
      </c>
      <c r="BI14" s="14">
        <f t="shared" si="53"/>
        <v>24.323616339242228</v>
      </c>
      <c r="BJ14" s="14">
        <f t="shared" si="53"/>
        <v>25.171067754271654</v>
      </c>
      <c r="BK14" s="14">
        <f t="shared" si="53"/>
        <v>27.72613377058569</v>
      </c>
      <c r="BL14" s="14">
        <f t="shared" si="53"/>
        <v>30.319525777144477</v>
      </c>
      <c r="BM14" s="14">
        <f t="shared" si="53"/>
        <v>32.951818663801738</v>
      </c>
      <c r="BN14" s="14">
        <f t="shared" si="53"/>
        <v>33.842411090454121</v>
      </c>
      <c r="BO14" s="14">
        <f t="shared" si="53"/>
        <v>34.737456479239704</v>
      </c>
      <c r="BP14" s="14">
        <f t="shared" si="53"/>
        <v>37.43601832642814</v>
      </c>
      <c r="BQ14" s="14">
        <f t="shared" si="53"/>
        <v>40.175058601324537</v>
      </c>
      <c r="BR14" s="14">
        <f t="shared" si="53"/>
        <v>42.955184480344364</v>
      </c>
      <c r="BS14" s="14">
        <f t="shared" si="53"/>
        <v>43.895793736079433</v>
      </c>
      <c r="BT14" s="14">
        <f t="shared" si="53"/>
        <v>44.841106038093201</v>
      </c>
      <c r="BU14" s="14">
        <f t="shared" si="53"/>
        <v>45.791144901616839</v>
      </c>
      <c r="BV14" s="14">
        <f t="shared" ref="BV14:BX14" si="54">SUM(BV7,BV10:BV12)</f>
        <v>46.745933959458497</v>
      </c>
      <c r="BW14" s="14">
        <f t="shared" si="54"/>
        <v>49.624622968850268</v>
      </c>
      <c r="BX14" s="14">
        <f t="shared" si="54"/>
        <v>52.546492313382821</v>
      </c>
      <c r="BY14" s="14">
        <f t="shared" ref="BY14:CK14" si="55">SUM(BY7,BY10:BY12)</f>
        <v>55.512189698083638</v>
      </c>
      <c r="BZ14" s="14">
        <f t="shared" si="55"/>
        <v>58.522372543554781</v>
      </c>
      <c r="CA14" s="14">
        <f t="shared" si="55"/>
        <v>61.577708131708285</v>
      </c>
      <c r="CB14" s="14">
        <f t="shared" si="55"/>
        <v>64.678873753683774</v>
      </c>
      <c r="CC14" s="14">
        <f t="shared" si="55"/>
        <v>67.82655685998904</v>
      </c>
      <c r="CD14" s="14">
        <f t="shared" si="55"/>
        <v>71.021455212888867</v>
      </c>
      <c r="CE14" s="14">
        <f t="shared" si="55"/>
        <v>74.264277041082266</v>
      </c>
      <c r="CF14" s="14">
        <f t="shared" si="55"/>
        <v>77.555741196698477</v>
      </c>
      <c r="CG14" s="14">
        <f t="shared" si="55"/>
        <v>80.896577314648937</v>
      </c>
      <c r="CH14" s="14">
        <f t="shared" si="55"/>
        <v>84.287525974368634</v>
      </c>
      <c r="CI14" s="14">
        <f t="shared" si="55"/>
        <v>87.729338863983955</v>
      </c>
      <c r="CJ14" s="14">
        <f t="shared" si="55"/>
        <v>91.222778946943819</v>
      </c>
      <c r="CK14" s="14">
        <f t="shared" si="55"/>
        <v>94.768620631147911</v>
      </c>
      <c r="CM14" s="14">
        <f t="shared" si="52"/>
        <v>0</v>
      </c>
      <c r="CN14" s="14">
        <f t="shared" si="52"/>
        <v>52.237253415833209</v>
      </c>
      <c r="CO14" s="14">
        <f t="shared" si="52"/>
        <v>-580.16628878085498</v>
      </c>
      <c r="CP14" s="14">
        <f t="shared" ref="CP14:CQ14" si="56">SUM(CP7,CP10:CP12)</f>
        <v>131.10580482898905</v>
      </c>
      <c r="CQ14" s="14">
        <f t="shared" si="56"/>
        <v>272.89777607523069</v>
      </c>
      <c r="CR14" s="14">
        <f t="shared" ref="CR14:CS14" si="57">SUM(CR7,CR10:CR12)</f>
        <v>528.10341259335496</v>
      </c>
      <c r="CS14" s="14">
        <f t="shared" si="57"/>
        <v>914.35182647069962</v>
      </c>
    </row>
    <row r="15" spans="2:97" x14ac:dyDescent="0.2">
      <c r="B15" s="92"/>
      <c r="C15" s="91"/>
      <c r="D15" s="9"/>
      <c r="E15" s="9"/>
    </row>
    <row r="16" spans="2:97" hidden="1" x14ac:dyDescent="0.2">
      <c r="B16" s="224" t="s">
        <v>55</v>
      </c>
      <c r="C16" s="91" t="s">
        <v>4</v>
      </c>
      <c r="D16" s="9"/>
      <c r="E16" s="9"/>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M16" s="11">
        <f>SUMIF($L$2:$CK$2,CM$3,$L16:$CK16)</f>
        <v>0</v>
      </c>
      <c r="CN16" s="11">
        <f>SUMIF($L$2:$CK$2,CN$3,$L16:$CK16)</f>
        <v>0</v>
      </c>
      <c r="CO16" s="11">
        <f>SUMIF($L$2:$CK$2,CO$3,$L16:$CK16)</f>
        <v>0</v>
      </c>
      <c r="CP16" s="11">
        <f>SUMIF($L$2:$CK$2,CP$3,$L16:$CK16)</f>
        <v>0</v>
      </c>
      <c r="CQ16" s="11">
        <f>SUMIF($L$2:$CK$2,CQ$3,$L16:$CK16)</f>
        <v>0</v>
      </c>
      <c r="CR16" s="11">
        <f t="shared" ref="CR16:CS16" si="58">SUMIF($L$2:$CK$2,CR$3,$L16:$CK16)</f>
        <v>0</v>
      </c>
      <c r="CS16" s="11">
        <f t="shared" si="58"/>
        <v>0</v>
      </c>
    </row>
    <row r="17" spans="1:97" hidden="1" x14ac:dyDescent="0.2">
      <c r="B17" s="92"/>
      <c r="C17" s="91"/>
      <c r="D17" s="9"/>
      <c r="E17" s="13"/>
    </row>
    <row r="18" spans="1:97" s="12" customFormat="1" x14ac:dyDescent="0.2">
      <c r="B18" s="88" t="s">
        <v>61</v>
      </c>
      <c r="C18" s="89" t="s">
        <v>4</v>
      </c>
      <c r="D18" s="13"/>
      <c r="E18" s="9"/>
      <c r="F18" s="14">
        <f t="shared" ref="F18:K18" si="59">SUM(F14,F16)</f>
        <v>0</v>
      </c>
      <c r="G18" s="14">
        <f t="shared" si="59"/>
        <v>0</v>
      </c>
      <c r="H18" s="14">
        <f t="shared" si="59"/>
        <v>0</v>
      </c>
      <c r="I18" s="14">
        <f t="shared" si="59"/>
        <v>0</v>
      </c>
      <c r="J18" s="14">
        <f t="shared" si="59"/>
        <v>0</v>
      </c>
      <c r="K18" s="14">
        <f t="shared" si="59"/>
        <v>0</v>
      </c>
      <c r="L18" s="14">
        <f>SUM(L14,L16)</f>
        <v>0</v>
      </c>
      <c r="M18" s="14">
        <f t="shared" ref="M18:AW18" si="60">SUM(M14,M16)</f>
        <v>0</v>
      </c>
      <c r="N18" s="14">
        <f t="shared" si="60"/>
        <v>0</v>
      </c>
      <c r="O18" s="14">
        <f t="shared" si="60"/>
        <v>0</v>
      </c>
      <c r="P18" s="14">
        <f t="shared" si="60"/>
        <v>0</v>
      </c>
      <c r="Q18" s="14">
        <f t="shared" si="60"/>
        <v>0</v>
      </c>
      <c r="R18" s="14">
        <f t="shared" si="60"/>
        <v>-2.7433999999999883</v>
      </c>
      <c r="S18" s="14">
        <f t="shared" si="60"/>
        <v>-3.8038500000000033</v>
      </c>
      <c r="T18" s="14">
        <f t="shared" si="60"/>
        <v>-2.4149833333333302</v>
      </c>
      <c r="U18" s="14">
        <f t="shared" si="60"/>
        <v>-197.76328333333322</v>
      </c>
      <c r="V18" s="14">
        <f t="shared" si="60"/>
        <v>-125.12951750000005</v>
      </c>
      <c r="W18" s="14">
        <f t="shared" si="60"/>
        <v>-102.37167250000002</v>
      </c>
      <c r="X18" s="14">
        <f t="shared" si="60"/>
        <v>64.315887727433335</v>
      </c>
      <c r="Y18" s="14">
        <f t="shared" si="60"/>
        <v>44.091111926000039</v>
      </c>
      <c r="Z18" s="14">
        <f t="shared" si="60"/>
        <v>52.727297896266769</v>
      </c>
      <c r="AA18" s="14">
        <f t="shared" si="60"/>
        <v>84.023227801466689</v>
      </c>
      <c r="AB18" s="14">
        <f t="shared" si="60"/>
        <v>64.430884109233389</v>
      </c>
      <c r="AC18" s="14">
        <f t="shared" si="60"/>
        <v>176.87555062210004</v>
      </c>
      <c r="AD18" s="14">
        <f t="shared" si="60"/>
        <v>20.826002636666729</v>
      </c>
      <c r="AE18" s="14">
        <f t="shared" si="60"/>
        <v>-5.966366356666633</v>
      </c>
      <c r="AF18" s="14">
        <f t="shared" si="60"/>
        <v>13.102649416666736</v>
      </c>
      <c r="AG18" s="14">
        <f t="shared" si="60"/>
        <v>14.961689157916698</v>
      </c>
      <c r="AH18" s="14">
        <f t="shared" si="60"/>
        <v>16.848614495285361</v>
      </c>
      <c r="AI18" s="14">
        <f t="shared" si="60"/>
        <v>17.487024234428532</v>
      </c>
      <c r="AJ18" s="14">
        <f t="shared" si="60"/>
        <v>3.2952926889340475</v>
      </c>
      <c r="AK18" s="14">
        <f t="shared" si="60"/>
        <v>-144.49708030640082</v>
      </c>
      <c r="AL18" s="14">
        <f t="shared" si="60"/>
        <v>-393.75789904126617</v>
      </c>
      <c r="AM18" s="14">
        <f t="shared" si="60"/>
        <v>-141.52926752688512</v>
      </c>
      <c r="AN18" s="14">
        <f t="shared" si="60"/>
        <v>8.5250877520926061</v>
      </c>
      <c r="AO18" s="14">
        <f t="shared" si="60"/>
        <v>10.537964068374034</v>
      </c>
      <c r="AP18" s="14">
        <f t="shared" si="60"/>
        <v>5.4000103757244347</v>
      </c>
      <c r="AQ18" s="14">
        <f t="shared" si="60"/>
        <v>6.775677146148297</v>
      </c>
      <c r="AR18" s="14">
        <f t="shared" si="60"/>
        <v>8.859812303340636</v>
      </c>
      <c r="AS18" s="14">
        <f t="shared" si="60"/>
        <v>10.975209487890684</v>
      </c>
      <c r="AT18" s="14">
        <f t="shared" si="60"/>
        <v>13.122337630209024</v>
      </c>
      <c r="AU18" s="14">
        <f t="shared" si="60"/>
        <v>14.575227673177874</v>
      </c>
      <c r="AV18" s="14">
        <f t="shared" si="60"/>
        <v>16.042646616576196</v>
      </c>
      <c r="AW18" s="14">
        <f t="shared" si="60"/>
        <v>17.524739749408589</v>
      </c>
      <c r="AX18" s="14">
        <f t="shared" ref="AX18:BU18" si="61">SUM(AX14,AX16)</f>
        <v>6.0216538135693369</v>
      </c>
      <c r="AY18" s="14">
        <f t="shared" si="61"/>
        <v>8.2894786207729538</v>
      </c>
      <c r="AZ18" s="14">
        <f t="shared" si="61"/>
        <v>10.591320800084468</v>
      </c>
      <c r="BA18" s="14">
        <f t="shared" si="61"/>
        <v>12.927690612085676</v>
      </c>
      <c r="BB18" s="14">
        <f t="shared" si="61"/>
        <v>13.718162398479429</v>
      </c>
      <c r="BC18" s="14">
        <f t="shared" si="61"/>
        <v>14.512586543805163</v>
      </c>
      <c r="BD18" s="14">
        <f t="shared" si="61"/>
        <v>16.907775341962292</v>
      </c>
      <c r="BE18" s="14">
        <f t="shared" si="61"/>
        <v>19.338891972091666</v>
      </c>
      <c r="BF18" s="14">
        <f t="shared" si="61"/>
        <v>21.806475351673107</v>
      </c>
      <c r="BG18" s="14">
        <f t="shared" si="61"/>
        <v>22.641341061764777</v>
      </c>
      <c r="BH18" s="14">
        <f t="shared" si="61"/>
        <v>23.480381100406845</v>
      </c>
      <c r="BI18" s="14">
        <f t="shared" si="61"/>
        <v>24.323616339242228</v>
      </c>
      <c r="BJ18" s="14">
        <f t="shared" si="61"/>
        <v>25.171067754271654</v>
      </c>
      <c r="BK18" s="14">
        <f t="shared" si="61"/>
        <v>27.72613377058569</v>
      </c>
      <c r="BL18" s="14">
        <f t="shared" si="61"/>
        <v>30.319525777144477</v>
      </c>
      <c r="BM18" s="14">
        <f t="shared" si="61"/>
        <v>32.951818663801738</v>
      </c>
      <c r="BN18" s="14">
        <f t="shared" si="61"/>
        <v>33.842411090454121</v>
      </c>
      <c r="BO18" s="14">
        <f t="shared" si="61"/>
        <v>34.737456479239704</v>
      </c>
      <c r="BP18" s="14">
        <f t="shared" si="61"/>
        <v>37.43601832642814</v>
      </c>
      <c r="BQ18" s="14">
        <f t="shared" si="61"/>
        <v>40.175058601324537</v>
      </c>
      <c r="BR18" s="14">
        <f t="shared" si="61"/>
        <v>42.955184480344364</v>
      </c>
      <c r="BS18" s="14">
        <f t="shared" si="61"/>
        <v>43.895793736079433</v>
      </c>
      <c r="BT18" s="14">
        <f t="shared" si="61"/>
        <v>44.841106038093201</v>
      </c>
      <c r="BU18" s="14">
        <f t="shared" si="61"/>
        <v>45.791144901616839</v>
      </c>
      <c r="BV18" s="14">
        <f t="shared" ref="BV18:BX18" si="62">SUM(BV14,BV16)</f>
        <v>46.745933959458497</v>
      </c>
      <c r="BW18" s="14">
        <f t="shared" si="62"/>
        <v>49.624622968850268</v>
      </c>
      <c r="BX18" s="14">
        <f t="shared" si="62"/>
        <v>52.546492313382821</v>
      </c>
      <c r="BY18" s="14">
        <f t="shared" ref="BY18:CK18" si="63">SUM(BY14,BY16)</f>
        <v>55.512189698083638</v>
      </c>
      <c r="BZ18" s="14">
        <f t="shared" si="63"/>
        <v>58.522372543554781</v>
      </c>
      <c r="CA18" s="14">
        <f t="shared" si="63"/>
        <v>61.577708131708285</v>
      </c>
      <c r="CB18" s="14">
        <f t="shared" si="63"/>
        <v>64.678873753683774</v>
      </c>
      <c r="CC18" s="14">
        <f t="shared" si="63"/>
        <v>67.82655685998904</v>
      </c>
      <c r="CD18" s="14">
        <f t="shared" si="63"/>
        <v>71.021455212888867</v>
      </c>
      <c r="CE18" s="14">
        <f t="shared" si="63"/>
        <v>74.264277041082266</v>
      </c>
      <c r="CF18" s="14">
        <f t="shared" si="63"/>
        <v>77.555741196698477</v>
      </c>
      <c r="CG18" s="14">
        <f t="shared" si="63"/>
        <v>80.896577314648937</v>
      </c>
      <c r="CH18" s="14">
        <f t="shared" si="63"/>
        <v>84.287525974368634</v>
      </c>
      <c r="CI18" s="14">
        <f t="shared" si="63"/>
        <v>87.729338863983955</v>
      </c>
      <c r="CJ18" s="14">
        <f t="shared" si="63"/>
        <v>91.222778946943819</v>
      </c>
      <c r="CK18" s="14">
        <f t="shared" si="63"/>
        <v>94.768620631147911</v>
      </c>
      <c r="CM18" s="14">
        <f>SUM(CM14,CM16)</f>
        <v>0</v>
      </c>
      <c r="CN18" s="14">
        <f t="shared" ref="CN18:CO18" si="64">SUM(CN14,CN16)</f>
        <v>52.237253415833209</v>
      </c>
      <c r="CO18" s="14">
        <f t="shared" si="64"/>
        <v>-580.16628878085498</v>
      </c>
      <c r="CP18" s="14">
        <f t="shared" ref="CP18:CQ18" si="65">SUM(CP14,CP16)</f>
        <v>131.10580482898905</v>
      </c>
      <c r="CQ18" s="14">
        <f t="shared" si="65"/>
        <v>272.89777607523069</v>
      </c>
      <c r="CR18" s="14">
        <f t="shared" ref="CR18:CS18" si="66">SUM(CR14,CR16)</f>
        <v>528.10341259335496</v>
      </c>
      <c r="CS18" s="14">
        <f t="shared" si="66"/>
        <v>914.35182647069962</v>
      </c>
    </row>
    <row r="19" spans="1:97" x14ac:dyDescent="0.2">
      <c r="B19" s="92"/>
      <c r="C19" s="91"/>
      <c r="D19" s="9"/>
      <c r="E19" s="9"/>
    </row>
    <row r="20" spans="1:97" x14ac:dyDescent="0.2">
      <c r="B20" s="90" t="s">
        <v>63</v>
      </c>
      <c r="C20" s="91" t="s">
        <v>4</v>
      </c>
      <c r="D20" s="9"/>
      <c r="E20" s="9"/>
    </row>
    <row r="21" spans="1:97" x14ac:dyDescent="0.2">
      <c r="B21" s="92"/>
      <c r="C21" s="91"/>
      <c r="D21" s="9"/>
      <c r="E21" s="13"/>
    </row>
    <row r="22" spans="1:97" s="12" customFormat="1" x14ac:dyDescent="0.2">
      <c r="B22" s="88" t="s">
        <v>62</v>
      </c>
      <c r="C22" s="89" t="s">
        <v>4</v>
      </c>
      <c r="D22" s="13"/>
      <c r="E22" s="9"/>
      <c r="F22" s="14">
        <f t="shared" ref="F22:K22" si="67">F18+F20</f>
        <v>0</v>
      </c>
      <c r="G22" s="14">
        <f t="shared" si="67"/>
        <v>0</v>
      </c>
      <c r="H22" s="14">
        <f t="shared" si="67"/>
        <v>0</v>
      </c>
      <c r="I22" s="14">
        <f t="shared" si="67"/>
        <v>0</v>
      </c>
      <c r="J22" s="14">
        <f t="shared" si="67"/>
        <v>0</v>
      </c>
      <c r="K22" s="14">
        <f t="shared" si="67"/>
        <v>0</v>
      </c>
      <c r="L22" s="14">
        <f>L18+L20</f>
        <v>0</v>
      </c>
      <c r="M22" s="14">
        <f t="shared" ref="M22:AW22" si="68">M18+M20</f>
        <v>0</v>
      </c>
      <c r="N22" s="14">
        <f t="shared" si="68"/>
        <v>0</v>
      </c>
      <c r="O22" s="14">
        <f t="shared" si="68"/>
        <v>0</v>
      </c>
      <c r="P22" s="14">
        <f t="shared" si="68"/>
        <v>0</v>
      </c>
      <c r="Q22" s="14">
        <f t="shared" si="68"/>
        <v>0</v>
      </c>
      <c r="R22" s="14">
        <f t="shared" si="68"/>
        <v>-2.7433999999999883</v>
      </c>
      <c r="S22" s="14">
        <f t="shared" si="68"/>
        <v>-3.8038500000000033</v>
      </c>
      <c r="T22" s="14">
        <f t="shared" si="68"/>
        <v>-2.4149833333333302</v>
      </c>
      <c r="U22" s="14">
        <f t="shared" si="68"/>
        <v>-197.76328333333322</v>
      </c>
      <c r="V22" s="14">
        <f t="shared" si="68"/>
        <v>-125.12951750000005</v>
      </c>
      <c r="W22" s="14">
        <f t="shared" si="68"/>
        <v>-102.37167250000002</v>
      </c>
      <c r="X22" s="14">
        <f t="shared" si="68"/>
        <v>64.315887727433335</v>
      </c>
      <c r="Y22" s="14">
        <f t="shared" si="68"/>
        <v>44.091111926000039</v>
      </c>
      <c r="Z22" s="14">
        <f t="shared" si="68"/>
        <v>52.727297896266769</v>
      </c>
      <c r="AA22" s="14">
        <f t="shared" si="68"/>
        <v>84.023227801466689</v>
      </c>
      <c r="AB22" s="14">
        <f t="shared" si="68"/>
        <v>64.430884109233389</v>
      </c>
      <c r="AC22" s="14">
        <f t="shared" si="68"/>
        <v>176.87555062210004</v>
      </c>
      <c r="AD22" s="14">
        <f t="shared" si="68"/>
        <v>20.826002636666729</v>
      </c>
      <c r="AE22" s="14">
        <f t="shared" si="68"/>
        <v>-5.966366356666633</v>
      </c>
      <c r="AF22" s="14">
        <f t="shared" si="68"/>
        <v>13.102649416666736</v>
      </c>
      <c r="AG22" s="14">
        <f t="shared" si="68"/>
        <v>14.961689157916698</v>
      </c>
      <c r="AH22" s="14">
        <f t="shared" si="68"/>
        <v>16.848614495285361</v>
      </c>
      <c r="AI22" s="14">
        <f t="shared" si="68"/>
        <v>17.487024234428532</v>
      </c>
      <c r="AJ22" s="14">
        <f t="shared" si="68"/>
        <v>3.2952926889340475</v>
      </c>
      <c r="AK22" s="14">
        <f t="shared" si="68"/>
        <v>-144.49708030640082</v>
      </c>
      <c r="AL22" s="14">
        <f t="shared" si="68"/>
        <v>-393.75789904126617</v>
      </c>
      <c r="AM22" s="14">
        <f t="shared" si="68"/>
        <v>-141.52926752688512</v>
      </c>
      <c r="AN22" s="14">
        <f t="shared" si="68"/>
        <v>8.5250877520926061</v>
      </c>
      <c r="AO22" s="14">
        <f t="shared" si="68"/>
        <v>10.537964068374034</v>
      </c>
      <c r="AP22" s="14">
        <f t="shared" si="68"/>
        <v>5.4000103757244347</v>
      </c>
      <c r="AQ22" s="14">
        <f t="shared" si="68"/>
        <v>6.775677146148297</v>
      </c>
      <c r="AR22" s="14">
        <f t="shared" si="68"/>
        <v>8.859812303340636</v>
      </c>
      <c r="AS22" s="14">
        <f t="shared" si="68"/>
        <v>10.975209487890684</v>
      </c>
      <c r="AT22" s="14">
        <f t="shared" si="68"/>
        <v>13.122337630209024</v>
      </c>
      <c r="AU22" s="14">
        <f t="shared" si="68"/>
        <v>14.575227673177874</v>
      </c>
      <c r="AV22" s="14">
        <f t="shared" si="68"/>
        <v>16.042646616576196</v>
      </c>
      <c r="AW22" s="14">
        <f t="shared" si="68"/>
        <v>17.524739749408589</v>
      </c>
      <c r="AX22" s="14">
        <f t="shared" ref="AX22:BU22" si="69">AX18+AX20</f>
        <v>6.0216538135693369</v>
      </c>
      <c r="AY22" s="14">
        <f t="shared" si="69"/>
        <v>8.2894786207729538</v>
      </c>
      <c r="AZ22" s="14">
        <f t="shared" si="69"/>
        <v>10.591320800084468</v>
      </c>
      <c r="BA22" s="14">
        <f t="shared" si="69"/>
        <v>12.927690612085676</v>
      </c>
      <c r="BB22" s="14">
        <f t="shared" si="69"/>
        <v>13.718162398479429</v>
      </c>
      <c r="BC22" s="14">
        <f t="shared" si="69"/>
        <v>14.512586543805163</v>
      </c>
      <c r="BD22" s="14">
        <f t="shared" si="69"/>
        <v>16.907775341962292</v>
      </c>
      <c r="BE22" s="14">
        <f t="shared" si="69"/>
        <v>19.338891972091666</v>
      </c>
      <c r="BF22" s="14">
        <f t="shared" si="69"/>
        <v>21.806475351673107</v>
      </c>
      <c r="BG22" s="14">
        <f t="shared" si="69"/>
        <v>22.641341061764777</v>
      </c>
      <c r="BH22" s="14">
        <f t="shared" si="69"/>
        <v>23.480381100406845</v>
      </c>
      <c r="BI22" s="14">
        <f t="shared" si="69"/>
        <v>24.323616339242228</v>
      </c>
      <c r="BJ22" s="14">
        <f t="shared" si="69"/>
        <v>25.171067754271654</v>
      </c>
      <c r="BK22" s="14">
        <f t="shared" si="69"/>
        <v>27.72613377058569</v>
      </c>
      <c r="BL22" s="14">
        <f t="shared" si="69"/>
        <v>30.319525777144477</v>
      </c>
      <c r="BM22" s="14">
        <f t="shared" si="69"/>
        <v>32.951818663801738</v>
      </c>
      <c r="BN22" s="14">
        <f t="shared" si="69"/>
        <v>33.842411090454121</v>
      </c>
      <c r="BO22" s="14">
        <f t="shared" si="69"/>
        <v>34.737456479239704</v>
      </c>
      <c r="BP22" s="14">
        <f t="shared" si="69"/>
        <v>37.43601832642814</v>
      </c>
      <c r="BQ22" s="14">
        <f t="shared" si="69"/>
        <v>40.175058601324537</v>
      </c>
      <c r="BR22" s="14">
        <f t="shared" si="69"/>
        <v>42.955184480344364</v>
      </c>
      <c r="BS22" s="14">
        <f t="shared" si="69"/>
        <v>43.895793736079433</v>
      </c>
      <c r="BT22" s="14">
        <f t="shared" si="69"/>
        <v>44.841106038093201</v>
      </c>
      <c r="BU22" s="14">
        <f t="shared" si="69"/>
        <v>45.791144901616839</v>
      </c>
      <c r="BV22" s="14">
        <f t="shared" ref="BV22:BX22" si="70">BV18+BV20</f>
        <v>46.745933959458497</v>
      </c>
      <c r="BW22" s="14">
        <f t="shared" si="70"/>
        <v>49.624622968850268</v>
      </c>
      <c r="BX22" s="14">
        <f t="shared" si="70"/>
        <v>52.546492313382821</v>
      </c>
      <c r="BY22" s="14">
        <f t="shared" ref="BY22:CK22" si="71">BY18+BY20</f>
        <v>55.512189698083638</v>
      </c>
      <c r="BZ22" s="14">
        <f t="shared" si="71"/>
        <v>58.522372543554781</v>
      </c>
      <c r="CA22" s="14">
        <f t="shared" si="71"/>
        <v>61.577708131708285</v>
      </c>
      <c r="CB22" s="14">
        <f t="shared" si="71"/>
        <v>64.678873753683774</v>
      </c>
      <c r="CC22" s="14">
        <f t="shared" si="71"/>
        <v>67.82655685998904</v>
      </c>
      <c r="CD22" s="14">
        <f t="shared" si="71"/>
        <v>71.021455212888867</v>
      </c>
      <c r="CE22" s="14">
        <f t="shared" si="71"/>
        <v>74.264277041082266</v>
      </c>
      <c r="CF22" s="14">
        <f t="shared" si="71"/>
        <v>77.555741196698477</v>
      </c>
      <c r="CG22" s="14">
        <f t="shared" si="71"/>
        <v>80.896577314648937</v>
      </c>
      <c r="CH22" s="14">
        <f t="shared" si="71"/>
        <v>84.287525974368634</v>
      </c>
      <c r="CI22" s="14">
        <f t="shared" si="71"/>
        <v>87.729338863983955</v>
      </c>
      <c r="CJ22" s="14">
        <f t="shared" si="71"/>
        <v>91.222778946943819</v>
      </c>
      <c r="CK22" s="14">
        <f t="shared" si="71"/>
        <v>94.768620631147911</v>
      </c>
      <c r="CM22" s="14">
        <f>SUM(CM18,CM20)</f>
        <v>0</v>
      </c>
      <c r="CN22" s="14">
        <f t="shared" ref="CN22:CO22" si="72">SUM(CN18,CN20)</f>
        <v>52.237253415833209</v>
      </c>
      <c r="CO22" s="14">
        <f t="shared" si="72"/>
        <v>-580.16628878085498</v>
      </c>
      <c r="CP22" s="14">
        <f t="shared" ref="CP22:CQ22" si="73">SUM(CP18,CP20)</f>
        <v>131.10580482898905</v>
      </c>
      <c r="CQ22" s="14">
        <f t="shared" si="73"/>
        <v>272.89777607523069</v>
      </c>
      <c r="CR22" s="14">
        <f t="shared" ref="CR22:CS22" si="74">SUM(CR18,CR20)</f>
        <v>528.10341259335496</v>
      </c>
      <c r="CS22" s="14">
        <f t="shared" si="74"/>
        <v>914.35182647069962</v>
      </c>
    </row>
    <row r="23" spans="1:97" x14ac:dyDescent="0.2">
      <c r="B23" s="92"/>
      <c r="C23" s="91"/>
      <c r="D23" s="9" t="s">
        <v>322</v>
      </c>
      <c r="E23" s="9"/>
    </row>
    <row r="24" spans="1:97" x14ac:dyDescent="0.2">
      <c r="B24" s="90" t="s">
        <v>60</v>
      </c>
      <c r="C24" s="91" t="s">
        <v>4</v>
      </c>
      <c r="D24" s="234">
        <v>0.25</v>
      </c>
      <c r="E24" s="9"/>
      <c r="F24" s="11">
        <f t="shared" ref="F24:K24" si="75">IF(F22&lt;0,0,-F22*0.2)</f>
        <v>0</v>
      </c>
      <c r="G24" s="11">
        <f t="shared" si="75"/>
        <v>0</v>
      </c>
      <c r="H24" s="11">
        <f t="shared" si="75"/>
        <v>0</v>
      </c>
      <c r="I24" s="11">
        <f t="shared" si="75"/>
        <v>0</v>
      </c>
      <c r="J24" s="11">
        <f t="shared" si="75"/>
        <v>0</v>
      </c>
      <c r="K24" s="11">
        <f t="shared" si="75"/>
        <v>0</v>
      </c>
      <c r="L24" s="11">
        <f>IF(L22&lt;0,0,-L22*0.2)</f>
        <v>0</v>
      </c>
      <c r="M24" s="11">
        <f t="shared" ref="M24:Q24" si="76">IF(M22&lt;0,0,-M22*0.2)</f>
        <v>0</v>
      </c>
      <c r="N24" s="11">
        <f t="shared" si="76"/>
        <v>0</v>
      </c>
      <c r="O24" s="11">
        <f t="shared" si="76"/>
        <v>0</v>
      </c>
      <c r="P24" s="11">
        <f t="shared" si="76"/>
        <v>0</v>
      </c>
      <c r="Q24" s="11">
        <f t="shared" si="76"/>
        <v>0</v>
      </c>
      <c r="R24" s="11">
        <f>IF(R22&lt;0,0,-R22*$D24)</f>
        <v>0</v>
      </c>
      <c r="S24" s="11">
        <f t="shared" ref="S24:BX24" si="77">IF(S22&lt;0,0,-S22*$D24)</f>
        <v>0</v>
      </c>
      <c r="T24" s="11">
        <f t="shared" si="77"/>
        <v>0</v>
      </c>
      <c r="U24" s="11">
        <f t="shared" si="77"/>
        <v>0</v>
      </c>
      <c r="V24" s="11">
        <f t="shared" si="77"/>
        <v>0</v>
      </c>
      <c r="W24" s="11">
        <f t="shared" si="77"/>
        <v>0</v>
      </c>
      <c r="X24" s="11">
        <f t="shared" si="77"/>
        <v>-16.078971931858334</v>
      </c>
      <c r="Y24" s="11">
        <f t="shared" si="77"/>
        <v>-11.02277798150001</v>
      </c>
      <c r="Z24" s="11">
        <f t="shared" si="77"/>
        <v>-13.181824474066692</v>
      </c>
      <c r="AA24" s="11">
        <f t="shared" si="77"/>
        <v>-21.005806950366672</v>
      </c>
      <c r="AB24" s="11">
        <f t="shared" si="77"/>
        <v>-16.107721027308347</v>
      </c>
      <c r="AC24" s="11">
        <f t="shared" si="77"/>
        <v>-44.218887655525009</v>
      </c>
      <c r="AD24" s="11">
        <f t="shared" si="77"/>
        <v>-5.2065006591666823</v>
      </c>
      <c r="AE24" s="11">
        <f t="shared" si="77"/>
        <v>0</v>
      </c>
      <c r="AF24" s="11">
        <f t="shared" si="77"/>
        <v>-3.2756623541666841</v>
      </c>
      <c r="AG24" s="11">
        <f t="shared" si="77"/>
        <v>-3.7404222894791745</v>
      </c>
      <c r="AH24" s="11">
        <f t="shared" si="77"/>
        <v>-4.2121536238213402</v>
      </c>
      <c r="AI24" s="11">
        <f t="shared" si="77"/>
        <v>-4.3717560586071329</v>
      </c>
      <c r="AJ24" s="11">
        <f t="shared" si="77"/>
        <v>-0.82382317223351187</v>
      </c>
      <c r="AK24" s="11">
        <f t="shared" si="77"/>
        <v>0</v>
      </c>
      <c r="AL24" s="11">
        <f t="shared" si="77"/>
        <v>0</v>
      </c>
      <c r="AM24" s="11">
        <f t="shared" si="77"/>
        <v>0</v>
      </c>
      <c r="AN24" s="11">
        <f t="shared" si="77"/>
        <v>-2.1312719380231515</v>
      </c>
      <c r="AO24" s="11">
        <f t="shared" si="77"/>
        <v>-2.6344910170935085</v>
      </c>
      <c r="AP24" s="11">
        <f t="shared" si="77"/>
        <v>-1.3500025939311087</v>
      </c>
      <c r="AQ24" s="11">
        <f t="shared" si="77"/>
        <v>-1.6939192865370742</v>
      </c>
      <c r="AR24" s="11">
        <f t="shared" si="77"/>
        <v>-2.214953075835159</v>
      </c>
      <c r="AS24" s="11">
        <f t="shared" si="77"/>
        <v>-2.743802371972671</v>
      </c>
      <c r="AT24" s="11">
        <f t="shared" si="77"/>
        <v>-3.2805844075522561</v>
      </c>
      <c r="AU24" s="11">
        <f t="shared" si="77"/>
        <v>-3.6438069182944686</v>
      </c>
      <c r="AV24" s="11">
        <f t="shared" si="77"/>
        <v>-4.010661654144049</v>
      </c>
      <c r="AW24" s="11">
        <f t="shared" si="77"/>
        <v>-4.3811849373521472</v>
      </c>
      <c r="AX24" s="11">
        <f t="shared" si="77"/>
        <v>-1.5054134533923342</v>
      </c>
      <c r="AY24" s="11">
        <f t="shared" si="77"/>
        <v>-2.0723696551932385</v>
      </c>
      <c r="AZ24" s="11">
        <f t="shared" si="77"/>
        <v>-2.6478302000211169</v>
      </c>
      <c r="BA24" s="11">
        <f t="shared" si="77"/>
        <v>-3.2319226530214191</v>
      </c>
      <c r="BB24" s="11">
        <f t="shared" si="77"/>
        <v>-3.4295405996198571</v>
      </c>
      <c r="BC24" s="11">
        <f t="shared" si="77"/>
        <v>-3.6281466359512908</v>
      </c>
      <c r="BD24" s="11">
        <f t="shared" si="77"/>
        <v>-4.2269438354905731</v>
      </c>
      <c r="BE24" s="11">
        <f t="shared" si="77"/>
        <v>-4.8347229930229165</v>
      </c>
      <c r="BF24" s="11">
        <f t="shared" si="77"/>
        <v>-5.4516188379182768</v>
      </c>
      <c r="BG24" s="11">
        <f t="shared" si="77"/>
        <v>-5.6603352654411943</v>
      </c>
      <c r="BH24" s="11">
        <f t="shared" si="77"/>
        <v>-5.8700952751017113</v>
      </c>
      <c r="BI24" s="11">
        <f t="shared" si="77"/>
        <v>-6.0809040848105571</v>
      </c>
      <c r="BJ24" s="11">
        <f t="shared" si="77"/>
        <v>-6.2927669385679135</v>
      </c>
      <c r="BK24" s="11">
        <f t="shared" si="77"/>
        <v>-6.9315334426464226</v>
      </c>
      <c r="BL24" s="11">
        <f t="shared" si="77"/>
        <v>-7.5798814442861193</v>
      </c>
      <c r="BM24" s="11">
        <f t="shared" si="77"/>
        <v>-8.2379546659504346</v>
      </c>
      <c r="BN24" s="11">
        <f t="shared" si="77"/>
        <v>-8.4606027726135302</v>
      </c>
      <c r="BO24" s="11">
        <f t="shared" si="77"/>
        <v>-8.684364119809926</v>
      </c>
      <c r="BP24" s="11">
        <f t="shared" si="77"/>
        <v>-9.3590045816070351</v>
      </c>
      <c r="BQ24" s="11">
        <f t="shared" si="77"/>
        <v>-10.043764650331134</v>
      </c>
      <c r="BR24" s="11">
        <f t="shared" si="77"/>
        <v>-10.738796120086091</v>
      </c>
      <c r="BS24" s="11">
        <f t="shared" si="77"/>
        <v>-10.973948434019858</v>
      </c>
      <c r="BT24" s="11">
        <f t="shared" si="77"/>
        <v>-11.2102765095233</v>
      </c>
      <c r="BU24" s="11">
        <f t="shared" si="77"/>
        <v>-11.44778622540421</v>
      </c>
      <c r="BV24" s="11">
        <f t="shared" si="77"/>
        <v>-11.686483489864624</v>
      </c>
      <c r="BW24" s="11">
        <f t="shared" si="77"/>
        <v>-12.406155742212567</v>
      </c>
      <c r="BX24" s="11">
        <f t="shared" si="77"/>
        <v>-13.136623078345705</v>
      </c>
      <c r="BY24" s="11">
        <f t="shared" ref="BY24:CK24" si="78">IF(BY22&lt;0,0,-BY22*$D24)</f>
        <v>-13.87804742452091</v>
      </c>
      <c r="BZ24" s="11">
        <f t="shared" si="78"/>
        <v>-14.630593135888695</v>
      </c>
      <c r="CA24" s="11">
        <f t="shared" si="78"/>
        <v>-15.394427032927071</v>
      </c>
      <c r="CB24" s="11">
        <f t="shared" si="78"/>
        <v>-16.169718438420944</v>
      </c>
      <c r="CC24" s="11">
        <f t="shared" si="78"/>
        <v>-16.95663921499726</v>
      </c>
      <c r="CD24" s="11">
        <f t="shared" si="78"/>
        <v>-17.755363803222217</v>
      </c>
      <c r="CE24" s="11">
        <f t="shared" si="78"/>
        <v>-18.566069260270567</v>
      </c>
      <c r="CF24" s="11">
        <f t="shared" si="78"/>
        <v>-19.388935299174619</v>
      </c>
      <c r="CG24" s="11">
        <f t="shared" si="78"/>
        <v>-20.224144328662234</v>
      </c>
      <c r="CH24" s="11">
        <f t="shared" si="78"/>
        <v>-21.071881493592159</v>
      </c>
      <c r="CI24" s="11">
        <f t="shared" si="78"/>
        <v>-21.932334715995989</v>
      </c>
      <c r="CJ24" s="11">
        <f t="shared" si="78"/>
        <v>-22.805694736735955</v>
      </c>
      <c r="CK24" s="11">
        <f t="shared" si="78"/>
        <v>-23.692155157786978</v>
      </c>
      <c r="CM24" s="11">
        <f>SUMIF($L$2:$CK$2,CM$3,$L24:$CK24)</f>
        <v>0</v>
      </c>
      <c r="CN24" s="11">
        <f>SUMIF($L$2:$CK$2,CN$3,$L24:$CK24)</f>
        <v>-121.61599002062506</v>
      </c>
      <c r="CO24" s="11">
        <f>SUMIF($L$2:$CK$2,CO$3,$L24:$CK24)</f>
        <v>-26.396081112591187</v>
      </c>
      <c r="CP24" s="11">
        <f>SUMIF($L$2:$CK$2,CP$3,$L24:$CK24)</f>
        <v>-32.776451207247042</v>
      </c>
      <c r="CQ24" s="11">
        <f>SUMIF($L$2:$CK$2,CQ$3,$L24:$CK24)</f>
        <v>-68.224444018807262</v>
      </c>
      <c r="CR24" s="11">
        <f t="shared" ref="CR24:CS24" si="79">SUMIF($L$2:$CK$2,CR$3,$L24:$CK24)</f>
        <v>-132.02585314833888</v>
      </c>
      <c r="CS24" s="11">
        <f t="shared" si="79"/>
        <v>-228.58795661767465</v>
      </c>
    </row>
    <row r="25" spans="1:97" x14ac:dyDescent="0.2">
      <c r="B25" s="92"/>
      <c r="C25" s="91"/>
      <c r="D25" s="9"/>
      <c r="E25" s="13"/>
    </row>
    <row r="26" spans="1:97" s="12" customFormat="1" x14ac:dyDescent="0.2">
      <c r="B26" s="88" t="s">
        <v>57</v>
      </c>
      <c r="C26" s="89" t="s">
        <v>4</v>
      </c>
      <c r="D26" s="13"/>
      <c r="E26" s="5"/>
      <c r="F26" s="93">
        <f t="shared" ref="F26:K26" si="80">F22+F24</f>
        <v>0</v>
      </c>
      <c r="G26" s="93">
        <f t="shared" si="80"/>
        <v>0</v>
      </c>
      <c r="H26" s="93">
        <f t="shared" si="80"/>
        <v>0</v>
      </c>
      <c r="I26" s="93">
        <f t="shared" si="80"/>
        <v>0</v>
      </c>
      <c r="J26" s="93">
        <f t="shared" si="80"/>
        <v>0</v>
      </c>
      <c r="K26" s="93">
        <f t="shared" si="80"/>
        <v>0</v>
      </c>
      <c r="L26" s="93">
        <f>L22+L24</f>
        <v>0</v>
      </c>
      <c r="M26" s="93">
        <f t="shared" ref="M26:AW26" si="81">M22+M24</f>
        <v>0</v>
      </c>
      <c r="N26" s="93">
        <f t="shared" si="81"/>
        <v>0</v>
      </c>
      <c r="O26" s="93">
        <f t="shared" si="81"/>
        <v>0</v>
      </c>
      <c r="P26" s="93">
        <f t="shared" si="81"/>
        <v>0</v>
      </c>
      <c r="Q26" s="93">
        <f t="shared" si="81"/>
        <v>0</v>
      </c>
      <c r="R26" s="93">
        <f t="shared" si="81"/>
        <v>-2.7433999999999883</v>
      </c>
      <c r="S26" s="94">
        <f t="shared" si="81"/>
        <v>-3.8038500000000033</v>
      </c>
      <c r="T26" s="94">
        <f t="shared" si="81"/>
        <v>-2.4149833333333302</v>
      </c>
      <c r="U26" s="94">
        <f t="shared" si="81"/>
        <v>-197.76328333333322</v>
      </c>
      <c r="V26" s="94">
        <f t="shared" si="81"/>
        <v>-125.12951750000005</v>
      </c>
      <c r="W26" s="94">
        <f t="shared" si="81"/>
        <v>-102.37167250000002</v>
      </c>
      <c r="X26" s="94">
        <f t="shared" si="81"/>
        <v>48.236915795575001</v>
      </c>
      <c r="Y26" s="94">
        <f t="shared" si="81"/>
        <v>33.068333944500026</v>
      </c>
      <c r="Z26" s="94">
        <f t="shared" si="81"/>
        <v>39.545473422200075</v>
      </c>
      <c r="AA26" s="94">
        <f t="shared" si="81"/>
        <v>63.017420851100013</v>
      </c>
      <c r="AB26" s="94">
        <f t="shared" si="81"/>
        <v>48.323163081925046</v>
      </c>
      <c r="AC26" s="94">
        <f t="shared" si="81"/>
        <v>132.65666296657503</v>
      </c>
      <c r="AD26" s="94">
        <f t="shared" si="81"/>
        <v>15.619501977500047</v>
      </c>
      <c r="AE26" s="94">
        <f t="shared" si="81"/>
        <v>-5.966366356666633</v>
      </c>
      <c r="AF26" s="94">
        <f t="shared" si="81"/>
        <v>9.8269870625000522</v>
      </c>
      <c r="AG26" s="94">
        <f t="shared" si="81"/>
        <v>11.221266868437525</v>
      </c>
      <c r="AH26" s="94">
        <f t="shared" si="81"/>
        <v>12.636460871464021</v>
      </c>
      <c r="AI26" s="94">
        <f t="shared" si="81"/>
        <v>13.115268175821399</v>
      </c>
      <c r="AJ26" s="94">
        <f t="shared" si="81"/>
        <v>2.4714695167005356</v>
      </c>
      <c r="AK26" s="94">
        <f t="shared" si="81"/>
        <v>-144.49708030640082</v>
      </c>
      <c r="AL26" s="94">
        <f t="shared" si="81"/>
        <v>-393.75789904126617</v>
      </c>
      <c r="AM26" s="94">
        <f t="shared" si="81"/>
        <v>-141.52926752688512</v>
      </c>
      <c r="AN26" s="94">
        <f t="shared" si="81"/>
        <v>6.3938158140694545</v>
      </c>
      <c r="AO26" s="94">
        <f t="shared" si="81"/>
        <v>7.9034730512805256</v>
      </c>
      <c r="AP26" s="94">
        <f t="shared" si="81"/>
        <v>4.050007781793326</v>
      </c>
      <c r="AQ26" s="94">
        <f t="shared" si="81"/>
        <v>5.0817578596112227</v>
      </c>
      <c r="AR26" s="94">
        <f t="shared" si="81"/>
        <v>6.644859227505477</v>
      </c>
      <c r="AS26" s="94">
        <f t="shared" si="81"/>
        <v>8.2314071159180138</v>
      </c>
      <c r="AT26" s="94">
        <f t="shared" si="81"/>
        <v>9.8417532226567683</v>
      </c>
      <c r="AU26" s="94">
        <f t="shared" si="81"/>
        <v>10.931420754883405</v>
      </c>
      <c r="AV26" s="94">
        <f t="shared" si="81"/>
        <v>12.031984962432148</v>
      </c>
      <c r="AW26" s="94">
        <f t="shared" si="81"/>
        <v>13.143554812056442</v>
      </c>
      <c r="AX26" s="94">
        <f t="shared" ref="AX26:BU26" si="82">AX22+AX24</f>
        <v>4.5162403601770027</v>
      </c>
      <c r="AY26" s="94">
        <f t="shared" si="82"/>
        <v>6.2171089655797154</v>
      </c>
      <c r="AZ26" s="94">
        <f t="shared" si="82"/>
        <v>7.9434906000633507</v>
      </c>
      <c r="BA26" s="94">
        <f t="shared" si="82"/>
        <v>9.6957679590642574</v>
      </c>
      <c r="BB26" s="94">
        <f t="shared" si="82"/>
        <v>10.288621798859571</v>
      </c>
      <c r="BC26" s="94">
        <f t="shared" si="82"/>
        <v>10.884439907853872</v>
      </c>
      <c r="BD26" s="94">
        <f t="shared" si="82"/>
        <v>12.680831506471719</v>
      </c>
      <c r="BE26" s="94">
        <f t="shared" si="82"/>
        <v>14.50416897906875</v>
      </c>
      <c r="BF26" s="94">
        <f t="shared" si="82"/>
        <v>16.354856513754832</v>
      </c>
      <c r="BG26" s="94">
        <f t="shared" si="82"/>
        <v>16.981005796323583</v>
      </c>
      <c r="BH26" s="94">
        <f t="shared" si="82"/>
        <v>17.610285825305134</v>
      </c>
      <c r="BI26" s="94">
        <f t="shared" si="82"/>
        <v>18.242712254431673</v>
      </c>
      <c r="BJ26" s="94">
        <f t="shared" si="82"/>
        <v>18.878300815703739</v>
      </c>
      <c r="BK26" s="94">
        <f t="shared" si="82"/>
        <v>20.794600327939268</v>
      </c>
      <c r="BL26" s="94">
        <f t="shared" si="82"/>
        <v>22.739644332858358</v>
      </c>
      <c r="BM26" s="94">
        <f t="shared" si="82"/>
        <v>24.713863997851305</v>
      </c>
      <c r="BN26" s="94">
        <f t="shared" si="82"/>
        <v>25.381808317840591</v>
      </c>
      <c r="BO26" s="94">
        <f t="shared" si="82"/>
        <v>26.053092359429776</v>
      </c>
      <c r="BP26" s="94">
        <f t="shared" si="82"/>
        <v>28.077013744821105</v>
      </c>
      <c r="BQ26" s="94">
        <f t="shared" si="82"/>
        <v>30.131293950993403</v>
      </c>
      <c r="BR26" s="94">
        <f t="shared" si="82"/>
        <v>32.216388360258271</v>
      </c>
      <c r="BS26" s="94">
        <f t="shared" si="82"/>
        <v>32.921845302059573</v>
      </c>
      <c r="BT26" s="94">
        <f t="shared" si="82"/>
        <v>33.630829528569905</v>
      </c>
      <c r="BU26" s="94">
        <f t="shared" si="82"/>
        <v>34.343358676212631</v>
      </c>
      <c r="BV26" s="94">
        <f t="shared" ref="BV26:BX26" si="83">BV22+BV24</f>
        <v>35.05945046959387</v>
      </c>
      <c r="BW26" s="94">
        <f t="shared" si="83"/>
        <v>37.218467226637699</v>
      </c>
      <c r="BX26" s="94">
        <f t="shared" si="83"/>
        <v>39.409869235037114</v>
      </c>
      <c r="BY26" s="94">
        <f t="shared" ref="BY26:CK26" si="84">BY22+BY24</f>
        <v>41.63414227356273</v>
      </c>
      <c r="BZ26" s="94">
        <f t="shared" si="84"/>
        <v>43.891779407666085</v>
      </c>
      <c r="CA26" s="94">
        <f t="shared" si="84"/>
        <v>46.183281098781215</v>
      </c>
      <c r="CB26" s="94">
        <f t="shared" si="84"/>
        <v>48.509155315262831</v>
      </c>
      <c r="CC26" s="94">
        <f t="shared" si="84"/>
        <v>50.86991764499178</v>
      </c>
      <c r="CD26" s="94">
        <f t="shared" si="84"/>
        <v>53.26609140966665</v>
      </c>
      <c r="CE26" s="94">
        <f t="shared" si="84"/>
        <v>55.6982077808117</v>
      </c>
      <c r="CF26" s="94">
        <f t="shared" si="84"/>
        <v>58.166805897523858</v>
      </c>
      <c r="CG26" s="94">
        <f t="shared" si="84"/>
        <v>60.672432985986703</v>
      </c>
      <c r="CH26" s="94">
        <f t="shared" si="84"/>
        <v>63.215644480776476</v>
      </c>
      <c r="CI26" s="94">
        <f t="shared" si="84"/>
        <v>65.797004147987963</v>
      </c>
      <c r="CJ26" s="94">
        <f t="shared" si="84"/>
        <v>68.417084210207861</v>
      </c>
      <c r="CK26" s="94">
        <f t="shared" si="84"/>
        <v>71.07646547336094</v>
      </c>
      <c r="CM26" s="94">
        <f>CM22+CM24</f>
        <v>0</v>
      </c>
      <c r="CN26" s="94">
        <f t="shared" ref="CN26:CO26" si="85">CN22+CN24</f>
        <v>-69.378736604791854</v>
      </c>
      <c r="CO26" s="94">
        <f t="shared" si="85"/>
        <v>-606.5623698934462</v>
      </c>
      <c r="CP26" s="94">
        <f t="shared" ref="CP26:CQ26" si="86">CP22+CP24</f>
        <v>98.329353621742001</v>
      </c>
      <c r="CQ26" s="94">
        <f t="shared" si="86"/>
        <v>204.67333205642342</v>
      </c>
      <c r="CR26" s="94">
        <f t="shared" ref="CR26:CS26" si="87">CR22+CR24</f>
        <v>396.07755944501605</v>
      </c>
      <c r="CS26" s="94">
        <f t="shared" si="87"/>
        <v>685.76386985302497</v>
      </c>
    </row>
    <row r="27" spans="1:97" s="5" customFormat="1" x14ac:dyDescent="0.2">
      <c r="B27" s="5" t="s">
        <v>64</v>
      </c>
      <c r="C27" s="15" t="s">
        <v>59</v>
      </c>
      <c r="E27" s="102"/>
      <c r="L27" s="16" t="str">
        <f>IFERROR(L26/L4,"")</f>
        <v/>
      </c>
      <c r="M27" s="16" t="str">
        <f t="shared" ref="M27:AW27" si="88">IFERROR(M26/M4,"")</f>
        <v/>
      </c>
      <c r="N27" s="16" t="str">
        <f t="shared" si="88"/>
        <v/>
      </c>
      <c r="O27" s="16" t="str">
        <f t="shared" si="88"/>
        <v/>
      </c>
      <c r="P27" s="16" t="str">
        <f t="shared" si="88"/>
        <v/>
      </c>
      <c r="Q27" s="16" t="str">
        <f t="shared" si="88"/>
        <v/>
      </c>
      <c r="R27" s="16">
        <f t="shared" si="88"/>
        <v>-4.293942714039737E-2</v>
      </c>
      <c r="S27" s="16">
        <f t="shared" si="88"/>
        <v>-3.7560542101755197E-2</v>
      </c>
      <c r="T27" s="16">
        <f t="shared" si="88"/>
        <v>-5.2044250489377296E-2</v>
      </c>
      <c r="U27" s="16">
        <f t="shared" si="88"/>
        <v>-0.42488468190395678</v>
      </c>
      <c r="V27" s="16">
        <f t="shared" si="88"/>
        <v>-0.28728917294700418</v>
      </c>
      <c r="W27" s="16">
        <f t="shared" si="88"/>
        <v>-0.25763547956151261</v>
      </c>
      <c r="X27" s="16">
        <f t="shared" si="88"/>
        <v>7.8349607362250592E-2</v>
      </c>
      <c r="Y27" s="16">
        <f t="shared" si="88"/>
        <v>6.3490327546533012E-2</v>
      </c>
      <c r="Z27" s="16">
        <f t="shared" si="88"/>
        <v>7.0449540458817184E-2</v>
      </c>
      <c r="AA27" s="16">
        <f t="shared" si="88"/>
        <v>8.9000294351027562E-2</v>
      </c>
      <c r="AB27" s="16">
        <f t="shared" si="88"/>
        <v>7.8421020827218704E-2</v>
      </c>
      <c r="AC27" s="16">
        <f t="shared" si="88"/>
        <v>0.11602067072853453</v>
      </c>
      <c r="AD27" s="16">
        <f t="shared" si="88"/>
        <v>3.7933125905403084E-2</v>
      </c>
      <c r="AE27" s="16">
        <f t="shared" si="88"/>
        <v>-1.2135167533063995E-2</v>
      </c>
      <c r="AF27" s="16">
        <f t="shared" si="88"/>
        <v>1.6912099924706984E-2</v>
      </c>
      <c r="AG27" s="16">
        <f t="shared" si="88"/>
        <v>1.9026241305129987E-2</v>
      </c>
      <c r="AH27" s="16">
        <f t="shared" si="88"/>
        <v>2.1109139216876724E-2</v>
      </c>
      <c r="AI27" s="16">
        <f t="shared" si="88"/>
        <v>2.1799984295399824E-2</v>
      </c>
      <c r="AJ27" s="16">
        <f t="shared" si="88"/>
        <v>4.0875982250125256E-3</v>
      </c>
      <c r="AK27" s="16">
        <f t="shared" si="88"/>
        <v>-0.23779677137447736</v>
      </c>
      <c r="AL27" s="16">
        <f t="shared" si="88"/>
        <v>-0.64477783443815662</v>
      </c>
      <c r="AM27" s="16">
        <f t="shared" si="88"/>
        <v>-0.22832898019702214</v>
      </c>
      <c r="AN27" s="16">
        <f t="shared" si="88"/>
        <v>1.0162694187295439E-2</v>
      </c>
      <c r="AO27" s="16">
        <f t="shared" si="88"/>
        <v>1.2376580480094074E-2</v>
      </c>
      <c r="AP27" s="16">
        <f t="shared" si="88"/>
        <v>6.2793859557142033E-3</v>
      </c>
      <c r="AQ27" s="16">
        <f t="shared" si="88"/>
        <v>7.8010653026872739E-3</v>
      </c>
      <c r="AR27" s="16">
        <f t="shared" si="88"/>
        <v>1.0049852514962961E-2</v>
      </c>
      <c r="AS27" s="16">
        <f t="shared" si="88"/>
        <v>1.2265406418682658E-2</v>
      </c>
      <c r="AT27" s="16">
        <f t="shared" si="88"/>
        <v>1.4448218146485354E-2</v>
      </c>
      <c r="AU27" s="16">
        <f t="shared" si="88"/>
        <v>1.5889017966817281E-2</v>
      </c>
      <c r="AV27" s="16">
        <f t="shared" si="88"/>
        <v>1.7315552442393221E-2</v>
      </c>
      <c r="AW27" s="16">
        <f t="shared" si="88"/>
        <v>1.8727962814250675E-2</v>
      </c>
      <c r="AX27" s="16">
        <f t="shared" ref="AX27:BU27" si="89">IFERROR(AX26/AX4,"")</f>
        <v>6.3713779995908954E-3</v>
      </c>
      <c r="AY27" s="16">
        <f t="shared" si="89"/>
        <v>8.6412935956561351E-3</v>
      </c>
      <c r="AZ27" s="16">
        <f t="shared" si="89"/>
        <v>1.0877663641040447E-2</v>
      </c>
      <c r="BA27" s="16">
        <f t="shared" si="89"/>
        <v>1.3080983882798412E-2</v>
      </c>
      <c r="BB27" s="16">
        <f t="shared" si="89"/>
        <v>1.3811770032635227E-2</v>
      </c>
      <c r="BC27" s="16">
        <f t="shared" si="89"/>
        <v>1.4538920430482818E-2</v>
      </c>
      <c r="BD27" s="16">
        <f t="shared" si="89"/>
        <v>1.6688133429047163E-2</v>
      </c>
      <c r="BE27" s="16">
        <f t="shared" si="89"/>
        <v>1.8805584659159713E-2</v>
      </c>
      <c r="BF27" s="16">
        <f t="shared" si="89"/>
        <v>2.089174350656136E-2</v>
      </c>
      <c r="BG27" s="16">
        <f t="shared" si="89"/>
        <v>2.1583670155782421E-2</v>
      </c>
      <c r="BH27" s="16">
        <f t="shared" si="89"/>
        <v>2.227215438386302E-2</v>
      </c>
      <c r="BI27" s="16">
        <f t="shared" si="89"/>
        <v>2.2957213317276657E-2</v>
      </c>
      <c r="BJ27" s="16">
        <f t="shared" si="89"/>
        <v>2.3638863997290094E-2</v>
      </c>
      <c r="BK27" s="16">
        <f t="shared" si="89"/>
        <v>2.5653595071221735E-2</v>
      </c>
      <c r="BL27" s="16">
        <f t="shared" si="89"/>
        <v>2.7638551794307131E-2</v>
      </c>
      <c r="BM27" s="16">
        <f t="shared" si="89"/>
        <v>2.9594174181583468E-2</v>
      </c>
      <c r="BN27" s="16">
        <f t="shared" si="89"/>
        <v>3.0242805155804485E-2</v>
      </c>
      <c r="BO27" s="16">
        <f t="shared" si="89"/>
        <v>3.0888209110253199E-2</v>
      </c>
      <c r="BP27" s="16">
        <f t="shared" si="89"/>
        <v>3.2795807005175433E-2</v>
      </c>
      <c r="BQ27" s="16">
        <f t="shared" si="89"/>
        <v>3.4675213798202383E-2</v>
      </c>
      <c r="BR27" s="16">
        <f t="shared" si="89"/>
        <v>3.6526846106603297E-2</v>
      </c>
      <c r="BS27" s="16">
        <f t="shared" si="89"/>
        <v>3.7140986175724693E-2</v>
      </c>
      <c r="BT27" s="16">
        <f t="shared" si="89"/>
        <v>3.7752070821616648E-2</v>
      </c>
      <c r="BU27" s="16">
        <f t="shared" si="89"/>
        <v>3.836011524538957E-2</v>
      </c>
      <c r="BV27" s="16">
        <f t="shared" ref="BV27:BX27" si="90">IFERROR(BV26/BV4,"")</f>
        <v>3.8965134572527128E-2</v>
      </c>
      <c r="BW27" s="16">
        <f t="shared" si="90"/>
        <v>4.0753369036972457E-2</v>
      </c>
      <c r="BX27" s="16">
        <f t="shared" si="90"/>
        <v>4.2515176391105726E-2</v>
      </c>
      <c r="BY27" s="16">
        <f t="shared" ref="BY27:CK27" si="91">IFERROR(BY26/BY4,"")</f>
        <v>4.4250947183355469E-2</v>
      </c>
      <c r="BZ27" s="16">
        <f t="shared" si="91"/>
        <v>4.5961066190497904E-2</v>
      </c>
      <c r="CA27" s="16">
        <f t="shared" si="91"/>
        <v>4.764591250295374E-2</v>
      </c>
      <c r="CB27" s="16">
        <f t="shared" si="91"/>
        <v>4.9305859608821327E-2</v>
      </c>
      <c r="CC27" s="16">
        <f t="shared" si="91"/>
        <v>5.0941275476671266E-2</v>
      </c>
      <c r="CD27" s="16">
        <f t="shared" si="91"/>
        <v>5.2552522637114546E-2</v>
      </c>
      <c r="CE27" s="16">
        <f t="shared" si="91"/>
        <v>5.413995826316708E-2</v>
      </c>
      <c r="CF27" s="16">
        <f t="shared" si="91"/>
        <v>5.5703934249425692E-2</v>
      </c>
      <c r="CG27" s="16">
        <f t="shared" si="91"/>
        <v>5.7244797290074569E-2</v>
      </c>
      <c r="CH27" s="16">
        <f t="shared" si="91"/>
        <v>5.8762888955738481E-2</v>
      </c>
      <c r="CI27" s="16">
        <f t="shared" si="91"/>
        <v>6.0258545769200339E-2</v>
      </c>
      <c r="CJ27" s="16">
        <f t="shared" si="91"/>
        <v>6.173209928000041E-2</v>
      </c>
      <c r="CK27" s="16">
        <f t="shared" si="91"/>
        <v>6.3183876137931416E-2</v>
      </c>
      <c r="CM27" s="16" t="str">
        <f>IFERROR(CM26/CM4,"")</f>
        <v/>
      </c>
      <c r="CN27" s="16">
        <f t="shared" ref="CN27:CO27" si="92">IFERROR(CN26/CN4,"")</f>
        <v>-1.2224462361053835E-2</v>
      </c>
      <c r="CO27" s="16">
        <f t="shared" si="92"/>
        <v>-8.6837253598732039E-2</v>
      </c>
      <c r="CP27" s="16">
        <f t="shared" ref="CP27:CQ27" si="93">IFERROR(CP26/CP4,"")</f>
        <v>1.1855065104325942E-2</v>
      </c>
      <c r="CQ27" s="16">
        <f t="shared" si="93"/>
        <v>2.1666203049771359E-2</v>
      </c>
      <c r="CR27" s="16">
        <f t="shared" ref="CR27:CS27" si="94">IFERROR(CR26/CR4,"")</f>
        <v>3.7214240699562064E-2</v>
      </c>
      <c r="CS27" s="16">
        <f t="shared" si="94"/>
        <v>5.5063469330802833E-2</v>
      </c>
    </row>
    <row r="31" spans="1:97" x14ac:dyDescent="0.2">
      <c r="A31" s="19"/>
      <c r="B31" s="20" t="s">
        <v>89</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row>
    <row r="32" spans="1:97" x14ac:dyDescent="0.2">
      <c r="AD32" s="445" t="s">
        <v>165</v>
      </c>
      <c r="AE32" s="445" t="s">
        <v>165</v>
      </c>
      <c r="AF32" s="445" t="s">
        <v>165</v>
      </c>
    </row>
    <row r="33" spans="2:99" x14ac:dyDescent="0.2">
      <c r="B33" s="12" t="s">
        <v>65</v>
      </c>
      <c r="F33" s="188" t="s">
        <v>284</v>
      </c>
      <c r="G33" s="188" t="s">
        <v>284</v>
      </c>
      <c r="H33" s="188" t="s">
        <v>284</v>
      </c>
      <c r="I33" s="188" t="s">
        <v>284</v>
      </c>
      <c r="J33" s="188" t="s">
        <v>284</v>
      </c>
      <c r="K33" s="188" t="s">
        <v>284</v>
      </c>
      <c r="L33" s="188" t="s">
        <v>284</v>
      </c>
      <c r="M33" s="188" t="s">
        <v>284</v>
      </c>
      <c r="N33" s="188" t="s">
        <v>284</v>
      </c>
      <c r="O33" s="188" t="s">
        <v>284</v>
      </c>
      <c r="P33" s="188" t="s">
        <v>284</v>
      </c>
      <c r="Q33" s="188" t="s">
        <v>284</v>
      </c>
      <c r="R33" s="3">
        <v>1</v>
      </c>
      <c r="S33" s="3">
        <f>R33+1</f>
        <v>2</v>
      </c>
      <c r="T33" s="3">
        <f t="shared" ref="T33:BX33" si="95">S33+1</f>
        <v>3</v>
      </c>
      <c r="U33" s="3">
        <f t="shared" si="95"/>
        <v>4</v>
      </c>
      <c r="V33" s="3">
        <f t="shared" si="95"/>
        <v>5</v>
      </c>
      <c r="W33" s="3">
        <f t="shared" si="95"/>
        <v>6</v>
      </c>
      <c r="X33" s="3">
        <f t="shared" si="95"/>
        <v>7</v>
      </c>
      <c r="Y33" s="3">
        <f t="shared" si="95"/>
        <v>8</v>
      </c>
      <c r="Z33" s="3">
        <f t="shared" si="95"/>
        <v>9</v>
      </c>
      <c r="AA33" s="3">
        <f t="shared" si="95"/>
        <v>10</v>
      </c>
      <c r="AB33" s="3">
        <f t="shared" si="95"/>
        <v>11</v>
      </c>
      <c r="AC33" s="3">
        <f t="shared" si="95"/>
        <v>12</v>
      </c>
      <c r="AD33" s="3">
        <f t="shared" si="95"/>
        <v>13</v>
      </c>
      <c r="AE33" s="3">
        <f t="shared" si="95"/>
        <v>14</v>
      </c>
      <c r="AF33" s="3">
        <f t="shared" si="95"/>
        <v>15</v>
      </c>
      <c r="AG33" s="3">
        <f t="shared" si="95"/>
        <v>16</v>
      </c>
      <c r="AH33" s="3">
        <f t="shared" si="95"/>
        <v>17</v>
      </c>
      <c r="AI33" s="3">
        <f t="shared" si="95"/>
        <v>18</v>
      </c>
      <c r="AJ33" s="3">
        <f t="shared" si="95"/>
        <v>19</v>
      </c>
      <c r="AK33" s="3">
        <f t="shared" si="95"/>
        <v>20</v>
      </c>
      <c r="AL33" s="3">
        <f t="shared" si="95"/>
        <v>21</v>
      </c>
      <c r="AM33" s="3">
        <f t="shared" si="95"/>
        <v>22</v>
      </c>
      <c r="AN33" s="3">
        <f t="shared" si="95"/>
        <v>23</v>
      </c>
      <c r="AO33" s="3">
        <f t="shared" si="95"/>
        <v>24</v>
      </c>
      <c r="AP33" s="3">
        <f t="shared" si="95"/>
        <v>25</v>
      </c>
      <c r="AQ33" s="3">
        <f t="shared" si="95"/>
        <v>26</v>
      </c>
      <c r="AR33" s="3">
        <f t="shared" si="95"/>
        <v>27</v>
      </c>
      <c r="AS33" s="3">
        <f t="shared" si="95"/>
        <v>28</v>
      </c>
      <c r="AT33" s="3">
        <f t="shared" si="95"/>
        <v>29</v>
      </c>
      <c r="AU33" s="3">
        <f t="shared" si="95"/>
        <v>30</v>
      </c>
      <c r="AV33" s="3">
        <f t="shared" si="95"/>
        <v>31</v>
      </c>
      <c r="AW33" s="3">
        <f t="shared" si="95"/>
        <v>32</v>
      </c>
      <c r="AX33" s="3">
        <f t="shared" si="95"/>
        <v>33</v>
      </c>
      <c r="AY33" s="3">
        <f t="shared" si="95"/>
        <v>34</v>
      </c>
      <c r="AZ33" s="3">
        <f t="shared" si="95"/>
        <v>35</v>
      </c>
      <c r="BA33" s="3">
        <f t="shared" si="95"/>
        <v>36</v>
      </c>
      <c r="BB33" s="3">
        <f t="shared" si="95"/>
        <v>37</v>
      </c>
      <c r="BC33" s="3">
        <f t="shared" si="95"/>
        <v>38</v>
      </c>
      <c r="BD33" s="3">
        <f t="shared" si="95"/>
        <v>39</v>
      </c>
      <c r="BE33" s="3">
        <f t="shared" si="95"/>
        <v>40</v>
      </c>
      <c r="BF33" s="3">
        <f t="shared" si="95"/>
        <v>41</v>
      </c>
      <c r="BG33" s="3">
        <f t="shared" si="95"/>
        <v>42</v>
      </c>
      <c r="BH33" s="3">
        <f t="shared" si="95"/>
        <v>43</v>
      </c>
      <c r="BI33" s="3">
        <f t="shared" si="95"/>
        <v>44</v>
      </c>
      <c r="BJ33" s="3">
        <f t="shared" si="95"/>
        <v>45</v>
      </c>
      <c r="BK33" s="3">
        <f t="shared" si="95"/>
        <v>46</v>
      </c>
      <c r="BL33" s="3">
        <f t="shared" si="95"/>
        <v>47</v>
      </c>
      <c r="BM33" s="3">
        <f t="shared" si="95"/>
        <v>48</v>
      </c>
      <c r="BN33" s="3">
        <f t="shared" si="95"/>
        <v>49</v>
      </c>
      <c r="BO33" s="3">
        <f t="shared" si="95"/>
        <v>50</v>
      </c>
      <c r="BP33" s="3">
        <f t="shared" si="95"/>
        <v>51</v>
      </c>
      <c r="BQ33" s="3">
        <f t="shared" si="95"/>
        <v>52</v>
      </c>
      <c r="BR33" s="3">
        <f t="shared" si="95"/>
        <v>53</v>
      </c>
      <c r="BS33" s="3">
        <f t="shared" si="95"/>
        <v>54</v>
      </c>
      <c r="BT33" s="3">
        <f t="shared" si="95"/>
        <v>55</v>
      </c>
      <c r="BU33" s="3">
        <f t="shared" si="95"/>
        <v>56</v>
      </c>
      <c r="BV33" s="3">
        <f t="shared" si="95"/>
        <v>57</v>
      </c>
      <c r="BW33" s="3">
        <f t="shared" si="95"/>
        <v>58</v>
      </c>
      <c r="BX33" s="3">
        <f t="shared" si="95"/>
        <v>59</v>
      </c>
      <c r="BY33" s="3">
        <f t="shared" ref="BY33" si="96">BX33+1</f>
        <v>60</v>
      </c>
      <c r="BZ33" s="3">
        <f t="shared" ref="BZ33" si="97">BY33+1</f>
        <v>61</v>
      </c>
      <c r="CA33" s="3">
        <f t="shared" ref="CA33" si="98">BZ33+1</f>
        <v>62</v>
      </c>
      <c r="CB33" s="3">
        <f t="shared" ref="CB33" si="99">CA33+1</f>
        <v>63</v>
      </c>
      <c r="CC33" s="3">
        <f t="shared" ref="CC33" si="100">CB33+1</f>
        <v>64</v>
      </c>
      <c r="CD33" s="3">
        <f t="shared" ref="CD33" si="101">CC33+1</f>
        <v>65</v>
      </c>
      <c r="CE33" s="3">
        <f t="shared" ref="CE33" si="102">CD33+1</f>
        <v>66</v>
      </c>
      <c r="CF33" s="3">
        <f t="shared" ref="CF33" si="103">CE33+1</f>
        <v>67</v>
      </c>
      <c r="CG33" s="3">
        <f t="shared" ref="CG33" si="104">CF33+1</f>
        <v>68</v>
      </c>
      <c r="CH33" s="3">
        <f t="shared" ref="CH33" si="105">CG33+1</f>
        <v>69</v>
      </c>
      <c r="CI33" s="3">
        <f t="shared" ref="CI33" si="106">CH33+1</f>
        <v>70</v>
      </c>
      <c r="CJ33" s="3">
        <f t="shared" ref="CJ33" si="107">CI33+1</f>
        <v>71</v>
      </c>
      <c r="CK33" s="3">
        <f t="shared" ref="CK33" si="108">CJ33+1</f>
        <v>72</v>
      </c>
    </row>
    <row r="34" spans="2:99" x14ac:dyDescent="0.2">
      <c r="B34" s="225" t="s">
        <v>1</v>
      </c>
      <c r="C34" s="200" t="s">
        <v>2</v>
      </c>
      <c r="D34" s="102"/>
      <c r="F34" s="201">
        <f>F3</f>
        <v>45292</v>
      </c>
      <c r="G34" s="201">
        <f t="shared" ref="G34:BR34" si="109">G3</f>
        <v>45323</v>
      </c>
      <c r="H34" s="201">
        <f t="shared" si="109"/>
        <v>45352</v>
      </c>
      <c r="I34" s="201">
        <f t="shared" si="109"/>
        <v>45383</v>
      </c>
      <c r="J34" s="201">
        <f t="shared" si="109"/>
        <v>45413</v>
      </c>
      <c r="K34" s="201">
        <f t="shared" si="109"/>
        <v>45444</v>
      </c>
      <c r="L34" s="201">
        <f t="shared" si="109"/>
        <v>45474</v>
      </c>
      <c r="M34" s="201">
        <f t="shared" si="109"/>
        <v>45505</v>
      </c>
      <c r="N34" s="201">
        <f t="shared" si="109"/>
        <v>45536</v>
      </c>
      <c r="O34" s="201">
        <f t="shared" si="109"/>
        <v>45566</v>
      </c>
      <c r="P34" s="201">
        <f t="shared" si="109"/>
        <v>45597</v>
      </c>
      <c r="Q34" s="201">
        <f t="shared" si="109"/>
        <v>45627</v>
      </c>
      <c r="R34" s="201">
        <f t="shared" si="109"/>
        <v>45658</v>
      </c>
      <c r="S34" s="201">
        <f t="shared" si="109"/>
        <v>45689</v>
      </c>
      <c r="T34" s="201">
        <f t="shared" si="109"/>
        <v>45717</v>
      </c>
      <c r="U34" s="201">
        <f t="shared" si="109"/>
        <v>45748</v>
      </c>
      <c r="V34" s="201">
        <f t="shared" si="109"/>
        <v>45778</v>
      </c>
      <c r="W34" s="201">
        <f t="shared" si="109"/>
        <v>45809</v>
      </c>
      <c r="X34" s="201">
        <f t="shared" si="109"/>
        <v>45839</v>
      </c>
      <c r="Y34" s="201">
        <f t="shared" si="109"/>
        <v>45870</v>
      </c>
      <c r="Z34" s="201">
        <f t="shared" si="109"/>
        <v>45901</v>
      </c>
      <c r="AA34" s="201">
        <f t="shared" si="109"/>
        <v>45931</v>
      </c>
      <c r="AB34" s="201">
        <f t="shared" si="109"/>
        <v>45962</v>
      </c>
      <c r="AC34" s="201">
        <f t="shared" si="109"/>
        <v>45992</v>
      </c>
      <c r="AD34" s="201">
        <f t="shared" si="109"/>
        <v>46023</v>
      </c>
      <c r="AE34" s="201">
        <f t="shared" si="109"/>
        <v>46054</v>
      </c>
      <c r="AF34" s="201">
        <f t="shared" si="109"/>
        <v>46082</v>
      </c>
      <c r="AG34" s="201">
        <f t="shared" si="109"/>
        <v>46113</v>
      </c>
      <c r="AH34" s="201">
        <f t="shared" si="109"/>
        <v>46143</v>
      </c>
      <c r="AI34" s="201">
        <f t="shared" si="109"/>
        <v>46174</v>
      </c>
      <c r="AJ34" s="201">
        <f t="shared" si="109"/>
        <v>46204</v>
      </c>
      <c r="AK34" s="201">
        <f t="shared" si="109"/>
        <v>46235</v>
      </c>
      <c r="AL34" s="201">
        <f t="shared" si="109"/>
        <v>46266</v>
      </c>
      <c r="AM34" s="201">
        <f t="shared" si="109"/>
        <v>46296</v>
      </c>
      <c r="AN34" s="201">
        <f t="shared" si="109"/>
        <v>46327</v>
      </c>
      <c r="AO34" s="201">
        <f t="shared" si="109"/>
        <v>46357</v>
      </c>
      <c r="AP34" s="201">
        <f t="shared" si="109"/>
        <v>46388</v>
      </c>
      <c r="AQ34" s="201">
        <f t="shared" si="109"/>
        <v>46419</v>
      </c>
      <c r="AR34" s="201">
        <f t="shared" si="109"/>
        <v>46447</v>
      </c>
      <c r="AS34" s="201">
        <f t="shared" si="109"/>
        <v>46478</v>
      </c>
      <c r="AT34" s="201">
        <f t="shared" si="109"/>
        <v>46508</v>
      </c>
      <c r="AU34" s="201">
        <f t="shared" si="109"/>
        <v>46539</v>
      </c>
      <c r="AV34" s="201">
        <f t="shared" si="109"/>
        <v>46569</v>
      </c>
      <c r="AW34" s="201">
        <f t="shared" si="109"/>
        <v>46600</v>
      </c>
      <c r="AX34" s="201">
        <f t="shared" si="109"/>
        <v>46631</v>
      </c>
      <c r="AY34" s="201">
        <f t="shared" si="109"/>
        <v>46661</v>
      </c>
      <c r="AZ34" s="201">
        <f t="shared" si="109"/>
        <v>46692</v>
      </c>
      <c r="BA34" s="201">
        <f t="shared" si="109"/>
        <v>46722</v>
      </c>
      <c r="BB34" s="201">
        <f t="shared" si="109"/>
        <v>46753</v>
      </c>
      <c r="BC34" s="201">
        <f t="shared" si="109"/>
        <v>46784</v>
      </c>
      <c r="BD34" s="201">
        <f t="shared" si="109"/>
        <v>46813</v>
      </c>
      <c r="BE34" s="201">
        <f t="shared" si="109"/>
        <v>46844</v>
      </c>
      <c r="BF34" s="201">
        <f t="shared" si="109"/>
        <v>46874</v>
      </c>
      <c r="BG34" s="201">
        <f t="shared" si="109"/>
        <v>46905</v>
      </c>
      <c r="BH34" s="201">
        <f t="shared" si="109"/>
        <v>46935</v>
      </c>
      <c r="BI34" s="201">
        <f t="shared" si="109"/>
        <v>46966</v>
      </c>
      <c r="BJ34" s="201">
        <f t="shared" si="109"/>
        <v>46997</v>
      </c>
      <c r="BK34" s="201">
        <f t="shared" si="109"/>
        <v>47027</v>
      </c>
      <c r="BL34" s="201">
        <f t="shared" si="109"/>
        <v>47058</v>
      </c>
      <c r="BM34" s="201">
        <f t="shared" si="109"/>
        <v>47088</v>
      </c>
      <c r="BN34" s="201">
        <f t="shared" si="109"/>
        <v>47119</v>
      </c>
      <c r="BO34" s="201">
        <f t="shared" si="109"/>
        <v>47150</v>
      </c>
      <c r="BP34" s="201">
        <f t="shared" si="109"/>
        <v>47178</v>
      </c>
      <c r="BQ34" s="201">
        <f t="shared" si="109"/>
        <v>47209</v>
      </c>
      <c r="BR34" s="201">
        <f t="shared" si="109"/>
        <v>47239</v>
      </c>
      <c r="BS34" s="201">
        <f t="shared" ref="BS34:BU34" si="110">BS3</f>
        <v>47270</v>
      </c>
      <c r="BT34" s="201">
        <f t="shared" si="110"/>
        <v>47300</v>
      </c>
      <c r="BU34" s="201">
        <f t="shared" si="110"/>
        <v>47331</v>
      </c>
      <c r="BV34" s="201">
        <f t="shared" ref="BV34:BX34" si="111">BV3</f>
        <v>47362</v>
      </c>
      <c r="BW34" s="201">
        <f t="shared" si="111"/>
        <v>47392</v>
      </c>
      <c r="BX34" s="201">
        <f t="shared" si="111"/>
        <v>47423</v>
      </c>
      <c r="BY34" s="201">
        <f t="shared" ref="BY34:CK34" si="112">BY3</f>
        <v>47453</v>
      </c>
      <c r="BZ34" s="201">
        <f t="shared" si="112"/>
        <v>47484</v>
      </c>
      <c r="CA34" s="201">
        <f t="shared" si="112"/>
        <v>47515</v>
      </c>
      <c r="CB34" s="201">
        <f t="shared" si="112"/>
        <v>47543</v>
      </c>
      <c r="CC34" s="201">
        <f t="shared" si="112"/>
        <v>47574</v>
      </c>
      <c r="CD34" s="201">
        <f t="shared" si="112"/>
        <v>47604</v>
      </c>
      <c r="CE34" s="201">
        <f t="shared" si="112"/>
        <v>47635</v>
      </c>
      <c r="CF34" s="201">
        <f t="shared" si="112"/>
        <v>47665</v>
      </c>
      <c r="CG34" s="201">
        <f t="shared" si="112"/>
        <v>47696</v>
      </c>
      <c r="CH34" s="201">
        <f t="shared" si="112"/>
        <v>47727</v>
      </c>
      <c r="CI34" s="201">
        <f t="shared" si="112"/>
        <v>47757</v>
      </c>
      <c r="CJ34" s="201">
        <f t="shared" si="112"/>
        <v>47788</v>
      </c>
      <c r="CK34" s="201">
        <f t="shared" si="112"/>
        <v>47818</v>
      </c>
      <c r="CM34" s="202">
        <f>CM3</f>
        <v>2024</v>
      </c>
      <c r="CN34" s="202">
        <f>CM34+1</f>
        <v>2025</v>
      </c>
      <c r="CO34" s="202">
        <f t="shared" ref="CO34" si="113">CN34+1</f>
        <v>2026</v>
      </c>
      <c r="CP34" s="202">
        <f t="shared" ref="CP34" si="114">CO34+1</f>
        <v>2027</v>
      </c>
      <c r="CQ34" s="202">
        <f t="shared" ref="CQ34" si="115">CP34+1</f>
        <v>2028</v>
      </c>
      <c r="CR34" s="202">
        <f t="shared" ref="CR34" si="116">CQ34+1</f>
        <v>2029</v>
      </c>
      <c r="CS34" s="202">
        <f t="shared" ref="CS34" si="117">CR34+1</f>
        <v>2030</v>
      </c>
    </row>
    <row r="35" spans="2:99" x14ac:dyDescent="0.2">
      <c r="B35" s="92" t="s">
        <v>3</v>
      </c>
      <c r="C35" s="91" t="s">
        <v>4</v>
      </c>
      <c r="D35" s="9"/>
      <c r="F35" s="10">
        <v>0</v>
      </c>
      <c r="G35" s="10">
        <v>0</v>
      </c>
      <c r="H35" s="10">
        <v>0</v>
      </c>
      <c r="I35" s="10">
        <v>0</v>
      </c>
      <c r="J35" s="10">
        <v>0</v>
      </c>
      <c r="K35" s="10">
        <v>0</v>
      </c>
      <c r="L35" s="10">
        <v>0</v>
      </c>
      <c r="M35" s="10">
        <v>0</v>
      </c>
      <c r="N35" s="10">
        <v>0</v>
      </c>
      <c r="O35" s="10">
        <v>0</v>
      </c>
      <c r="P35" s="10">
        <v>0</v>
      </c>
      <c r="Q35" s="10">
        <v>0</v>
      </c>
      <c r="R35" s="10">
        <v>76.668000000000006</v>
      </c>
      <c r="S35" s="10">
        <v>121.527</v>
      </c>
      <c r="T35" s="10">
        <v>55.683</v>
      </c>
      <c r="U35" s="10">
        <v>558.54200000000003</v>
      </c>
      <c r="V35" s="10">
        <v>522.66300000000001</v>
      </c>
      <c r="W35" s="10">
        <v>391.42099999999999</v>
      </c>
      <c r="X35" s="10">
        <v>682.27000999999996</v>
      </c>
      <c r="Y35" s="10">
        <v>594.10860000000002</v>
      </c>
      <c r="Z35" s="10">
        <v>622.19656000000009</v>
      </c>
      <c r="AA35" s="10">
        <v>791.32028000000003</v>
      </c>
      <c r="AB35" s="10">
        <v>719.23199</v>
      </c>
      <c r="AC35" s="10">
        <v>1322.17581</v>
      </c>
      <c r="AD35" s="10">
        <v>477.517</v>
      </c>
      <c r="AE35" s="10">
        <v>556.452</v>
      </c>
      <c r="AF35" s="10">
        <v>653.15899999999999</v>
      </c>
      <c r="AG35" s="10">
        <f t="shared" ref="AG35:BX35" si="118">AF35*(1+AG$40)</f>
        <v>662.95638499999995</v>
      </c>
      <c r="AH35" s="10">
        <f t="shared" si="118"/>
        <v>672.90073077499994</v>
      </c>
      <c r="AI35" s="10">
        <f t="shared" si="118"/>
        <v>676.26523442887492</v>
      </c>
      <c r="AJ35" s="10">
        <f t="shared" si="118"/>
        <v>679.64656060101925</v>
      </c>
      <c r="AK35" s="10">
        <f t="shared" si="118"/>
        <v>683.04479340402429</v>
      </c>
      <c r="AL35" s="10">
        <f t="shared" si="118"/>
        <v>686.46001737104439</v>
      </c>
      <c r="AM35" s="10">
        <f t="shared" si="118"/>
        <v>696.75691763161001</v>
      </c>
      <c r="AN35" s="10">
        <f t="shared" si="118"/>
        <v>707.20827139608411</v>
      </c>
      <c r="AO35" s="10">
        <f t="shared" si="118"/>
        <v>717.81639546702536</v>
      </c>
      <c r="AP35" s="10">
        <f t="shared" si="118"/>
        <v>724.99455942169561</v>
      </c>
      <c r="AQ35" s="10">
        <f t="shared" si="118"/>
        <v>732.24450501591252</v>
      </c>
      <c r="AR35" s="10">
        <f t="shared" si="118"/>
        <v>743.22817259115118</v>
      </c>
      <c r="AS35" s="10">
        <f t="shared" si="118"/>
        <v>754.3765951800184</v>
      </c>
      <c r="AT35" s="10">
        <f t="shared" si="118"/>
        <v>765.69224410771858</v>
      </c>
      <c r="AU35" s="10">
        <f t="shared" si="118"/>
        <v>773.34916654879578</v>
      </c>
      <c r="AV35" s="10">
        <f t="shared" si="118"/>
        <v>781.0826582142837</v>
      </c>
      <c r="AW35" s="10">
        <f t="shared" si="118"/>
        <v>788.89348479642649</v>
      </c>
      <c r="AX35" s="10">
        <f t="shared" si="118"/>
        <v>796.78241964439076</v>
      </c>
      <c r="AY35" s="10">
        <f t="shared" si="118"/>
        <v>808.73415593905656</v>
      </c>
      <c r="AZ35" s="10">
        <f t="shared" si="118"/>
        <v>820.86516827814228</v>
      </c>
      <c r="BA35" s="10">
        <f t="shared" si="118"/>
        <v>833.17814580231436</v>
      </c>
      <c r="BB35" s="10">
        <f t="shared" si="118"/>
        <v>837.34403653132586</v>
      </c>
      <c r="BC35" s="10">
        <f t="shared" si="118"/>
        <v>841.53075671398244</v>
      </c>
      <c r="BD35" s="10">
        <f t="shared" si="118"/>
        <v>854.15371806469204</v>
      </c>
      <c r="BE35" s="10">
        <f t="shared" si="118"/>
        <v>866.96602383566233</v>
      </c>
      <c r="BF35" s="10">
        <f t="shared" si="118"/>
        <v>879.97051419319723</v>
      </c>
      <c r="BG35" s="10">
        <f t="shared" si="118"/>
        <v>884.37036676416312</v>
      </c>
      <c r="BH35" s="10">
        <f t="shared" si="118"/>
        <v>888.79221859798383</v>
      </c>
      <c r="BI35" s="10">
        <f t="shared" si="118"/>
        <v>893.2361796909737</v>
      </c>
      <c r="BJ35" s="10">
        <f t="shared" si="118"/>
        <v>897.70236058942851</v>
      </c>
      <c r="BK35" s="10">
        <f t="shared" si="118"/>
        <v>911.16789599826984</v>
      </c>
      <c r="BL35" s="10">
        <f t="shared" si="118"/>
        <v>924.83541443824379</v>
      </c>
      <c r="BM35" s="10">
        <f t="shared" si="118"/>
        <v>938.70794565481731</v>
      </c>
      <c r="BN35" s="10">
        <f t="shared" si="118"/>
        <v>943.40148538309131</v>
      </c>
      <c r="BO35" s="10">
        <f t="shared" si="118"/>
        <v>948.11849281000661</v>
      </c>
      <c r="BP35" s="10">
        <f t="shared" si="118"/>
        <v>962.3402702021566</v>
      </c>
      <c r="BQ35" s="10">
        <f t="shared" si="118"/>
        <v>976.77537425518881</v>
      </c>
      <c r="BR35" s="10">
        <f t="shared" si="118"/>
        <v>991.42700486901651</v>
      </c>
      <c r="BS35" s="10">
        <f t="shared" si="118"/>
        <v>996.38413989336152</v>
      </c>
      <c r="BT35" s="10">
        <f t="shared" si="118"/>
        <v>1001.3660605928283</v>
      </c>
      <c r="BU35" s="10">
        <f t="shared" si="118"/>
        <v>1006.3728908957924</v>
      </c>
      <c r="BV35" s="10">
        <f t="shared" si="118"/>
        <v>1011.4047553502712</v>
      </c>
      <c r="BW35" s="10">
        <f t="shared" si="118"/>
        <v>1026.5758266805251</v>
      </c>
      <c r="BX35" s="10">
        <f t="shared" si="118"/>
        <v>1041.9744640807328</v>
      </c>
      <c r="BY35" s="10">
        <f t="shared" ref="BY35" si="119">BX35*(1+BY$40)</f>
        <v>1057.6040810419436</v>
      </c>
      <c r="BZ35" s="10">
        <f t="shared" ref="BZ35" si="120">BY35*(1+BZ$40)</f>
        <v>1073.4681422575727</v>
      </c>
      <c r="CA35" s="10">
        <f t="shared" ref="CA35" si="121">BZ35*(1+CA$40)</f>
        <v>1089.5701643914363</v>
      </c>
      <c r="CB35" s="10">
        <f t="shared" ref="CB35" si="122">CA35*(1+CB$40)</f>
        <v>1105.9137168573077</v>
      </c>
      <c r="CC35" s="10">
        <f t="shared" ref="CC35" si="123">CB35*(1+CC$40)</f>
        <v>1122.5024226101673</v>
      </c>
      <c r="CD35" s="10">
        <f t="shared" ref="CD35" si="124">CC35*(1+CD$40)</f>
        <v>1139.3399589493197</v>
      </c>
      <c r="CE35" s="10">
        <f t="shared" ref="CE35" si="125">CD35*(1+CE$40)</f>
        <v>1156.4300583335594</v>
      </c>
      <c r="CF35" s="10">
        <f t="shared" ref="CF35" si="126">CE35*(1+CF$40)</f>
        <v>1173.7765092085626</v>
      </c>
      <c r="CG35" s="10">
        <f t="shared" ref="CG35" si="127">CF35*(1+CG$40)</f>
        <v>1191.383156846691</v>
      </c>
      <c r="CH35" s="10">
        <f t="shared" ref="CH35" si="128">CG35*(1+CH$40)</f>
        <v>1209.2539041993912</v>
      </c>
      <c r="CI35" s="10">
        <f t="shared" ref="CI35" si="129">CH35*(1+CI$40)</f>
        <v>1227.392712762382</v>
      </c>
      <c r="CJ35" s="10">
        <f t="shared" ref="CJ35" si="130">CI35*(1+CJ$40)</f>
        <v>1245.8036034538175</v>
      </c>
      <c r="CK35" s="10">
        <f t="shared" ref="CK35" si="131">CJ35*(1+CK$40)</f>
        <v>1264.4906575056245</v>
      </c>
      <c r="CM35" s="10">
        <f>SUMIF($L$2:$CK$2,CM$3,$L35:$CK35)</f>
        <v>0</v>
      </c>
      <c r="CN35" s="10">
        <f>SUMIF($L$2:$CK$2,CN$3,$L35:$CK35)</f>
        <v>6457.8072499999998</v>
      </c>
      <c r="CO35" s="10">
        <f>SUMIF($L$2:$CK$2,CO$3,$L35:$CK35)</f>
        <v>7870.1833060746822</v>
      </c>
      <c r="CP35" s="10">
        <f>SUMIF($L$2:$CK$2,CP$3,$L35:$CK35)</f>
        <v>9323.4212755399058</v>
      </c>
      <c r="CQ35" s="10">
        <f>SUMIF($L$2:$CK$2,CQ$3,$L35:$CK35)</f>
        <v>10618.777431072742</v>
      </c>
      <c r="CR35" s="10">
        <f t="shared" ref="CR35:CS35" si="132">SUMIF($L$2:$CK$2,CR$3,$L35:$CK35)</f>
        <v>11963.744846054917</v>
      </c>
      <c r="CS35" s="10">
        <f t="shared" si="132"/>
        <v>13999.325007375832</v>
      </c>
    </row>
    <row r="36" spans="2:99" x14ac:dyDescent="0.2">
      <c r="B36" s="190" t="s">
        <v>317</v>
      </c>
      <c r="C36" s="91"/>
      <c r="D36" s="9"/>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M36" s="205"/>
      <c r="CN36" s="205"/>
      <c r="CO36" s="205">
        <f t="shared" ref="CO36" si="133">CO35/CN35-1</f>
        <v>0.21870830165683297</v>
      </c>
      <c r="CP36" s="205">
        <f t="shared" ref="CP36:CQ36" si="134">CP35/CO35-1</f>
        <v>0.18465109552702885</v>
      </c>
      <c r="CQ36" s="205">
        <f t="shared" si="134"/>
        <v>0.13893571010581884</v>
      </c>
      <c r="CR36" s="205">
        <f t="shared" ref="CR36" si="135">CR35/CQ35-1</f>
        <v>0.12665934696460646</v>
      </c>
      <c r="CS36" s="205">
        <f t="shared" ref="CS36" si="136">CS35/CR35-1</f>
        <v>0.1701457350949902</v>
      </c>
    </row>
    <row r="37" spans="2:99" x14ac:dyDescent="0.2">
      <c r="B37" s="92" t="s">
        <v>5</v>
      </c>
      <c r="C37" s="91" t="s">
        <v>4</v>
      </c>
      <c r="D37" s="9"/>
      <c r="F37" s="10"/>
      <c r="G37" s="10"/>
      <c r="H37" s="10"/>
      <c r="I37" s="10"/>
      <c r="J37" s="10"/>
      <c r="K37" s="10"/>
      <c r="L37" s="10"/>
      <c r="M37" s="10"/>
      <c r="N37" s="10"/>
      <c r="O37" s="10">
        <v>0</v>
      </c>
      <c r="P37" s="10">
        <v>0</v>
      </c>
      <c r="Q37" s="10">
        <v>0</v>
      </c>
      <c r="R37" s="10"/>
      <c r="S37" s="10"/>
      <c r="T37" s="10"/>
      <c r="U37" s="10"/>
      <c r="V37" s="10"/>
      <c r="W37" s="10">
        <v>85.4</v>
      </c>
      <c r="X37" s="10">
        <v>56.524999999999999</v>
      </c>
      <c r="Y37" s="10">
        <v>30.9</v>
      </c>
      <c r="Z37" s="10">
        <v>51.4</v>
      </c>
      <c r="AA37" s="10">
        <v>58.35</v>
      </c>
      <c r="AB37" s="10">
        <v>20.21</v>
      </c>
      <c r="AC37" s="10">
        <v>49.89</v>
      </c>
      <c r="AD37" s="10">
        <v>16.600000000000001</v>
      </c>
      <c r="AE37" s="10">
        <v>33.539000000000001</v>
      </c>
      <c r="AF37" s="10">
        <v>44.116</v>
      </c>
      <c r="AG37" s="10">
        <f t="shared" ref="AG37:BX37" si="137">AF37*(1+AG$40)</f>
        <v>44.777739999999994</v>
      </c>
      <c r="AH37" s="10">
        <f t="shared" si="137"/>
        <v>45.44940609999999</v>
      </c>
      <c r="AI37" s="10">
        <f t="shared" si="137"/>
        <v>45.676653130499986</v>
      </c>
      <c r="AJ37" s="10">
        <f t="shared" si="137"/>
        <v>45.905036396152482</v>
      </c>
      <c r="AK37" s="10">
        <f t="shared" si="137"/>
        <v>46.134561578133237</v>
      </c>
      <c r="AL37" s="10">
        <f t="shared" si="137"/>
        <v>46.3652343860239</v>
      </c>
      <c r="AM37" s="10">
        <f t="shared" si="137"/>
        <v>47.060712901814256</v>
      </c>
      <c r="AN37" s="10">
        <f t="shared" si="137"/>
        <v>47.766623595341464</v>
      </c>
      <c r="AO37" s="10">
        <f t="shared" si="137"/>
        <v>48.483122949271582</v>
      </c>
      <c r="AP37" s="10">
        <f t="shared" si="137"/>
        <v>48.967954178764302</v>
      </c>
      <c r="AQ37" s="10">
        <f t="shared" si="137"/>
        <v>49.457633720551947</v>
      </c>
      <c r="AR37" s="10">
        <f t="shared" si="137"/>
        <v>50.19949822636022</v>
      </c>
      <c r="AS37" s="10">
        <f t="shared" si="137"/>
        <v>50.952490699755622</v>
      </c>
      <c r="AT37" s="10">
        <f t="shared" si="137"/>
        <v>51.716778060251954</v>
      </c>
      <c r="AU37" s="10">
        <f t="shared" si="137"/>
        <v>52.233945840854474</v>
      </c>
      <c r="AV37" s="10">
        <f t="shared" si="137"/>
        <v>52.75628529926302</v>
      </c>
      <c r="AW37" s="10">
        <f t="shared" si="137"/>
        <v>53.283848152255651</v>
      </c>
      <c r="AX37" s="10">
        <f t="shared" si="137"/>
        <v>53.816686633778211</v>
      </c>
      <c r="AY37" s="10">
        <f t="shared" si="137"/>
        <v>54.623936933284881</v>
      </c>
      <c r="AZ37" s="10">
        <f t="shared" si="137"/>
        <v>55.443295987284152</v>
      </c>
      <c r="BA37" s="10">
        <f t="shared" si="137"/>
        <v>56.274945427093407</v>
      </c>
      <c r="BB37" s="10">
        <f t="shared" si="137"/>
        <v>56.556320154228871</v>
      </c>
      <c r="BC37" s="10">
        <f t="shared" si="137"/>
        <v>56.839101755000009</v>
      </c>
      <c r="BD37" s="10">
        <f t="shared" si="137"/>
        <v>57.691688281325</v>
      </c>
      <c r="BE37" s="10">
        <f t="shared" si="137"/>
        <v>58.557063605544869</v>
      </c>
      <c r="BF37" s="10">
        <f t="shared" si="137"/>
        <v>59.435419559628038</v>
      </c>
      <c r="BG37" s="10">
        <f t="shared" si="137"/>
        <v>59.732596657426171</v>
      </c>
      <c r="BH37" s="10">
        <f t="shared" si="137"/>
        <v>60.031259640713294</v>
      </c>
      <c r="BI37" s="10">
        <f t="shared" si="137"/>
        <v>60.331415938916855</v>
      </c>
      <c r="BJ37" s="10">
        <f t="shared" si="137"/>
        <v>60.633073018611434</v>
      </c>
      <c r="BK37" s="10">
        <f t="shared" si="137"/>
        <v>61.5425691138906</v>
      </c>
      <c r="BL37" s="10">
        <f t="shared" si="137"/>
        <v>62.465707650598951</v>
      </c>
      <c r="BM37" s="10">
        <f t="shared" si="137"/>
        <v>63.402693265357932</v>
      </c>
      <c r="BN37" s="10">
        <f t="shared" si="137"/>
        <v>63.719706731684717</v>
      </c>
      <c r="BO37" s="10">
        <f t="shared" si="137"/>
        <v>64.038305265343141</v>
      </c>
      <c r="BP37" s="10">
        <f t="shared" si="137"/>
        <v>64.998879844323284</v>
      </c>
      <c r="BQ37" s="10">
        <f t="shared" si="137"/>
        <v>65.973863041988125</v>
      </c>
      <c r="BR37" s="10">
        <f t="shared" si="137"/>
        <v>66.963470987617939</v>
      </c>
      <c r="BS37" s="10">
        <f t="shared" si="137"/>
        <v>67.29828834255602</v>
      </c>
      <c r="BT37" s="10">
        <f t="shared" si="137"/>
        <v>67.634779784268787</v>
      </c>
      <c r="BU37" s="10">
        <f t="shared" si="137"/>
        <v>67.972953683190127</v>
      </c>
      <c r="BV37" s="10">
        <f t="shared" si="137"/>
        <v>68.312818451606077</v>
      </c>
      <c r="BW37" s="10">
        <f t="shared" si="137"/>
        <v>69.337510728380167</v>
      </c>
      <c r="BX37" s="10">
        <f t="shared" si="137"/>
        <v>70.377573389305866</v>
      </c>
      <c r="BY37" s="10">
        <f t="shared" ref="BY37" si="138">BX37*(1+BY$40)</f>
        <v>71.433236990145446</v>
      </c>
      <c r="BZ37" s="10">
        <f t="shared" ref="BZ37" si="139">BY37*(1+BZ$40)</f>
        <v>72.504735544997615</v>
      </c>
      <c r="CA37" s="10">
        <f t="shared" ref="CA37" si="140">BZ37*(1+CA$40)</f>
        <v>73.592306578172568</v>
      </c>
      <c r="CB37" s="10">
        <f t="shared" ref="CB37" si="141">CA37*(1+CB$40)</f>
        <v>74.696191176845147</v>
      </c>
      <c r="CC37" s="10">
        <f t="shared" ref="CC37" si="142">CB37*(1+CC$40)</f>
        <v>75.816634044497818</v>
      </c>
      <c r="CD37" s="10">
        <f t="shared" ref="CD37" si="143">CC37*(1+CD$40)</f>
        <v>76.953883555165277</v>
      </c>
      <c r="CE37" s="10">
        <f t="shared" ref="CE37" si="144">CD37*(1+CE$40)</f>
        <v>78.108191808492748</v>
      </c>
      <c r="CF37" s="10">
        <f t="shared" ref="CF37" si="145">CE37*(1+CF$40)</f>
        <v>79.279814685620138</v>
      </c>
      <c r="CG37" s="10">
        <f t="shared" ref="CG37" si="146">CF37*(1+CG$40)</f>
        <v>80.469011905904438</v>
      </c>
      <c r="CH37" s="10">
        <f t="shared" ref="CH37" si="147">CG37*(1+CH$40)</f>
        <v>81.676047084492993</v>
      </c>
      <c r="CI37" s="10">
        <f t="shared" ref="CI37" si="148">CH37*(1+CI$40)</f>
        <v>82.901187790760375</v>
      </c>
      <c r="CJ37" s="10">
        <f t="shared" ref="CJ37" si="149">CI37*(1+CJ$40)</f>
        <v>84.144705607621773</v>
      </c>
      <c r="CK37" s="10">
        <f t="shared" ref="CK37" si="150">CJ37*(1+CK$40)</f>
        <v>85.406876191736089</v>
      </c>
      <c r="CM37" s="10">
        <f>SUMIF($L$2:$CK$2,CM$3,$L37:$CK37)</f>
        <v>0</v>
      </c>
      <c r="CN37" s="10">
        <f>SUMIF($L$2:$CK$2,CN$3,$L37:$CK37)</f>
        <v>352.67500000000001</v>
      </c>
      <c r="CO37" s="10">
        <f>SUMIF($L$2:$CK$2,CO$3,$L37:$CK37)</f>
        <v>511.87409103723689</v>
      </c>
      <c r="CP37" s="10">
        <f>SUMIF($L$2:$CK$2,CP$3,$L37:$CK37)</f>
        <v>629.72729915949787</v>
      </c>
      <c r="CQ37" s="10">
        <f>SUMIF($L$2:$CK$2,CQ$3,$L37:$CK37)</f>
        <v>717.21890864124202</v>
      </c>
      <c r="CR37" s="10">
        <f t="shared" ref="CR37:CS37" si="151">SUMIF($L$2:$CK$2,CR$3,$L37:$CK37)</f>
        <v>808.06138724040977</v>
      </c>
      <c r="CS37" s="10">
        <f t="shared" si="151"/>
        <v>945.54958597430698</v>
      </c>
    </row>
    <row r="38" spans="2:99" x14ac:dyDescent="0.2">
      <c r="B38" s="190" t="s">
        <v>317</v>
      </c>
      <c r="C38" s="9"/>
      <c r="D38" s="9"/>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M38" s="205"/>
      <c r="CN38" s="205"/>
      <c r="CO38" s="205">
        <f t="shared" ref="CO38" si="152">CO37/CN37-1</f>
        <v>0.45140452551849974</v>
      </c>
      <c r="CP38" s="205">
        <f t="shared" ref="CP38:CQ38" si="153">CP37/CO37-1</f>
        <v>0.23023866647254776</v>
      </c>
      <c r="CQ38" s="205">
        <f t="shared" si="153"/>
        <v>0.13893571010581862</v>
      </c>
      <c r="CR38" s="205">
        <f t="shared" ref="CR38" si="154">CR37/CQ37-1</f>
        <v>0.1266593469646069</v>
      </c>
      <c r="CS38" s="205">
        <f t="shared" ref="CS38" si="155">CS37/CR37-1</f>
        <v>0.17014573509499042</v>
      </c>
    </row>
    <row r="39" spans="2:99" x14ac:dyDescent="0.2">
      <c r="B39" s="20" t="s">
        <v>6</v>
      </c>
      <c r="C39" s="23" t="s">
        <v>4</v>
      </c>
      <c r="D39" s="102"/>
      <c r="F39" s="24">
        <f t="shared" ref="F39:AK39" si="156">F35+F37</f>
        <v>0</v>
      </c>
      <c r="G39" s="24">
        <f t="shared" si="156"/>
        <v>0</v>
      </c>
      <c r="H39" s="24">
        <f t="shared" si="156"/>
        <v>0</v>
      </c>
      <c r="I39" s="24">
        <f t="shared" si="156"/>
        <v>0</v>
      </c>
      <c r="J39" s="24">
        <f t="shared" si="156"/>
        <v>0</v>
      </c>
      <c r="K39" s="24">
        <f t="shared" si="156"/>
        <v>0</v>
      </c>
      <c r="L39" s="24">
        <f t="shared" si="156"/>
        <v>0</v>
      </c>
      <c r="M39" s="24">
        <f t="shared" si="156"/>
        <v>0</v>
      </c>
      <c r="N39" s="24">
        <f t="shared" si="156"/>
        <v>0</v>
      </c>
      <c r="O39" s="24">
        <f t="shared" si="156"/>
        <v>0</v>
      </c>
      <c r="P39" s="24">
        <f t="shared" si="156"/>
        <v>0</v>
      </c>
      <c r="Q39" s="24">
        <f t="shared" si="156"/>
        <v>0</v>
      </c>
      <c r="R39" s="24">
        <f t="shared" si="156"/>
        <v>76.668000000000006</v>
      </c>
      <c r="S39" s="24">
        <f t="shared" si="156"/>
        <v>121.527</v>
      </c>
      <c r="T39" s="24">
        <f t="shared" si="156"/>
        <v>55.683</v>
      </c>
      <c r="U39" s="24">
        <f t="shared" si="156"/>
        <v>558.54200000000003</v>
      </c>
      <c r="V39" s="24">
        <f t="shared" si="156"/>
        <v>522.66300000000001</v>
      </c>
      <c r="W39" s="24">
        <f t="shared" si="156"/>
        <v>476.82100000000003</v>
      </c>
      <c r="X39" s="24">
        <f t="shared" si="156"/>
        <v>738.79500999999993</v>
      </c>
      <c r="Y39" s="24">
        <f t="shared" si="156"/>
        <v>625.0086</v>
      </c>
      <c r="Z39" s="24">
        <f t="shared" si="156"/>
        <v>673.59656000000007</v>
      </c>
      <c r="AA39" s="24">
        <f t="shared" si="156"/>
        <v>849.67028000000005</v>
      </c>
      <c r="AB39" s="24">
        <f t="shared" si="156"/>
        <v>739.44199000000003</v>
      </c>
      <c r="AC39" s="24">
        <f t="shared" si="156"/>
        <v>1372.0658100000001</v>
      </c>
      <c r="AD39" s="24">
        <f t="shared" si="156"/>
        <v>494.11700000000002</v>
      </c>
      <c r="AE39" s="24">
        <f t="shared" si="156"/>
        <v>589.99099999999999</v>
      </c>
      <c r="AF39" s="24">
        <f t="shared" si="156"/>
        <v>697.27499999999998</v>
      </c>
      <c r="AG39" s="24">
        <f t="shared" si="156"/>
        <v>707.73412499999995</v>
      </c>
      <c r="AH39" s="24">
        <f t="shared" si="156"/>
        <v>718.35013687499998</v>
      </c>
      <c r="AI39" s="24">
        <f t="shared" si="156"/>
        <v>721.94188755937489</v>
      </c>
      <c r="AJ39" s="24">
        <f t="shared" si="156"/>
        <v>725.55159699717171</v>
      </c>
      <c r="AK39" s="24">
        <f t="shared" si="156"/>
        <v>729.17935498215752</v>
      </c>
      <c r="AL39" s="24">
        <f t="shared" ref="AL39:BQ39" si="157">AL35+AL37</f>
        <v>732.82525175706826</v>
      </c>
      <c r="AM39" s="24">
        <f t="shared" si="157"/>
        <v>743.81763053342422</v>
      </c>
      <c r="AN39" s="24">
        <f t="shared" si="157"/>
        <v>754.97489499142557</v>
      </c>
      <c r="AO39" s="24">
        <f t="shared" si="157"/>
        <v>766.29951841629691</v>
      </c>
      <c r="AP39" s="24">
        <f t="shared" si="157"/>
        <v>773.96251360045994</v>
      </c>
      <c r="AQ39" s="24">
        <f t="shared" si="157"/>
        <v>781.70213873646446</v>
      </c>
      <c r="AR39" s="24">
        <f t="shared" si="157"/>
        <v>793.4276708175114</v>
      </c>
      <c r="AS39" s="24">
        <f t="shared" si="157"/>
        <v>805.32908587977397</v>
      </c>
      <c r="AT39" s="24">
        <f t="shared" si="157"/>
        <v>817.40902216797053</v>
      </c>
      <c r="AU39" s="24">
        <f t="shared" si="157"/>
        <v>825.5831123896503</v>
      </c>
      <c r="AV39" s="24">
        <f t="shared" si="157"/>
        <v>833.83894351354672</v>
      </c>
      <c r="AW39" s="24">
        <f t="shared" si="157"/>
        <v>842.17733294868219</v>
      </c>
      <c r="AX39" s="24">
        <f t="shared" si="157"/>
        <v>850.59910627816896</v>
      </c>
      <c r="AY39" s="24">
        <f t="shared" si="157"/>
        <v>863.35809287234144</v>
      </c>
      <c r="AZ39" s="24">
        <f t="shared" si="157"/>
        <v>876.30846426542644</v>
      </c>
      <c r="BA39" s="24">
        <f t="shared" si="157"/>
        <v>889.45309122940773</v>
      </c>
      <c r="BB39" s="24">
        <f t="shared" si="157"/>
        <v>893.9003566855547</v>
      </c>
      <c r="BC39" s="24">
        <f t="shared" si="157"/>
        <v>898.36985846898244</v>
      </c>
      <c r="BD39" s="24">
        <f t="shared" si="157"/>
        <v>911.84540634601706</v>
      </c>
      <c r="BE39" s="24">
        <f t="shared" si="157"/>
        <v>925.52308744120717</v>
      </c>
      <c r="BF39" s="24">
        <f t="shared" si="157"/>
        <v>939.40593375282526</v>
      </c>
      <c r="BG39" s="24">
        <f t="shared" si="157"/>
        <v>944.10296342158927</v>
      </c>
      <c r="BH39" s="24">
        <f t="shared" si="157"/>
        <v>948.82347823869713</v>
      </c>
      <c r="BI39" s="24">
        <f t="shared" si="157"/>
        <v>953.56759562989055</v>
      </c>
      <c r="BJ39" s="24">
        <f t="shared" si="157"/>
        <v>958.33543360803992</v>
      </c>
      <c r="BK39" s="24">
        <f t="shared" si="157"/>
        <v>972.71046511216048</v>
      </c>
      <c r="BL39" s="24">
        <f t="shared" si="157"/>
        <v>987.3011220888427</v>
      </c>
      <c r="BM39" s="24">
        <f t="shared" si="157"/>
        <v>1002.1106389201752</v>
      </c>
      <c r="BN39" s="24">
        <f t="shared" si="157"/>
        <v>1007.121192114776</v>
      </c>
      <c r="BO39" s="24">
        <f t="shared" si="157"/>
        <v>1012.1567980753498</v>
      </c>
      <c r="BP39" s="24">
        <f t="shared" si="157"/>
        <v>1027.33915004648</v>
      </c>
      <c r="BQ39" s="24">
        <f t="shared" si="157"/>
        <v>1042.7492372971769</v>
      </c>
      <c r="BR39" s="24">
        <f t="shared" ref="BR39:BX39" si="158">BR35+BR37</f>
        <v>1058.3904758566346</v>
      </c>
      <c r="BS39" s="24">
        <f t="shared" si="158"/>
        <v>1063.6824282359175</v>
      </c>
      <c r="BT39" s="24">
        <f t="shared" si="158"/>
        <v>1069.0008403770971</v>
      </c>
      <c r="BU39" s="24">
        <f t="shared" si="158"/>
        <v>1074.3458445789825</v>
      </c>
      <c r="BV39" s="24">
        <f t="shared" si="158"/>
        <v>1079.7175738018773</v>
      </c>
      <c r="BW39" s="24">
        <f t="shared" si="158"/>
        <v>1095.9133374089054</v>
      </c>
      <c r="BX39" s="24">
        <f t="shared" si="158"/>
        <v>1112.3520374700386</v>
      </c>
      <c r="BY39" s="24">
        <f t="shared" ref="BY39:CK39" si="159">BY35+BY37</f>
        <v>1129.0373180320889</v>
      </c>
      <c r="BZ39" s="24">
        <f t="shared" si="159"/>
        <v>1145.9728778025703</v>
      </c>
      <c r="CA39" s="24">
        <f t="shared" si="159"/>
        <v>1163.1624709696089</v>
      </c>
      <c r="CB39" s="24">
        <f t="shared" si="159"/>
        <v>1180.6099080341528</v>
      </c>
      <c r="CC39" s="24">
        <f t="shared" si="159"/>
        <v>1198.319056654665</v>
      </c>
      <c r="CD39" s="24">
        <f t="shared" si="159"/>
        <v>1216.2938425044849</v>
      </c>
      <c r="CE39" s="24">
        <f t="shared" si="159"/>
        <v>1234.5382501420522</v>
      </c>
      <c r="CF39" s="24">
        <f t="shared" si="159"/>
        <v>1253.0563238941827</v>
      </c>
      <c r="CG39" s="24">
        <f t="shared" si="159"/>
        <v>1271.8521687525954</v>
      </c>
      <c r="CH39" s="24">
        <f t="shared" si="159"/>
        <v>1290.9299512838841</v>
      </c>
      <c r="CI39" s="24">
        <f t="shared" si="159"/>
        <v>1310.2939005531423</v>
      </c>
      <c r="CJ39" s="24">
        <f t="shared" si="159"/>
        <v>1329.9483090614392</v>
      </c>
      <c r="CK39" s="24">
        <f t="shared" si="159"/>
        <v>1349.8975336973606</v>
      </c>
      <c r="CM39" s="24">
        <f>SUMIF($L$2:$CK$2,CM$3,$L39:$CK39)</f>
        <v>0</v>
      </c>
      <c r="CN39" s="24">
        <f>SUMIF($L$2:$CK$2,CN$3,$L39:$CK39)</f>
        <v>6810.48225</v>
      </c>
      <c r="CO39" s="24">
        <f>SUMIF($L$2:$CK$2,CO$3,$L39:$CK39)</f>
        <v>8382.0573971119193</v>
      </c>
      <c r="CP39" s="24">
        <f>SUMIF($L$2:$CK$2,CP$3,$L39:$CK39)</f>
        <v>9953.148574699404</v>
      </c>
      <c r="CQ39" s="24">
        <f>SUMIF($L$2:$CK$2,CQ$3,$L39:$CK39)</f>
        <v>11335.996339713982</v>
      </c>
      <c r="CR39" s="24">
        <f t="shared" ref="CR39:CS39" si="160">SUMIF($L$2:$CK$2,CR$3,$L39:$CK39)</f>
        <v>12771.806233295325</v>
      </c>
      <c r="CS39" s="24">
        <f t="shared" si="160"/>
        <v>14944.874593350138</v>
      </c>
    </row>
    <row r="40" spans="2:99" s="27" customFormat="1" x14ac:dyDescent="0.2">
      <c r="B40" s="207" t="s">
        <v>318</v>
      </c>
      <c r="L40" s="28"/>
      <c r="M40" s="28"/>
      <c r="N40" s="28"/>
      <c r="O40" s="28"/>
      <c r="P40" s="28"/>
      <c r="Q40" s="208"/>
      <c r="R40" s="208"/>
      <c r="S40" s="208"/>
      <c r="T40" s="208"/>
      <c r="U40" s="208"/>
      <c r="V40" s="208"/>
      <c r="W40" s="208"/>
      <c r="X40" s="208"/>
      <c r="Y40" s="208"/>
      <c r="Z40" s="208"/>
      <c r="AA40" s="208"/>
      <c r="AB40" s="208"/>
      <c r="AC40" s="208"/>
      <c r="AD40" s="208">
        <v>5.0000000000000001E-3</v>
      </c>
      <c r="AE40" s="208">
        <v>5.0000000000000001E-3</v>
      </c>
      <c r="AF40" s="208">
        <v>1.4999999999999999E-2</v>
      </c>
      <c r="AG40" s="208">
        <v>1.4999999999999999E-2</v>
      </c>
      <c r="AH40" s="208">
        <v>1.4999999999999999E-2</v>
      </c>
      <c r="AI40" s="208">
        <v>5.0000000000000001E-3</v>
      </c>
      <c r="AJ40" s="208">
        <v>5.0000000000000001E-3</v>
      </c>
      <c r="AK40" s="208">
        <v>5.0000000000000001E-3</v>
      </c>
      <c r="AL40" s="208">
        <v>5.0000000000000001E-3</v>
      </c>
      <c r="AM40" s="208">
        <v>1.4999999999999999E-2</v>
      </c>
      <c r="AN40" s="208">
        <v>1.4999999999999999E-2</v>
      </c>
      <c r="AO40" s="208">
        <v>1.4999999999999999E-2</v>
      </c>
      <c r="AP40" s="208">
        <v>0.01</v>
      </c>
      <c r="AQ40" s="208">
        <v>0.01</v>
      </c>
      <c r="AR40" s="208">
        <v>1.4999999999999999E-2</v>
      </c>
      <c r="AS40" s="208">
        <v>1.4999999999999999E-2</v>
      </c>
      <c r="AT40" s="208">
        <v>1.4999999999999999E-2</v>
      </c>
      <c r="AU40" s="208">
        <v>0.01</v>
      </c>
      <c r="AV40" s="208">
        <v>0.01</v>
      </c>
      <c r="AW40" s="208">
        <v>0.01</v>
      </c>
      <c r="AX40" s="208">
        <v>0.01</v>
      </c>
      <c r="AY40" s="208">
        <v>1.4999999999999999E-2</v>
      </c>
      <c r="AZ40" s="208">
        <v>1.4999999999999999E-2</v>
      </c>
      <c r="BA40" s="208">
        <v>1.4999999999999999E-2</v>
      </c>
      <c r="BB40" s="208">
        <v>5.0000000000000001E-3</v>
      </c>
      <c r="BC40" s="208">
        <v>5.0000000000000001E-3</v>
      </c>
      <c r="BD40" s="208">
        <v>1.4999999999999999E-2</v>
      </c>
      <c r="BE40" s="208">
        <v>1.4999999999999999E-2</v>
      </c>
      <c r="BF40" s="208">
        <v>1.4999999999999999E-2</v>
      </c>
      <c r="BG40" s="208">
        <v>5.0000000000000001E-3</v>
      </c>
      <c r="BH40" s="208">
        <v>5.0000000000000001E-3</v>
      </c>
      <c r="BI40" s="208">
        <v>5.0000000000000001E-3</v>
      </c>
      <c r="BJ40" s="208">
        <v>5.0000000000000001E-3</v>
      </c>
      <c r="BK40" s="208">
        <v>1.4999999999999999E-2</v>
      </c>
      <c r="BL40" s="208">
        <v>1.4999999999999999E-2</v>
      </c>
      <c r="BM40" s="208">
        <v>1.4999999999999999E-2</v>
      </c>
      <c r="BN40" s="208">
        <v>5.0000000000000001E-3</v>
      </c>
      <c r="BO40" s="208">
        <v>5.0000000000000001E-3</v>
      </c>
      <c r="BP40" s="208">
        <v>1.4999999999999999E-2</v>
      </c>
      <c r="BQ40" s="208">
        <v>1.4999999999999999E-2</v>
      </c>
      <c r="BR40" s="208">
        <v>1.4999999999999999E-2</v>
      </c>
      <c r="BS40" s="208">
        <v>5.0000000000000001E-3</v>
      </c>
      <c r="BT40" s="208">
        <v>5.0000000000000001E-3</v>
      </c>
      <c r="BU40" s="208">
        <v>5.0000000000000001E-3</v>
      </c>
      <c r="BV40" s="208">
        <v>5.0000000000000001E-3</v>
      </c>
      <c r="BW40" s="208">
        <v>1.4999999999999999E-2</v>
      </c>
      <c r="BX40" s="208">
        <v>1.4999999999999999E-2</v>
      </c>
      <c r="BY40" s="208">
        <f>BX40</f>
        <v>1.4999999999999999E-2</v>
      </c>
      <c r="BZ40" s="208">
        <f t="shared" ref="BZ40:CK40" si="161">BY40</f>
        <v>1.4999999999999999E-2</v>
      </c>
      <c r="CA40" s="208">
        <f t="shared" si="161"/>
        <v>1.4999999999999999E-2</v>
      </c>
      <c r="CB40" s="208">
        <f t="shared" si="161"/>
        <v>1.4999999999999999E-2</v>
      </c>
      <c r="CC40" s="208">
        <f t="shared" si="161"/>
        <v>1.4999999999999999E-2</v>
      </c>
      <c r="CD40" s="208">
        <f t="shared" si="161"/>
        <v>1.4999999999999999E-2</v>
      </c>
      <c r="CE40" s="208">
        <f t="shared" si="161"/>
        <v>1.4999999999999999E-2</v>
      </c>
      <c r="CF40" s="208">
        <f t="shared" si="161"/>
        <v>1.4999999999999999E-2</v>
      </c>
      <c r="CG40" s="208">
        <f t="shared" si="161"/>
        <v>1.4999999999999999E-2</v>
      </c>
      <c r="CH40" s="208">
        <f t="shared" si="161"/>
        <v>1.4999999999999999E-2</v>
      </c>
      <c r="CI40" s="208">
        <f t="shared" si="161"/>
        <v>1.4999999999999999E-2</v>
      </c>
      <c r="CJ40" s="208">
        <f t="shared" si="161"/>
        <v>1.4999999999999999E-2</v>
      </c>
      <c r="CK40" s="208">
        <f t="shared" si="161"/>
        <v>1.4999999999999999E-2</v>
      </c>
      <c r="CP40" s="208"/>
      <c r="CQ40" s="208"/>
      <c r="CR40" s="208"/>
      <c r="CS40" s="208"/>
      <c r="CT40" s="208"/>
      <c r="CU40" s="208"/>
    </row>
    <row r="42" spans="2:99" x14ac:dyDescent="0.2">
      <c r="B42" s="12" t="s">
        <v>66</v>
      </c>
    </row>
    <row r="43" spans="2:99" x14ac:dyDescent="0.2">
      <c r="B43" s="200" t="s">
        <v>1</v>
      </c>
      <c r="C43" s="200" t="s">
        <v>2</v>
      </c>
      <c r="D43" s="200" t="s">
        <v>38</v>
      </c>
      <c r="F43" s="201">
        <f t="shared" ref="F43:AK43" si="162">F3</f>
        <v>45292</v>
      </c>
      <c r="G43" s="201">
        <f t="shared" si="162"/>
        <v>45323</v>
      </c>
      <c r="H43" s="201">
        <f t="shared" si="162"/>
        <v>45352</v>
      </c>
      <c r="I43" s="201">
        <f t="shared" si="162"/>
        <v>45383</v>
      </c>
      <c r="J43" s="201">
        <f t="shared" si="162"/>
        <v>45413</v>
      </c>
      <c r="K43" s="201">
        <f t="shared" si="162"/>
        <v>45444</v>
      </c>
      <c r="L43" s="201">
        <f t="shared" si="162"/>
        <v>45474</v>
      </c>
      <c r="M43" s="201">
        <f t="shared" si="162"/>
        <v>45505</v>
      </c>
      <c r="N43" s="201">
        <f t="shared" si="162"/>
        <v>45536</v>
      </c>
      <c r="O43" s="201">
        <f t="shared" si="162"/>
        <v>45566</v>
      </c>
      <c r="P43" s="201">
        <f t="shared" si="162"/>
        <v>45597</v>
      </c>
      <c r="Q43" s="201">
        <f t="shared" si="162"/>
        <v>45627</v>
      </c>
      <c r="R43" s="201">
        <f t="shared" si="162"/>
        <v>45658</v>
      </c>
      <c r="S43" s="201">
        <f t="shared" si="162"/>
        <v>45689</v>
      </c>
      <c r="T43" s="201">
        <f t="shared" si="162"/>
        <v>45717</v>
      </c>
      <c r="U43" s="201">
        <f t="shared" si="162"/>
        <v>45748</v>
      </c>
      <c r="V43" s="201">
        <f t="shared" si="162"/>
        <v>45778</v>
      </c>
      <c r="W43" s="201">
        <f t="shared" si="162"/>
        <v>45809</v>
      </c>
      <c r="X43" s="201">
        <f t="shared" si="162"/>
        <v>45839</v>
      </c>
      <c r="Y43" s="201">
        <f t="shared" si="162"/>
        <v>45870</v>
      </c>
      <c r="Z43" s="201">
        <f t="shared" si="162"/>
        <v>45901</v>
      </c>
      <c r="AA43" s="201">
        <f t="shared" si="162"/>
        <v>45931</v>
      </c>
      <c r="AB43" s="201">
        <f t="shared" si="162"/>
        <v>45962</v>
      </c>
      <c r="AC43" s="201">
        <f t="shared" si="162"/>
        <v>45992</v>
      </c>
      <c r="AD43" s="201">
        <f t="shared" si="162"/>
        <v>46023</v>
      </c>
      <c r="AE43" s="201">
        <f t="shared" si="162"/>
        <v>46054</v>
      </c>
      <c r="AF43" s="201">
        <f t="shared" si="162"/>
        <v>46082</v>
      </c>
      <c r="AG43" s="201">
        <f t="shared" si="162"/>
        <v>46113</v>
      </c>
      <c r="AH43" s="201">
        <f t="shared" si="162"/>
        <v>46143</v>
      </c>
      <c r="AI43" s="201">
        <f t="shared" si="162"/>
        <v>46174</v>
      </c>
      <c r="AJ43" s="201">
        <f t="shared" si="162"/>
        <v>46204</v>
      </c>
      <c r="AK43" s="201">
        <f t="shared" si="162"/>
        <v>46235</v>
      </c>
      <c r="AL43" s="201">
        <f t="shared" ref="AL43:BQ43" si="163">AL3</f>
        <v>46266</v>
      </c>
      <c r="AM43" s="201">
        <f t="shared" si="163"/>
        <v>46296</v>
      </c>
      <c r="AN43" s="201">
        <f t="shared" si="163"/>
        <v>46327</v>
      </c>
      <c r="AO43" s="201">
        <f t="shared" si="163"/>
        <v>46357</v>
      </c>
      <c r="AP43" s="201">
        <f t="shared" si="163"/>
        <v>46388</v>
      </c>
      <c r="AQ43" s="201">
        <f t="shared" si="163"/>
        <v>46419</v>
      </c>
      <c r="AR43" s="201">
        <f t="shared" si="163"/>
        <v>46447</v>
      </c>
      <c r="AS43" s="201">
        <f t="shared" si="163"/>
        <v>46478</v>
      </c>
      <c r="AT43" s="201">
        <f t="shared" si="163"/>
        <v>46508</v>
      </c>
      <c r="AU43" s="201">
        <f t="shared" si="163"/>
        <v>46539</v>
      </c>
      <c r="AV43" s="201">
        <f t="shared" si="163"/>
        <v>46569</v>
      </c>
      <c r="AW43" s="201">
        <f t="shared" si="163"/>
        <v>46600</v>
      </c>
      <c r="AX43" s="201">
        <f t="shared" si="163"/>
        <v>46631</v>
      </c>
      <c r="AY43" s="201">
        <f t="shared" si="163"/>
        <v>46661</v>
      </c>
      <c r="AZ43" s="201">
        <f t="shared" si="163"/>
        <v>46692</v>
      </c>
      <c r="BA43" s="201">
        <f t="shared" si="163"/>
        <v>46722</v>
      </c>
      <c r="BB43" s="201">
        <f t="shared" si="163"/>
        <v>46753</v>
      </c>
      <c r="BC43" s="201">
        <f t="shared" si="163"/>
        <v>46784</v>
      </c>
      <c r="BD43" s="201">
        <f t="shared" si="163"/>
        <v>46813</v>
      </c>
      <c r="BE43" s="201">
        <f t="shared" si="163"/>
        <v>46844</v>
      </c>
      <c r="BF43" s="201">
        <f t="shared" si="163"/>
        <v>46874</v>
      </c>
      <c r="BG43" s="201">
        <f t="shared" si="163"/>
        <v>46905</v>
      </c>
      <c r="BH43" s="201">
        <f t="shared" si="163"/>
        <v>46935</v>
      </c>
      <c r="BI43" s="201">
        <f t="shared" si="163"/>
        <v>46966</v>
      </c>
      <c r="BJ43" s="201">
        <f t="shared" si="163"/>
        <v>46997</v>
      </c>
      <c r="BK43" s="201">
        <f t="shared" si="163"/>
        <v>47027</v>
      </c>
      <c r="BL43" s="201">
        <f t="shared" si="163"/>
        <v>47058</v>
      </c>
      <c r="BM43" s="201">
        <f t="shared" si="163"/>
        <v>47088</v>
      </c>
      <c r="BN43" s="201">
        <f t="shared" si="163"/>
        <v>47119</v>
      </c>
      <c r="BO43" s="201">
        <f t="shared" si="163"/>
        <v>47150</v>
      </c>
      <c r="BP43" s="201">
        <f t="shared" si="163"/>
        <v>47178</v>
      </c>
      <c r="BQ43" s="201">
        <f t="shared" si="163"/>
        <v>47209</v>
      </c>
      <c r="BR43" s="201">
        <f t="shared" ref="BR43:BX43" si="164">BR3</f>
        <v>47239</v>
      </c>
      <c r="BS43" s="201">
        <f t="shared" si="164"/>
        <v>47270</v>
      </c>
      <c r="BT43" s="201">
        <f t="shared" si="164"/>
        <v>47300</v>
      </c>
      <c r="BU43" s="201">
        <f t="shared" si="164"/>
        <v>47331</v>
      </c>
      <c r="BV43" s="201">
        <f t="shared" si="164"/>
        <v>47362</v>
      </c>
      <c r="BW43" s="201">
        <f t="shared" si="164"/>
        <v>47392</v>
      </c>
      <c r="BX43" s="201">
        <f t="shared" si="164"/>
        <v>47423</v>
      </c>
      <c r="BY43" s="201">
        <f t="shared" ref="BY43:CK43" si="165">BY3</f>
        <v>47453</v>
      </c>
      <c r="BZ43" s="201">
        <f t="shared" si="165"/>
        <v>47484</v>
      </c>
      <c r="CA43" s="201">
        <f t="shared" si="165"/>
        <v>47515</v>
      </c>
      <c r="CB43" s="201">
        <f t="shared" si="165"/>
        <v>47543</v>
      </c>
      <c r="CC43" s="201">
        <f t="shared" si="165"/>
        <v>47574</v>
      </c>
      <c r="CD43" s="201">
        <f t="shared" si="165"/>
        <v>47604</v>
      </c>
      <c r="CE43" s="201">
        <f t="shared" si="165"/>
        <v>47635</v>
      </c>
      <c r="CF43" s="201">
        <f t="shared" si="165"/>
        <v>47665</v>
      </c>
      <c r="CG43" s="201">
        <f t="shared" si="165"/>
        <v>47696</v>
      </c>
      <c r="CH43" s="201">
        <f t="shared" si="165"/>
        <v>47727</v>
      </c>
      <c r="CI43" s="201">
        <f t="shared" si="165"/>
        <v>47757</v>
      </c>
      <c r="CJ43" s="201">
        <f t="shared" si="165"/>
        <v>47788</v>
      </c>
      <c r="CK43" s="201">
        <f t="shared" si="165"/>
        <v>47818</v>
      </c>
      <c r="CM43" s="202">
        <v>2024</v>
      </c>
      <c r="CN43" s="202">
        <f>CM43+1</f>
        <v>2025</v>
      </c>
      <c r="CO43" s="202">
        <f t="shared" ref="CO43" si="166">CN43+1</f>
        <v>2026</v>
      </c>
      <c r="CP43" s="202">
        <f t="shared" ref="CP43" si="167">CO43+1</f>
        <v>2027</v>
      </c>
      <c r="CQ43" s="202">
        <f t="shared" ref="CQ43" si="168">CP43+1</f>
        <v>2028</v>
      </c>
      <c r="CR43" s="202">
        <f t="shared" ref="CR43" si="169">CQ43+1</f>
        <v>2029</v>
      </c>
      <c r="CS43" s="202">
        <f t="shared" ref="CS43" si="170">CR43+1</f>
        <v>2030</v>
      </c>
    </row>
    <row r="44" spans="2:99" x14ac:dyDescent="0.2">
      <c r="B44" s="96" t="s">
        <v>7</v>
      </c>
      <c r="C44" s="96"/>
      <c r="D44" s="96"/>
      <c r="F44" s="21">
        <f t="shared" ref="F44:K44" si="171">SUM(F45:F46)</f>
        <v>0</v>
      </c>
      <c r="G44" s="21">
        <f t="shared" si="171"/>
        <v>0</v>
      </c>
      <c r="H44" s="21">
        <f t="shared" si="171"/>
        <v>0</v>
      </c>
      <c r="I44" s="21">
        <f t="shared" si="171"/>
        <v>0</v>
      </c>
      <c r="J44" s="21">
        <f t="shared" si="171"/>
        <v>0</v>
      </c>
      <c r="K44" s="21">
        <f t="shared" si="171"/>
        <v>0</v>
      </c>
      <c r="L44" s="21">
        <f t="shared" ref="L44:AW44" si="172">SUM(L45:L46)</f>
        <v>0</v>
      </c>
      <c r="M44" s="21">
        <f t="shared" si="172"/>
        <v>0</v>
      </c>
      <c r="N44" s="21">
        <f t="shared" si="172"/>
        <v>0</v>
      </c>
      <c r="O44" s="21">
        <f t="shared" si="172"/>
        <v>0</v>
      </c>
      <c r="P44" s="21">
        <f t="shared" si="172"/>
        <v>0</v>
      </c>
      <c r="Q44" s="21">
        <f t="shared" si="172"/>
        <v>0</v>
      </c>
      <c r="R44" s="21">
        <f t="shared" si="172"/>
        <v>65.199999999999989</v>
      </c>
      <c r="S44" s="21">
        <f t="shared" si="172"/>
        <v>107.2</v>
      </c>
      <c r="T44" s="21">
        <f t="shared" si="172"/>
        <v>49.8</v>
      </c>
      <c r="U44" s="21">
        <f t="shared" si="172"/>
        <v>635.19999999999993</v>
      </c>
      <c r="V44" s="21">
        <f t="shared" si="172"/>
        <v>541.04532600000005</v>
      </c>
      <c r="W44" s="21">
        <f t="shared" si="172"/>
        <v>476.15364199999999</v>
      </c>
      <c r="X44" s="21">
        <f t="shared" si="172"/>
        <v>444.75459601999995</v>
      </c>
      <c r="Y44" s="21">
        <f t="shared" si="172"/>
        <v>376.25517719999999</v>
      </c>
      <c r="Z44" s="21">
        <f t="shared" si="172"/>
        <v>405.50512911999999</v>
      </c>
      <c r="AA44" s="21">
        <f t="shared" si="172"/>
        <v>511.50150855999999</v>
      </c>
      <c r="AB44" s="21">
        <f t="shared" si="172"/>
        <v>445.14407797999996</v>
      </c>
      <c r="AC44" s="21">
        <f t="shared" si="172"/>
        <v>825.98361762000002</v>
      </c>
      <c r="AD44" s="21">
        <f t="shared" si="172"/>
        <v>297.45843399999995</v>
      </c>
      <c r="AE44" s="21">
        <f t="shared" si="172"/>
        <v>355.17458199999999</v>
      </c>
      <c r="AF44" s="21">
        <f t="shared" si="172"/>
        <v>419.75954999999993</v>
      </c>
      <c r="AG44" s="21">
        <f t="shared" si="172"/>
        <v>426.05594324999998</v>
      </c>
      <c r="AH44" s="21">
        <f t="shared" si="172"/>
        <v>432.44678239874997</v>
      </c>
      <c r="AI44" s="21">
        <f t="shared" si="172"/>
        <v>434.6090163107437</v>
      </c>
      <c r="AJ44" s="21">
        <f t="shared" si="172"/>
        <v>436.78206139229735</v>
      </c>
      <c r="AK44" s="21">
        <f t="shared" si="172"/>
        <v>438.96597169925883</v>
      </c>
      <c r="AL44" s="21">
        <f t="shared" si="172"/>
        <v>441.16080155775512</v>
      </c>
      <c r="AM44" s="21">
        <f t="shared" si="172"/>
        <v>447.77821358112135</v>
      </c>
      <c r="AN44" s="21">
        <f t="shared" si="172"/>
        <v>454.49488678483817</v>
      </c>
      <c r="AO44" s="21">
        <f t="shared" si="172"/>
        <v>461.31231008661075</v>
      </c>
      <c r="AP44" s="21">
        <f t="shared" si="172"/>
        <v>465.92543318747687</v>
      </c>
      <c r="AQ44" s="21">
        <f t="shared" si="172"/>
        <v>470.58468751935163</v>
      </c>
      <c r="AR44" s="21">
        <f t="shared" si="172"/>
        <v>477.64345783214185</v>
      </c>
      <c r="AS44" s="21">
        <f t="shared" si="172"/>
        <v>484.80810969962391</v>
      </c>
      <c r="AT44" s="21">
        <f t="shared" si="172"/>
        <v>492.08023134511825</v>
      </c>
      <c r="AU44" s="21">
        <f t="shared" si="172"/>
        <v>497.00103365856944</v>
      </c>
      <c r="AV44" s="21">
        <f t="shared" si="172"/>
        <v>501.97104399515507</v>
      </c>
      <c r="AW44" s="21">
        <f t="shared" si="172"/>
        <v>506.99075443510668</v>
      </c>
      <c r="AX44" s="21">
        <f t="shared" ref="AX44" si="173">SUM(AX45:AX46)</f>
        <v>512.06066197945768</v>
      </c>
      <c r="AY44" s="21">
        <f t="shared" ref="AY44" si="174">SUM(AY45:AY46)</f>
        <v>519.74157190914946</v>
      </c>
      <c r="AZ44" s="21">
        <f t="shared" ref="AZ44" si="175">SUM(AZ45:AZ46)</f>
        <v>527.53769548778666</v>
      </c>
      <c r="BA44" s="21">
        <f t="shared" ref="BA44" si="176">SUM(BA45:BA46)</f>
        <v>535.45076092010345</v>
      </c>
      <c r="BB44" s="21">
        <f t="shared" ref="BB44" si="177">SUM(BB45:BB46)</f>
        <v>538.12801472470392</v>
      </c>
      <c r="BC44" s="21">
        <f t="shared" ref="BC44" si="178">SUM(BC45:BC46)</f>
        <v>540.81865479832743</v>
      </c>
      <c r="BD44" s="21">
        <f t="shared" ref="BD44" si="179">SUM(BD45:BD46)</f>
        <v>548.9309346203022</v>
      </c>
      <c r="BE44" s="21">
        <f t="shared" ref="BE44" si="180">SUM(BE45:BE46)</f>
        <v>557.16489863960669</v>
      </c>
      <c r="BF44" s="21">
        <f t="shared" ref="BF44" si="181">SUM(BF45:BF46)</f>
        <v>565.52237211920078</v>
      </c>
      <c r="BG44" s="21">
        <f t="shared" ref="BG44" si="182">SUM(BG45:BG46)</f>
        <v>568.34998397979666</v>
      </c>
      <c r="BH44" s="21">
        <f t="shared" ref="BH44" si="183">SUM(BH45:BH46)</f>
        <v>571.19173389969569</v>
      </c>
      <c r="BI44" s="21">
        <f t="shared" ref="BI44" si="184">SUM(BI45:BI46)</f>
        <v>574.04769256919406</v>
      </c>
      <c r="BJ44" s="21">
        <f t="shared" ref="BJ44" si="185">SUM(BJ45:BJ46)</f>
        <v>576.91793103204009</v>
      </c>
      <c r="BK44" s="21">
        <f t="shared" ref="BK44" si="186">SUM(BK45:BK46)</f>
        <v>585.57169999752068</v>
      </c>
      <c r="BL44" s="21">
        <f t="shared" ref="BL44" si="187">SUM(BL45:BL46)</f>
        <v>594.35527549748338</v>
      </c>
      <c r="BM44" s="21">
        <f t="shared" ref="BM44" si="188">SUM(BM45:BM46)</f>
        <v>603.27060462994541</v>
      </c>
      <c r="BN44" s="21">
        <f t="shared" ref="BN44" si="189">SUM(BN45:BN46)</f>
        <v>606.2869576530951</v>
      </c>
      <c r="BO44" s="21">
        <f t="shared" ref="BO44" si="190">SUM(BO45:BO46)</f>
        <v>609.31839244136052</v>
      </c>
      <c r="BP44" s="21">
        <f t="shared" ref="BP44" si="191">SUM(BP45:BP46)</f>
        <v>618.45816832798096</v>
      </c>
      <c r="BQ44" s="21">
        <f t="shared" ref="BQ44" si="192">SUM(BQ45:BQ46)</f>
        <v>627.73504085290051</v>
      </c>
      <c r="BR44" s="21">
        <f t="shared" ref="BR44" si="193">SUM(BR45:BR46)</f>
        <v>637.15106646569404</v>
      </c>
      <c r="BS44" s="21">
        <f t="shared" ref="BS44" si="194">SUM(BS45:BS46)</f>
        <v>640.33682179802224</v>
      </c>
      <c r="BT44" s="21">
        <f t="shared" ref="BT44" si="195">SUM(BT45:BT46)</f>
        <v>643.53850590701245</v>
      </c>
      <c r="BU44" s="21">
        <f t="shared" ref="BU44:BX44" si="196">SUM(BU45:BU46)</f>
        <v>646.75619843654749</v>
      </c>
      <c r="BV44" s="21">
        <f t="shared" si="196"/>
        <v>649.98997942873007</v>
      </c>
      <c r="BW44" s="21">
        <f t="shared" si="196"/>
        <v>659.73982912016095</v>
      </c>
      <c r="BX44" s="21">
        <f t="shared" si="196"/>
        <v>669.63592655696323</v>
      </c>
      <c r="BY44" s="21">
        <f t="shared" ref="BY44:CK44" si="197">SUM(BY45:BY46)</f>
        <v>679.68046545531752</v>
      </c>
      <c r="BZ44" s="21">
        <f t="shared" si="197"/>
        <v>689.87567243714739</v>
      </c>
      <c r="CA44" s="21">
        <f t="shared" si="197"/>
        <v>700.22380752370452</v>
      </c>
      <c r="CB44" s="21">
        <f t="shared" si="197"/>
        <v>710.72716463656002</v>
      </c>
      <c r="CC44" s="21">
        <f t="shared" si="197"/>
        <v>721.38807210610832</v>
      </c>
      <c r="CD44" s="21">
        <f t="shared" si="197"/>
        <v>732.20889318769991</v>
      </c>
      <c r="CE44" s="21">
        <f t="shared" si="197"/>
        <v>743.19202658551546</v>
      </c>
      <c r="CF44" s="21">
        <f t="shared" si="197"/>
        <v>754.33990698429795</v>
      </c>
      <c r="CG44" s="21">
        <f t="shared" si="197"/>
        <v>765.6550055890624</v>
      </c>
      <c r="CH44" s="21">
        <f t="shared" si="197"/>
        <v>777.13983067289814</v>
      </c>
      <c r="CI44" s="21">
        <f t="shared" si="197"/>
        <v>788.79692813299164</v>
      </c>
      <c r="CJ44" s="21">
        <f t="shared" si="197"/>
        <v>800.62888205498632</v>
      </c>
      <c r="CK44" s="21">
        <f t="shared" si="197"/>
        <v>812.63831528581102</v>
      </c>
      <c r="CM44" s="21">
        <f t="shared" ref="CM44:CQ53" si="198">SUMIF($L$2:$CK$2,CM$3,$L44:$CK44)</f>
        <v>0</v>
      </c>
      <c r="CN44" s="21">
        <f t="shared" si="198"/>
        <v>4883.7430745000001</v>
      </c>
      <c r="CO44" s="21">
        <f t="shared" si="198"/>
        <v>5045.998553061374</v>
      </c>
      <c r="CP44" s="21">
        <f t="shared" si="198"/>
        <v>5991.7954419690413</v>
      </c>
      <c r="CQ44" s="21">
        <f t="shared" si="198"/>
        <v>6824.2697965078169</v>
      </c>
      <c r="CR44" s="21">
        <f t="shared" ref="CR44:CS59" si="199">SUMIF($L$2:$CK$2,CR$3,$L44:$CK44)</f>
        <v>7688.6273524437856</v>
      </c>
      <c r="CS44" s="21">
        <f t="shared" si="199"/>
        <v>8996.8145051967822</v>
      </c>
    </row>
    <row r="45" spans="2:99" outlineLevel="1" x14ac:dyDescent="0.2">
      <c r="B45" s="95" t="s">
        <v>8</v>
      </c>
      <c r="C45" s="92" t="s">
        <v>39</v>
      </c>
      <c r="D45" s="103">
        <v>0.6</v>
      </c>
      <c r="F45" s="22"/>
      <c r="G45" s="22"/>
      <c r="H45" s="22"/>
      <c r="I45" s="22"/>
      <c r="J45" s="22"/>
      <c r="K45" s="22"/>
      <c r="L45" s="22"/>
      <c r="M45" s="22"/>
      <c r="N45" s="22"/>
      <c r="O45" s="22"/>
      <c r="P45" s="22">
        <f>P$39*$D45</f>
        <v>0</v>
      </c>
      <c r="Q45" s="22">
        <f t="shared" ref="Q45:CK45" si="200">Q$39*$D45</f>
        <v>0</v>
      </c>
      <c r="R45" s="256">
        <v>61.199999999999996</v>
      </c>
      <c r="S45" s="256">
        <v>103.2</v>
      </c>
      <c r="T45" s="256">
        <v>46.8</v>
      </c>
      <c r="U45" s="256">
        <v>631.19999999999993</v>
      </c>
      <c r="V45" s="256">
        <v>540</v>
      </c>
      <c r="W45" s="256">
        <v>475.2</v>
      </c>
      <c r="X45" s="22">
        <f t="shared" si="200"/>
        <v>443.27700599999997</v>
      </c>
      <c r="Y45" s="22">
        <f t="shared" si="200"/>
        <v>375.00515999999999</v>
      </c>
      <c r="Z45" s="22">
        <f t="shared" si="200"/>
        <v>404.15793600000001</v>
      </c>
      <c r="AA45" s="22">
        <f t="shared" si="200"/>
        <v>509.80216799999999</v>
      </c>
      <c r="AB45" s="22">
        <f t="shared" si="200"/>
        <v>443.66519399999999</v>
      </c>
      <c r="AC45" s="22">
        <f t="shared" si="200"/>
        <v>823.23948600000006</v>
      </c>
      <c r="AD45" s="22">
        <f t="shared" si="200"/>
        <v>296.47019999999998</v>
      </c>
      <c r="AE45" s="22">
        <f t="shared" si="200"/>
        <v>353.99459999999999</v>
      </c>
      <c r="AF45" s="22">
        <f t="shared" si="200"/>
        <v>418.36499999999995</v>
      </c>
      <c r="AG45" s="22">
        <f t="shared" si="200"/>
        <v>424.64047499999998</v>
      </c>
      <c r="AH45" s="22">
        <f t="shared" si="200"/>
        <v>431.010082125</v>
      </c>
      <c r="AI45" s="22">
        <f t="shared" si="200"/>
        <v>433.16513253562493</v>
      </c>
      <c r="AJ45" s="22">
        <f t="shared" si="200"/>
        <v>435.33095819830299</v>
      </c>
      <c r="AK45" s="22">
        <f t="shared" si="200"/>
        <v>437.5076129892945</v>
      </c>
      <c r="AL45" s="22">
        <f t="shared" si="200"/>
        <v>439.69515105424097</v>
      </c>
      <c r="AM45" s="22">
        <f t="shared" si="200"/>
        <v>446.29057832005452</v>
      </c>
      <c r="AN45" s="22">
        <f t="shared" si="200"/>
        <v>452.98493699485533</v>
      </c>
      <c r="AO45" s="22">
        <f t="shared" si="200"/>
        <v>459.77971104977814</v>
      </c>
      <c r="AP45" s="22">
        <f t="shared" si="200"/>
        <v>464.37750816027597</v>
      </c>
      <c r="AQ45" s="22">
        <f t="shared" si="200"/>
        <v>469.02128324187868</v>
      </c>
      <c r="AR45" s="22">
        <f t="shared" si="200"/>
        <v>476.0566024905068</v>
      </c>
      <c r="AS45" s="22">
        <f t="shared" si="200"/>
        <v>483.19745152786436</v>
      </c>
      <c r="AT45" s="22">
        <f t="shared" si="200"/>
        <v>490.44541330078232</v>
      </c>
      <c r="AU45" s="22">
        <f t="shared" si="200"/>
        <v>495.34986743379017</v>
      </c>
      <c r="AV45" s="22">
        <f t="shared" si="200"/>
        <v>500.30336610812799</v>
      </c>
      <c r="AW45" s="22">
        <f t="shared" si="200"/>
        <v>505.30639976920929</v>
      </c>
      <c r="AX45" s="22">
        <f t="shared" si="200"/>
        <v>510.35946376690134</v>
      </c>
      <c r="AY45" s="22">
        <f t="shared" si="200"/>
        <v>518.01485572340482</v>
      </c>
      <c r="AZ45" s="22">
        <f t="shared" si="200"/>
        <v>525.78507855925579</v>
      </c>
      <c r="BA45" s="22">
        <f t="shared" si="200"/>
        <v>533.67185473764459</v>
      </c>
      <c r="BB45" s="22">
        <f t="shared" si="200"/>
        <v>536.34021401133282</v>
      </c>
      <c r="BC45" s="22">
        <f t="shared" si="200"/>
        <v>539.02191508138947</v>
      </c>
      <c r="BD45" s="22">
        <f t="shared" si="200"/>
        <v>547.10724380761019</v>
      </c>
      <c r="BE45" s="22">
        <f t="shared" si="200"/>
        <v>555.31385246472428</v>
      </c>
      <c r="BF45" s="22">
        <f t="shared" si="200"/>
        <v>563.64356025169513</v>
      </c>
      <c r="BG45" s="22">
        <f t="shared" si="200"/>
        <v>566.46177805295349</v>
      </c>
      <c r="BH45" s="22">
        <f t="shared" si="200"/>
        <v>569.2940869432183</v>
      </c>
      <c r="BI45" s="22">
        <f t="shared" si="200"/>
        <v>572.14055737793433</v>
      </c>
      <c r="BJ45" s="22">
        <f t="shared" si="200"/>
        <v>575.00126016482398</v>
      </c>
      <c r="BK45" s="22">
        <f t="shared" si="200"/>
        <v>583.62627906729631</v>
      </c>
      <c r="BL45" s="22">
        <f t="shared" si="200"/>
        <v>592.38067325330564</v>
      </c>
      <c r="BM45" s="22">
        <f t="shared" si="200"/>
        <v>601.26638335210509</v>
      </c>
      <c r="BN45" s="22">
        <f t="shared" si="200"/>
        <v>604.27271526886557</v>
      </c>
      <c r="BO45" s="22">
        <f t="shared" si="200"/>
        <v>607.29407884520981</v>
      </c>
      <c r="BP45" s="22">
        <f t="shared" si="200"/>
        <v>616.40349002788798</v>
      </c>
      <c r="BQ45" s="22">
        <f t="shared" si="200"/>
        <v>625.64954237830614</v>
      </c>
      <c r="BR45" s="22">
        <f t="shared" si="200"/>
        <v>635.03428551398076</v>
      </c>
      <c r="BS45" s="22">
        <f t="shared" si="200"/>
        <v>638.20945694155046</v>
      </c>
      <c r="BT45" s="22">
        <f t="shared" si="200"/>
        <v>641.40050422625825</v>
      </c>
      <c r="BU45" s="22">
        <f t="shared" si="200"/>
        <v>644.60750674738949</v>
      </c>
      <c r="BV45" s="22">
        <f t="shared" si="200"/>
        <v>647.83054428112632</v>
      </c>
      <c r="BW45" s="22">
        <f t="shared" si="200"/>
        <v>657.54800244534317</v>
      </c>
      <c r="BX45" s="22">
        <f t="shared" si="200"/>
        <v>667.41122248202316</v>
      </c>
      <c r="BY45" s="22">
        <f t="shared" si="200"/>
        <v>677.42239081925334</v>
      </c>
      <c r="BZ45" s="22">
        <f t="shared" si="200"/>
        <v>687.5837266815422</v>
      </c>
      <c r="CA45" s="22">
        <f t="shared" si="200"/>
        <v>697.8974825817653</v>
      </c>
      <c r="CB45" s="22">
        <f t="shared" si="200"/>
        <v>708.36594482049168</v>
      </c>
      <c r="CC45" s="22">
        <f t="shared" si="200"/>
        <v>718.99143399279899</v>
      </c>
      <c r="CD45" s="22">
        <f t="shared" si="200"/>
        <v>729.77630550269089</v>
      </c>
      <c r="CE45" s="22">
        <f t="shared" si="200"/>
        <v>740.72295008523133</v>
      </c>
      <c r="CF45" s="22">
        <f t="shared" si="200"/>
        <v>751.83379433650964</v>
      </c>
      <c r="CG45" s="22">
        <f t="shared" si="200"/>
        <v>763.11130125155717</v>
      </c>
      <c r="CH45" s="22">
        <f t="shared" si="200"/>
        <v>774.55797077033037</v>
      </c>
      <c r="CI45" s="22">
        <f t="shared" si="200"/>
        <v>786.1763403318854</v>
      </c>
      <c r="CJ45" s="22">
        <f t="shared" si="200"/>
        <v>797.96898543686348</v>
      </c>
      <c r="CK45" s="22">
        <f t="shared" si="200"/>
        <v>809.93852021841633</v>
      </c>
      <c r="CM45" s="10">
        <f t="shared" si="198"/>
        <v>0</v>
      </c>
      <c r="CN45" s="10">
        <f t="shared" si="198"/>
        <v>4856.7469500000007</v>
      </c>
      <c r="CO45" s="10">
        <f t="shared" si="198"/>
        <v>5029.2344382671508</v>
      </c>
      <c r="CP45" s="10">
        <f t="shared" si="198"/>
        <v>5971.8891448196428</v>
      </c>
      <c r="CQ45" s="10">
        <f t="shared" si="198"/>
        <v>6801.5978038283884</v>
      </c>
      <c r="CR45" s="10">
        <f t="shared" si="199"/>
        <v>7663.0837399771935</v>
      </c>
      <c r="CS45" s="10">
        <f t="shared" si="199"/>
        <v>8966.9247560100812</v>
      </c>
    </row>
    <row r="46" spans="2:99" outlineLevel="1" x14ac:dyDescent="0.2">
      <c r="B46" s="95" t="s">
        <v>46</v>
      </c>
      <c r="C46" s="92" t="s">
        <v>39</v>
      </c>
      <c r="D46" s="104">
        <v>2E-3</v>
      </c>
      <c r="F46" s="22"/>
      <c r="G46" s="22"/>
      <c r="H46" s="22"/>
      <c r="I46" s="22"/>
      <c r="J46" s="22"/>
      <c r="K46" s="22"/>
      <c r="L46" s="22"/>
      <c r="M46" s="22"/>
      <c r="N46" s="22"/>
      <c r="O46" s="22"/>
      <c r="P46" s="22">
        <f t="shared" ref="P46:Q46" si="201">P39*$D$46</f>
        <v>0</v>
      </c>
      <c r="Q46" s="22">
        <f t="shared" si="201"/>
        <v>0</v>
      </c>
      <c r="R46" s="22">
        <v>4</v>
      </c>
      <c r="S46" s="22">
        <v>4</v>
      </c>
      <c r="T46" s="22">
        <v>3</v>
      </c>
      <c r="U46" s="22">
        <v>4</v>
      </c>
      <c r="V46" s="22">
        <f t="shared" ref="V46:AW46" si="202">V39*$D$46</f>
        <v>1.045326</v>
      </c>
      <c r="W46" s="22">
        <f t="shared" si="202"/>
        <v>0.9536420000000001</v>
      </c>
      <c r="X46" s="22">
        <f t="shared" si="202"/>
        <v>1.4775900199999998</v>
      </c>
      <c r="Y46" s="22">
        <f t="shared" si="202"/>
        <v>1.2500172000000001</v>
      </c>
      <c r="Z46" s="22">
        <f t="shared" si="202"/>
        <v>1.3471931200000002</v>
      </c>
      <c r="AA46" s="22">
        <f t="shared" si="202"/>
        <v>1.6993405600000002</v>
      </c>
      <c r="AB46" s="22">
        <f t="shared" si="202"/>
        <v>1.47888398</v>
      </c>
      <c r="AC46" s="22">
        <f t="shared" si="202"/>
        <v>2.7441316200000001</v>
      </c>
      <c r="AD46" s="22">
        <f t="shared" si="202"/>
        <v>0.98823400000000006</v>
      </c>
      <c r="AE46" s="22">
        <f t="shared" si="202"/>
        <v>1.1799820000000001</v>
      </c>
      <c r="AF46" s="22">
        <f t="shared" si="202"/>
        <v>1.39455</v>
      </c>
      <c r="AG46" s="22">
        <f t="shared" si="202"/>
        <v>1.41546825</v>
      </c>
      <c r="AH46" s="22">
        <f t="shared" si="202"/>
        <v>1.4367002737500001</v>
      </c>
      <c r="AI46" s="22">
        <f t="shared" si="202"/>
        <v>1.4438837751187499</v>
      </c>
      <c r="AJ46" s="22">
        <f t="shared" si="202"/>
        <v>1.4511031939943435</v>
      </c>
      <c r="AK46" s="22">
        <f t="shared" si="202"/>
        <v>1.4583587099643152</v>
      </c>
      <c r="AL46" s="22">
        <f t="shared" si="202"/>
        <v>1.4656505035141365</v>
      </c>
      <c r="AM46" s="22">
        <f t="shared" si="202"/>
        <v>1.4876352610668484</v>
      </c>
      <c r="AN46" s="22">
        <f t="shared" si="202"/>
        <v>1.5099497899828511</v>
      </c>
      <c r="AO46" s="22">
        <f t="shared" si="202"/>
        <v>1.5325990368325939</v>
      </c>
      <c r="AP46" s="22">
        <f t="shared" si="202"/>
        <v>1.54792502720092</v>
      </c>
      <c r="AQ46" s="22">
        <f t="shared" si="202"/>
        <v>1.5634042774729289</v>
      </c>
      <c r="AR46" s="22">
        <f t="shared" si="202"/>
        <v>1.5868553416350228</v>
      </c>
      <c r="AS46" s="22">
        <f t="shared" si="202"/>
        <v>1.6106581717595481</v>
      </c>
      <c r="AT46" s="22">
        <f t="shared" si="202"/>
        <v>1.634818044335941</v>
      </c>
      <c r="AU46" s="22">
        <f t="shared" si="202"/>
        <v>1.6511662247793006</v>
      </c>
      <c r="AV46" s="22">
        <f t="shared" si="202"/>
        <v>1.6676778870270934</v>
      </c>
      <c r="AW46" s="22">
        <f t="shared" si="202"/>
        <v>1.6843546658973645</v>
      </c>
      <c r="AX46" s="22">
        <f t="shared" ref="AX46:BU46" si="203">AX39*$D$46</f>
        <v>1.7011982125563379</v>
      </c>
      <c r="AY46" s="22">
        <f t="shared" si="203"/>
        <v>1.7267161857446829</v>
      </c>
      <c r="AZ46" s="22">
        <f t="shared" si="203"/>
        <v>1.7526169285308528</v>
      </c>
      <c r="BA46" s="22">
        <f t="shared" si="203"/>
        <v>1.7789061824588155</v>
      </c>
      <c r="BB46" s="22">
        <f t="shared" si="203"/>
        <v>1.7878007133711094</v>
      </c>
      <c r="BC46" s="22">
        <f t="shared" si="203"/>
        <v>1.7967397169379649</v>
      </c>
      <c r="BD46" s="22">
        <f t="shared" si="203"/>
        <v>1.8236908126920341</v>
      </c>
      <c r="BE46" s="22">
        <f t="shared" si="203"/>
        <v>1.8510461748824143</v>
      </c>
      <c r="BF46" s="22">
        <f t="shared" si="203"/>
        <v>1.8788118675056507</v>
      </c>
      <c r="BG46" s="22">
        <f t="shared" si="203"/>
        <v>1.8882059268431786</v>
      </c>
      <c r="BH46" s="22">
        <f t="shared" si="203"/>
        <v>1.8976469564773943</v>
      </c>
      <c r="BI46" s="22">
        <f t="shared" si="203"/>
        <v>1.9071351912597811</v>
      </c>
      <c r="BJ46" s="22">
        <f t="shared" si="203"/>
        <v>1.9166708672160799</v>
      </c>
      <c r="BK46" s="22">
        <f t="shared" si="203"/>
        <v>1.9454209302243211</v>
      </c>
      <c r="BL46" s="22">
        <f t="shared" si="203"/>
        <v>1.9746022441776854</v>
      </c>
      <c r="BM46" s="22">
        <f t="shared" si="203"/>
        <v>2.0042212778403505</v>
      </c>
      <c r="BN46" s="22">
        <f t="shared" si="203"/>
        <v>2.014242384229552</v>
      </c>
      <c r="BO46" s="22">
        <f t="shared" si="203"/>
        <v>2.0243135961506997</v>
      </c>
      <c r="BP46" s="22">
        <f t="shared" si="203"/>
        <v>2.0546783000929598</v>
      </c>
      <c r="BQ46" s="22">
        <f t="shared" si="203"/>
        <v>2.0854984745943539</v>
      </c>
      <c r="BR46" s="22">
        <f t="shared" si="203"/>
        <v>2.116780951713269</v>
      </c>
      <c r="BS46" s="22">
        <f t="shared" si="203"/>
        <v>2.1273648564718353</v>
      </c>
      <c r="BT46" s="22">
        <f t="shared" si="203"/>
        <v>2.1380016807541944</v>
      </c>
      <c r="BU46" s="22">
        <f t="shared" si="203"/>
        <v>2.1486916891579648</v>
      </c>
      <c r="BV46" s="22">
        <f t="shared" ref="BV46:BX46" si="204">BV39*$D$46</f>
        <v>2.1594351476037548</v>
      </c>
      <c r="BW46" s="22">
        <f t="shared" si="204"/>
        <v>2.1918266748178108</v>
      </c>
      <c r="BX46" s="22">
        <f t="shared" si="204"/>
        <v>2.2247040749400773</v>
      </c>
      <c r="BY46" s="22">
        <f t="shared" ref="BY46:CK46" si="205">BY39*$D$46</f>
        <v>2.2580746360641779</v>
      </c>
      <c r="BZ46" s="22">
        <f t="shared" si="205"/>
        <v>2.2919457556051408</v>
      </c>
      <c r="CA46" s="22">
        <f t="shared" si="205"/>
        <v>2.3263249419392178</v>
      </c>
      <c r="CB46" s="22">
        <f t="shared" si="205"/>
        <v>2.3612198160683056</v>
      </c>
      <c r="CC46" s="22">
        <f t="shared" si="205"/>
        <v>2.3966381133093302</v>
      </c>
      <c r="CD46" s="22">
        <f t="shared" si="205"/>
        <v>2.4325876850089698</v>
      </c>
      <c r="CE46" s="22">
        <f t="shared" si="205"/>
        <v>2.4690765002841046</v>
      </c>
      <c r="CF46" s="22">
        <f t="shared" si="205"/>
        <v>2.5061126477883655</v>
      </c>
      <c r="CG46" s="22">
        <f t="shared" si="205"/>
        <v>2.5437043375051909</v>
      </c>
      <c r="CH46" s="22">
        <f t="shared" si="205"/>
        <v>2.5818599025677682</v>
      </c>
      <c r="CI46" s="22">
        <f t="shared" si="205"/>
        <v>2.6205878011062844</v>
      </c>
      <c r="CJ46" s="22">
        <f t="shared" si="205"/>
        <v>2.6598966181228785</v>
      </c>
      <c r="CK46" s="22">
        <f t="shared" si="205"/>
        <v>2.6997950673947213</v>
      </c>
      <c r="CM46" s="10">
        <f t="shared" si="198"/>
        <v>0</v>
      </c>
      <c r="CN46" s="10">
        <f t="shared" si="198"/>
        <v>26.996124499999997</v>
      </c>
      <c r="CO46" s="10">
        <f t="shared" si="198"/>
        <v>16.76411479422384</v>
      </c>
      <c r="CP46" s="10">
        <f t="shared" si="198"/>
        <v>19.906297149398807</v>
      </c>
      <c r="CQ46" s="10">
        <f t="shared" si="198"/>
        <v>22.671992679427962</v>
      </c>
      <c r="CR46" s="10">
        <f t="shared" si="199"/>
        <v>25.543612466590652</v>
      </c>
      <c r="CS46" s="10">
        <f t="shared" si="199"/>
        <v>29.889749186700278</v>
      </c>
    </row>
    <row r="47" spans="2:99" x14ac:dyDescent="0.2">
      <c r="B47" s="96" t="s">
        <v>10</v>
      </c>
      <c r="C47" s="96"/>
      <c r="D47" s="96"/>
      <c r="F47" s="21">
        <f t="shared" ref="F47:K47" si="206">F48+F51+F54+F61</f>
        <v>0</v>
      </c>
      <c r="G47" s="21">
        <f t="shared" si="206"/>
        <v>0</v>
      </c>
      <c r="H47" s="21">
        <f t="shared" si="206"/>
        <v>0</v>
      </c>
      <c r="I47" s="21">
        <f t="shared" si="206"/>
        <v>0</v>
      </c>
      <c r="J47" s="21">
        <f t="shared" si="206"/>
        <v>0</v>
      </c>
      <c r="K47" s="21">
        <f t="shared" si="206"/>
        <v>0</v>
      </c>
      <c r="L47" s="21">
        <f t="shared" ref="L47:AQ47" si="207">L48+L51+L54+L61</f>
        <v>0</v>
      </c>
      <c r="M47" s="21">
        <f t="shared" si="207"/>
        <v>0</v>
      </c>
      <c r="N47" s="21">
        <f t="shared" si="207"/>
        <v>0</v>
      </c>
      <c r="O47" s="21">
        <f t="shared" si="207"/>
        <v>0</v>
      </c>
      <c r="P47" s="21">
        <f t="shared" si="207"/>
        <v>0</v>
      </c>
      <c r="Q47" s="21">
        <f t="shared" si="207"/>
        <v>0</v>
      </c>
      <c r="R47" s="21">
        <f t="shared" si="207"/>
        <v>12.600080000000002</v>
      </c>
      <c r="S47" s="21">
        <f t="shared" si="207"/>
        <v>15.291620000000002</v>
      </c>
      <c r="T47" s="21">
        <f t="shared" si="207"/>
        <v>7.3409800000000001</v>
      </c>
      <c r="U47" s="21">
        <f t="shared" si="207"/>
        <v>135.09793999999999</v>
      </c>
      <c r="V47" s="21">
        <f t="shared" si="207"/>
        <v>111.973095</v>
      </c>
      <c r="W47" s="21">
        <f t="shared" si="207"/>
        <v>102.99336500000001</v>
      </c>
      <c r="X47" s="21">
        <f t="shared" si="207"/>
        <v>91.879500999999991</v>
      </c>
      <c r="Y47" s="21">
        <f t="shared" si="207"/>
        <v>80.500860000000003</v>
      </c>
      <c r="Z47" s="21">
        <f t="shared" si="207"/>
        <v>85.359656000000001</v>
      </c>
      <c r="AA47" s="21">
        <f t="shared" si="207"/>
        <v>102.967028</v>
      </c>
      <c r="AB47" s="21">
        <f t="shared" si="207"/>
        <v>91.944198999999998</v>
      </c>
      <c r="AC47" s="21">
        <f t="shared" si="207"/>
        <v>155.20658100000003</v>
      </c>
      <c r="AD47" s="21">
        <f t="shared" si="207"/>
        <v>67.411699999999996</v>
      </c>
      <c r="AE47" s="21">
        <f t="shared" si="207"/>
        <v>113.9991</v>
      </c>
      <c r="AF47" s="21">
        <f t="shared" si="207"/>
        <v>124.72749999999999</v>
      </c>
      <c r="AG47" s="21">
        <f t="shared" si="207"/>
        <v>125.77341250000001</v>
      </c>
      <c r="AH47" s="21">
        <f t="shared" si="207"/>
        <v>126.83501368750001</v>
      </c>
      <c r="AI47" s="21">
        <f t="shared" si="207"/>
        <v>127.19418875593749</v>
      </c>
      <c r="AJ47" s="21">
        <f t="shared" si="207"/>
        <v>137.55515969971717</v>
      </c>
      <c r="AK47" s="21">
        <f t="shared" si="207"/>
        <v>316.04255484875102</v>
      </c>
      <c r="AL47" s="21">
        <f t="shared" si="207"/>
        <v>616.2977676229948</v>
      </c>
      <c r="AM47" s="21">
        <f t="shared" si="207"/>
        <v>317.06723413733971</v>
      </c>
      <c r="AN47" s="21">
        <f t="shared" si="207"/>
        <v>140.49748949914255</v>
      </c>
      <c r="AO47" s="21">
        <f t="shared" si="207"/>
        <v>141.62995184162969</v>
      </c>
      <c r="AP47" s="21">
        <f t="shared" si="207"/>
        <v>142.39625136004599</v>
      </c>
      <c r="AQ47" s="21">
        <f t="shared" si="207"/>
        <v>143.17021387364645</v>
      </c>
      <c r="AR47" s="21">
        <f t="shared" ref="AR47:BU47" si="208">AR48+AR51+AR54+AR61</f>
        <v>144.34276708175113</v>
      </c>
      <c r="AS47" s="21">
        <f t="shared" si="208"/>
        <v>145.53290858797737</v>
      </c>
      <c r="AT47" s="21">
        <f t="shared" si="208"/>
        <v>146.74090221679705</v>
      </c>
      <c r="AU47" s="21">
        <f t="shared" si="208"/>
        <v>147.55831123896502</v>
      </c>
      <c r="AV47" s="21">
        <f t="shared" si="208"/>
        <v>148.38389435135468</v>
      </c>
      <c r="AW47" s="21">
        <f t="shared" si="208"/>
        <v>149.21773329486822</v>
      </c>
      <c r="AX47" s="21">
        <f t="shared" si="208"/>
        <v>150.05991062781689</v>
      </c>
      <c r="AY47" s="21">
        <f t="shared" si="208"/>
        <v>151.33580928723416</v>
      </c>
      <c r="AZ47" s="21">
        <f t="shared" si="208"/>
        <v>152.63084642654263</v>
      </c>
      <c r="BA47" s="21">
        <f t="shared" si="208"/>
        <v>153.94530912294078</v>
      </c>
      <c r="BB47" s="21">
        <f t="shared" si="208"/>
        <v>154.39003566855547</v>
      </c>
      <c r="BC47" s="21">
        <f t="shared" si="208"/>
        <v>154.83698584689824</v>
      </c>
      <c r="BD47" s="21">
        <f t="shared" si="208"/>
        <v>156.18454063460172</v>
      </c>
      <c r="BE47" s="21">
        <f t="shared" si="208"/>
        <v>157.55230874412072</v>
      </c>
      <c r="BF47" s="21">
        <f t="shared" si="208"/>
        <v>158.94059337528253</v>
      </c>
      <c r="BG47" s="21">
        <f t="shared" si="208"/>
        <v>159.41029634215892</v>
      </c>
      <c r="BH47" s="21">
        <f t="shared" si="208"/>
        <v>159.88234782386971</v>
      </c>
      <c r="BI47" s="21">
        <f t="shared" si="208"/>
        <v>160.35675956298905</v>
      </c>
      <c r="BJ47" s="21">
        <f t="shared" si="208"/>
        <v>160.83354336080399</v>
      </c>
      <c r="BK47" s="21">
        <f t="shared" si="208"/>
        <v>162.27104651121607</v>
      </c>
      <c r="BL47" s="21">
        <f t="shared" si="208"/>
        <v>163.73011220888429</v>
      </c>
      <c r="BM47" s="21">
        <f t="shared" si="208"/>
        <v>165.21106389201753</v>
      </c>
      <c r="BN47" s="21">
        <f t="shared" si="208"/>
        <v>165.71211921147761</v>
      </c>
      <c r="BO47" s="21">
        <f t="shared" si="208"/>
        <v>166.21567980753497</v>
      </c>
      <c r="BP47" s="21">
        <f t="shared" si="208"/>
        <v>167.733915004648</v>
      </c>
      <c r="BQ47" s="21">
        <f t="shared" si="208"/>
        <v>169.2749237297177</v>
      </c>
      <c r="BR47" s="21">
        <f t="shared" si="208"/>
        <v>170.83904758566348</v>
      </c>
      <c r="BS47" s="21">
        <f t="shared" si="208"/>
        <v>171.36824282359174</v>
      </c>
      <c r="BT47" s="21">
        <f t="shared" si="208"/>
        <v>171.90008403770972</v>
      </c>
      <c r="BU47" s="21">
        <f t="shared" si="208"/>
        <v>172.43458445789827</v>
      </c>
      <c r="BV47" s="21">
        <f t="shared" ref="BV47:BX47" si="209">BV48+BV51+BV54+BV61</f>
        <v>172.97175738018774</v>
      </c>
      <c r="BW47" s="21">
        <f t="shared" si="209"/>
        <v>174.59133374089055</v>
      </c>
      <c r="BX47" s="21">
        <f t="shared" si="209"/>
        <v>176.23520374700385</v>
      </c>
      <c r="BY47" s="21">
        <f t="shared" ref="BY47:CK47" si="210">BY48+BY51+BY54+BY61</f>
        <v>177.9037318032089</v>
      </c>
      <c r="BZ47" s="21">
        <f t="shared" si="210"/>
        <v>179.59728778025703</v>
      </c>
      <c r="CA47" s="21">
        <f t="shared" si="210"/>
        <v>181.31624709696089</v>
      </c>
      <c r="CB47" s="21">
        <f t="shared" si="210"/>
        <v>183.06099080341528</v>
      </c>
      <c r="CC47" s="21">
        <f t="shared" si="210"/>
        <v>184.83190566546651</v>
      </c>
      <c r="CD47" s="21">
        <f t="shared" si="210"/>
        <v>186.62938425044848</v>
      </c>
      <c r="CE47" s="21">
        <f t="shared" si="210"/>
        <v>188.45382501420522</v>
      </c>
      <c r="CF47" s="21">
        <f t="shared" si="210"/>
        <v>190.30563238941826</v>
      </c>
      <c r="CG47" s="21">
        <f t="shared" si="210"/>
        <v>192.18521687525953</v>
      </c>
      <c r="CH47" s="21">
        <f t="shared" si="210"/>
        <v>194.0929951283884</v>
      </c>
      <c r="CI47" s="21">
        <f t="shared" si="210"/>
        <v>196.02939005531425</v>
      </c>
      <c r="CJ47" s="21">
        <f t="shared" si="210"/>
        <v>197.99483090614393</v>
      </c>
      <c r="CK47" s="21">
        <f t="shared" si="210"/>
        <v>199.98975336973604</v>
      </c>
      <c r="CM47" s="21">
        <f t="shared" si="198"/>
        <v>0</v>
      </c>
      <c r="CN47" s="21">
        <f t="shared" si="198"/>
        <v>993.1549050000001</v>
      </c>
      <c r="CO47" s="21">
        <f t="shared" si="198"/>
        <v>2355.0310725930121</v>
      </c>
      <c r="CP47" s="21">
        <f t="shared" si="198"/>
        <v>1775.3148574699403</v>
      </c>
      <c r="CQ47" s="21">
        <f t="shared" si="198"/>
        <v>1913.5996339713984</v>
      </c>
      <c r="CR47" s="21">
        <f t="shared" si="199"/>
        <v>2057.1806233295329</v>
      </c>
      <c r="CS47" s="21">
        <f t="shared" si="199"/>
        <v>2274.4874593350132</v>
      </c>
    </row>
    <row r="48" spans="2:99" outlineLevel="1" x14ac:dyDescent="0.2">
      <c r="B48" s="88" t="s">
        <v>16</v>
      </c>
      <c r="C48" s="88"/>
      <c r="D48" s="92"/>
      <c r="F48" s="94">
        <f t="shared" ref="F48:K48" si="211">SUM(F49:F50)</f>
        <v>0</v>
      </c>
      <c r="G48" s="94">
        <f t="shared" si="211"/>
        <v>0</v>
      </c>
      <c r="H48" s="94">
        <f t="shared" si="211"/>
        <v>0</v>
      </c>
      <c r="I48" s="94">
        <f t="shared" si="211"/>
        <v>0</v>
      </c>
      <c r="J48" s="94">
        <f t="shared" si="211"/>
        <v>0</v>
      </c>
      <c r="K48" s="94">
        <f t="shared" si="211"/>
        <v>0</v>
      </c>
      <c r="L48" s="94">
        <f t="shared" ref="L48:AQ48" si="212">SUM(L49:L50)</f>
        <v>0</v>
      </c>
      <c r="M48" s="94">
        <f t="shared" si="212"/>
        <v>0</v>
      </c>
      <c r="N48" s="94">
        <f t="shared" si="212"/>
        <v>0</v>
      </c>
      <c r="O48" s="94">
        <f t="shared" si="212"/>
        <v>0</v>
      </c>
      <c r="P48" s="94">
        <f t="shared" si="212"/>
        <v>0</v>
      </c>
      <c r="Q48" s="94">
        <f t="shared" si="212"/>
        <v>0</v>
      </c>
      <c r="R48" s="94">
        <f t="shared" si="212"/>
        <v>0</v>
      </c>
      <c r="S48" s="94">
        <f t="shared" si="212"/>
        <v>0</v>
      </c>
      <c r="T48" s="94">
        <f t="shared" si="212"/>
        <v>0</v>
      </c>
      <c r="U48" s="94">
        <f t="shared" si="212"/>
        <v>20</v>
      </c>
      <c r="V48" s="94">
        <f t="shared" si="212"/>
        <v>27</v>
      </c>
      <c r="W48" s="94">
        <f t="shared" si="212"/>
        <v>18</v>
      </c>
      <c r="X48" s="94">
        <f t="shared" si="212"/>
        <v>18</v>
      </c>
      <c r="Y48" s="94">
        <f t="shared" si="212"/>
        <v>18</v>
      </c>
      <c r="Z48" s="94">
        <f t="shared" si="212"/>
        <v>18</v>
      </c>
      <c r="AA48" s="94">
        <f t="shared" si="212"/>
        <v>18</v>
      </c>
      <c r="AB48" s="94">
        <f t="shared" si="212"/>
        <v>18</v>
      </c>
      <c r="AC48" s="94">
        <f t="shared" si="212"/>
        <v>18</v>
      </c>
      <c r="AD48" s="94">
        <f t="shared" si="212"/>
        <v>18</v>
      </c>
      <c r="AE48" s="94">
        <f t="shared" si="212"/>
        <v>55</v>
      </c>
      <c r="AF48" s="94">
        <f t="shared" si="212"/>
        <v>55</v>
      </c>
      <c r="AG48" s="94">
        <f t="shared" si="212"/>
        <v>55</v>
      </c>
      <c r="AH48" s="94">
        <f t="shared" si="212"/>
        <v>55</v>
      </c>
      <c r="AI48" s="94">
        <f t="shared" si="212"/>
        <v>55</v>
      </c>
      <c r="AJ48" s="94">
        <f t="shared" si="212"/>
        <v>65</v>
      </c>
      <c r="AK48" s="94">
        <f t="shared" si="212"/>
        <v>65</v>
      </c>
      <c r="AL48" s="94">
        <f t="shared" si="212"/>
        <v>65</v>
      </c>
      <c r="AM48" s="94">
        <f t="shared" si="212"/>
        <v>65</v>
      </c>
      <c r="AN48" s="94">
        <f t="shared" si="212"/>
        <v>65</v>
      </c>
      <c r="AO48" s="94">
        <f t="shared" si="212"/>
        <v>65</v>
      </c>
      <c r="AP48" s="94">
        <f t="shared" si="212"/>
        <v>65</v>
      </c>
      <c r="AQ48" s="94">
        <f t="shared" si="212"/>
        <v>65</v>
      </c>
      <c r="AR48" s="94">
        <f t="shared" ref="AR48:BU48" si="213">SUM(AR49:AR50)</f>
        <v>65</v>
      </c>
      <c r="AS48" s="94">
        <f t="shared" si="213"/>
        <v>65</v>
      </c>
      <c r="AT48" s="94">
        <f t="shared" si="213"/>
        <v>65</v>
      </c>
      <c r="AU48" s="94">
        <f t="shared" si="213"/>
        <v>65</v>
      </c>
      <c r="AV48" s="94">
        <f t="shared" si="213"/>
        <v>65</v>
      </c>
      <c r="AW48" s="94">
        <f t="shared" si="213"/>
        <v>65</v>
      </c>
      <c r="AX48" s="94">
        <f t="shared" si="213"/>
        <v>65</v>
      </c>
      <c r="AY48" s="94">
        <f t="shared" si="213"/>
        <v>65</v>
      </c>
      <c r="AZ48" s="94">
        <f t="shared" si="213"/>
        <v>65</v>
      </c>
      <c r="BA48" s="94">
        <f t="shared" si="213"/>
        <v>65</v>
      </c>
      <c r="BB48" s="94">
        <f t="shared" si="213"/>
        <v>65</v>
      </c>
      <c r="BC48" s="94">
        <f t="shared" si="213"/>
        <v>65</v>
      </c>
      <c r="BD48" s="94">
        <f t="shared" si="213"/>
        <v>65</v>
      </c>
      <c r="BE48" s="94">
        <f t="shared" si="213"/>
        <v>65</v>
      </c>
      <c r="BF48" s="94">
        <f t="shared" si="213"/>
        <v>65</v>
      </c>
      <c r="BG48" s="94">
        <f t="shared" si="213"/>
        <v>65</v>
      </c>
      <c r="BH48" s="94">
        <f t="shared" si="213"/>
        <v>65</v>
      </c>
      <c r="BI48" s="94">
        <f t="shared" si="213"/>
        <v>65</v>
      </c>
      <c r="BJ48" s="94">
        <f t="shared" si="213"/>
        <v>65</v>
      </c>
      <c r="BK48" s="94">
        <f t="shared" si="213"/>
        <v>65</v>
      </c>
      <c r="BL48" s="94">
        <f t="shared" si="213"/>
        <v>65</v>
      </c>
      <c r="BM48" s="94">
        <f t="shared" si="213"/>
        <v>65</v>
      </c>
      <c r="BN48" s="94">
        <f t="shared" si="213"/>
        <v>65</v>
      </c>
      <c r="BO48" s="94">
        <f t="shared" si="213"/>
        <v>65</v>
      </c>
      <c r="BP48" s="94">
        <f t="shared" si="213"/>
        <v>65</v>
      </c>
      <c r="BQ48" s="94">
        <f t="shared" si="213"/>
        <v>65</v>
      </c>
      <c r="BR48" s="94">
        <f t="shared" si="213"/>
        <v>65</v>
      </c>
      <c r="BS48" s="94">
        <f t="shared" si="213"/>
        <v>65</v>
      </c>
      <c r="BT48" s="94">
        <f t="shared" si="213"/>
        <v>65</v>
      </c>
      <c r="BU48" s="94">
        <f t="shared" si="213"/>
        <v>65</v>
      </c>
      <c r="BV48" s="94">
        <f t="shared" ref="BV48:BX48" si="214">SUM(BV49:BV50)</f>
        <v>65</v>
      </c>
      <c r="BW48" s="94">
        <f t="shared" si="214"/>
        <v>65</v>
      </c>
      <c r="BX48" s="94">
        <f t="shared" si="214"/>
        <v>65</v>
      </c>
      <c r="BY48" s="94">
        <f t="shared" ref="BY48:CK48" si="215">SUM(BY49:BY50)</f>
        <v>65</v>
      </c>
      <c r="BZ48" s="94">
        <f t="shared" si="215"/>
        <v>65</v>
      </c>
      <c r="CA48" s="94">
        <f t="shared" si="215"/>
        <v>65</v>
      </c>
      <c r="CB48" s="94">
        <f t="shared" si="215"/>
        <v>65</v>
      </c>
      <c r="CC48" s="94">
        <f t="shared" si="215"/>
        <v>65</v>
      </c>
      <c r="CD48" s="94">
        <f t="shared" si="215"/>
        <v>65</v>
      </c>
      <c r="CE48" s="94">
        <f t="shared" si="215"/>
        <v>65</v>
      </c>
      <c r="CF48" s="94">
        <f t="shared" si="215"/>
        <v>65</v>
      </c>
      <c r="CG48" s="94">
        <f t="shared" si="215"/>
        <v>65</v>
      </c>
      <c r="CH48" s="94">
        <f t="shared" si="215"/>
        <v>65</v>
      </c>
      <c r="CI48" s="94">
        <f t="shared" si="215"/>
        <v>65</v>
      </c>
      <c r="CJ48" s="94">
        <f t="shared" si="215"/>
        <v>65</v>
      </c>
      <c r="CK48" s="94">
        <f t="shared" si="215"/>
        <v>65</v>
      </c>
      <c r="CM48" s="94">
        <f t="shared" si="198"/>
        <v>0</v>
      </c>
      <c r="CN48" s="94">
        <f t="shared" si="198"/>
        <v>173</v>
      </c>
      <c r="CO48" s="94">
        <f t="shared" si="198"/>
        <v>683</v>
      </c>
      <c r="CP48" s="94">
        <f t="shared" si="198"/>
        <v>780</v>
      </c>
      <c r="CQ48" s="94">
        <f t="shared" si="198"/>
        <v>780</v>
      </c>
      <c r="CR48" s="94">
        <f t="shared" si="199"/>
        <v>780</v>
      </c>
      <c r="CS48" s="94">
        <f t="shared" si="199"/>
        <v>780</v>
      </c>
    </row>
    <row r="49" spans="2:97" outlineLevel="2" x14ac:dyDescent="0.2">
      <c r="B49" s="95" t="s">
        <v>12</v>
      </c>
      <c r="C49" s="95" t="s">
        <v>4</v>
      </c>
      <c r="D49" s="92"/>
      <c r="R49" s="317">
        <v>0</v>
      </c>
      <c r="V49" s="8">
        <v>7</v>
      </c>
      <c r="CM49" s="10">
        <f t="shared" si="198"/>
        <v>0</v>
      </c>
      <c r="CN49" s="10">
        <f t="shared" si="198"/>
        <v>7</v>
      </c>
      <c r="CO49" s="10">
        <f t="shared" si="198"/>
        <v>0</v>
      </c>
      <c r="CP49" s="10">
        <f t="shared" si="198"/>
        <v>0</v>
      </c>
      <c r="CQ49" s="10">
        <f t="shared" si="198"/>
        <v>0</v>
      </c>
      <c r="CR49" s="10">
        <f t="shared" si="199"/>
        <v>0</v>
      </c>
      <c r="CS49" s="10">
        <f t="shared" si="199"/>
        <v>0</v>
      </c>
    </row>
    <row r="50" spans="2:97" outlineLevel="2" x14ac:dyDescent="0.2">
      <c r="B50" s="95" t="s">
        <v>14</v>
      </c>
      <c r="C50" s="95" t="s">
        <v>4</v>
      </c>
      <c r="D50" s="104"/>
      <c r="F50" s="22"/>
      <c r="G50" s="22"/>
      <c r="H50" s="22"/>
      <c r="I50" s="22"/>
      <c r="J50" s="22"/>
      <c r="K50" s="22"/>
      <c r="L50" s="22"/>
      <c r="M50" s="22"/>
      <c r="N50" s="22"/>
      <c r="O50" s="22"/>
      <c r="P50" s="22"/>
      <c r="Q50" s="22"/>
      <c r="R50" s="22">
        <v>0</v>
      </c>
      <c r="S50" s="22">
        <v>0</v>
      </c>
      <c r="T50" s="22">
        <v>0</v>
      </c>
      <c r="U50" s="22">
        <v>20</v>
      </c>
      <c r="V50" s="22">
        <f t="shared" ref="V50:AW50" si="216">U50</f>
        <v>20</v>
      </c>
      <c r="W50" s="22">
        <v>18</v>
      </c>
      <c r="X50" s="22">
        <f t="shared" si="216"/>
        <v>18</v>
      </c>
      <c r="Y50" s="22">
        <f t="shared" si="216"/>
        <v>18</v>
      </c>
      <c r="Z50" s="22">
        <f t="shared" si="216"/>
        <v>18</v>
      </c>
      <c r="AA50" s="22">
        <f t="shared" si="216"/>
        <v>18</v>
      </c>
      <c r="AB50" s="22">
        <f t="shared" si="216"/>
        <v>18</v>
      </c>
      <c r="AC50" s="22">
        <f t="shared" si="216"/>
        <v>18</v>
      </c>
      <c r="AD50" s="22">
        <f t="shared" si="216"/>
        <v>18</v>
      </c>
      <c r="AE50" s="226">
        <v>55</v>
      </c>
      <c r="AF50" s="22">
        <f t="shared" si="216"/>
        <v>55</v>
      </c>
      <c r="AG50" s="22">
        <f t="shared" si="216"/>
        <v>55</v>
      </c>
      <c r="AH50" s="22">
        <f t="shared" si="216"/>
        <v>55</v>
      </c>
      <c r="AI50" s="22">
        <f t="shared" si="216"/>
        <v>55</v>
      </c>
      <c r="AJ50" s="226">
        <v>65</v>
      </c>
      <c r="AK50" s="22">
        <f t="shared" si="216"/>
        <v>65</v>
      </c>
      <c r="AL50" s="22">
        <f t="shared" si="216"/>
        <v>65</v>
      </c>
      <c r="AM50" s="22">
        <f t="shared" si="216"/>
        <v>65</v>
      </c>
      <c r="AN50" s="22">
        <f t="shared" si="216"/>
        <v>65</v>
      </c>
      <c r="AO50" s="22">
        <f t="shared" si="216"/>
        <v>65</v>
      </c>
      <c r="AP50" s="22">
        <f t="shared" si="216"/>
        <v>65</v>
      </c>
      <c r="AQ50" s="22">
        <f t="shared" si="216"/>
        <v>65</v>
      </c>
      <c r="AR50" s="22">
        <f t="shared" si="216"/>
        <v>65</v>
      </c>
      <c r="AS50" s="22">
        <f t="shared" si="216"/>
        <v>65</v>
      </c>
      <c r="AT50" s="22">
        <f t="shared" si="216"/>
        <v>65</v>
      </c>
      <c r="AU50" s="22">
        <f t="shared" si="216"/>
        <v>65</v>
      </c>
      <c r="AV50" s="22">
        <f t="shared" si="216"/>
        <v>65</v>
      </c>
      <c r="AW50" s="22">
        <f t="shared" si="216"/>
        <v>65</v>
      </c>
      <c r="AX50" s="22">
        <f t="shared" ref="AX50" si="217">AW50</f>
        <v>65</v>
      </c>
      <c r="AY50" s="22">
        <f t="shared" ref="AY50" si="218">AX50</f>
        <v>65</v>
      </c>
      <c r="AZ50" s="22">
        <f t="shared" ref="AZ50" si="219">AY50</f>
        <v>65</v>
      </c>
      <c r="BA50" s="22">
        <f t="shared" ref="BA50" si="220">AZ50</f>
        <v>65</v>
      </c>
      <c r="BB50" s="22">
        <f t="shared" ref="BB50" si="221">BA50</f>
        <v>65</v>
      </c>
      <c r="BC50" s="22">
        <f t="shared" ref="BC50" si="222">BB50</f>
        <v>65</v>
      </c>
      <c r="BD50" s="22">
        <f t="shared" ref="BD50" si="223">BC50</f>
        <v>65</v>
      </c>
      <c r="BE50" s="22">
        <f t="shared" ref="BE50" si="224">BD50</f>
        <v>65</v>
      </c>
      <c r="BF50" s="22">
        <f t="shared" ref="BF50" si="225">BE50</f>
        <v>65</v>
      </c>
      <c r="BG50" s="22">
        <f t="shared" ref="BG50" si="226">BF50</f>
        <v>65</v>
      </c>
      <c r="BH50" s="22">
        <f t="shared" ref="BH50" si="227">BG50</f>
        <v>65</v>
      </c>
      <c r="BI50" s="22">
        <f t="shared" ref="BI50" si="228">BH50</f>
        <v>65</v>
      </c>
      <c r="BJ50" s="22">
        <f t="shared" ref="BJ50" si="229">BI50</f>
        <v>65</v>
      </c>
      <c r="BK50" s="22">
        <f t="shared" ref="BK50" si="230">BJ50</f>
        <v>65</v>
      </c>
      <c r="BL50" s="22">
        <f t="shared" ref="BL50" si="231">BK50</f>
        <v>65</v>
      </c>
      <c r="BM50" s="22">
        <f t="shared" ref="BM50" si="232">BL50</f>
        <v>65</v>
      </c>
      <c r="BN50" s="22">
        <f t="shared" ref="BN50" si="233">BM50</f>
        <v>65</v>
      </c>
      <c r="BO50" s="22">
        <f t="shared" ref="BO50" si="234">BN50</f>
        <v>65</v>
      </c>
      <c r="BP50" s="22">
        <f t="shared" ref="BP50" si="235">BO50</f>
        <v>65</v>
      </c>
      <c r="BQ50" s="22">
        <f t="shared" ref="BQ50" si="236">BP50</f>
        <v>65</v>
      </c>
      <c r="BR50" s="22">
        <f t="shared" ref="BR50" si="237">BQ50</f>
        <v>65</v>
      </c>
      <c r="BS50" s="22">
        <f t="shared" ref="BS50" si="238">BR50</f>
        <v>65</v>
      </c>
      <c r="BT50" s="22">
        <f t="shared" ref="BT50" si="239">BS50</f>
        <v>65</v>
      </c>
      <c r="BU50" s="22">
        <f t="shared" ref="BU50" si="240">BT50</f>
        <v>65</v>
      </c>
      <c r="BV50" s="22">
        <f t="shared" ref="BV50" si="241">BU50</f>
        <v>65</v>
      </c>
      <c r="BW50" s="22">
        <f t="shared" ref="BW50" si="242">BV50</f>
        <v>65</v>
      </c>
      <c r="BX50" s="22">
        <f t="shared" ref="BX50" si="243">BW50</f>
        <v>65</v>
      </c>
      <c r="BY50" s="22">
        <f t="shared" ref="BY50" si="244">BX50</f>
        <v>65</v>
      </c>
      <c r="BZ50" s="22">
        <f t="shared" ref="BZ50" si="245">BY50</f>
        <v>65</v>
      </c>
      <c r="CA50" s="22">
        <f t="shared" ref="CA50" si="246">BZ50</f>
        <v>65</v>
      </c>
      <c r="CB50" s="22">
        <f t="shared" ref="CB50" si="247">CA50</f>
        <v>65</v>
      </c>
      <c r="CC50" s="22">
        <f t="shared" ref="CC50" si="248">CB50</f>
        <v>65</v>
      </c>
      <c r="CD50" s="22">
        <f t="shared" ref="CD50" si="249">CC50</f>
        <v>65</v>
      </c>
      <c r="CE50" s="22">
        <f t="shared" ref="CE50" si="250">CD50</f>
        <v>65</v>
      </c>
      <c r="CF50" s="22">
        <f t="shared" ref="CF50" si="251">CE50</f>
        <v>65</v>
      </c>
      <c r="CG50" s="22">
        <f t="shared" ref="CG50" si="252">CF50</f>
        <v>65</v>
      </c>
      <c r="CH50" s="22">
        <f t="shared" ref="CH50" si="253">CG50</f>
        <v>65</v>
      </c>
      <c r="CI50" s="22">
        <f t="shared" ref="CI50" si="254">CH50</f>
        <v>65</v>
      </c>
      <c r="CJ50" s="22">
        <f t="shared" ref="CJ50" si="255">CI50</f>
        <v>65</v>
      </c>
      <c r="CK50" s="22">
        <f t="shared" ref="CK50" si="256">CJ50</f>
        <v>65</v>
      </c>
      <c r="CM50" s="10">
        <f t="shared" si="198"/>
        <v>0</v>
      </c>
      <c r="CN50" s="10">
        <f t="shared" si="198"/>
        <v>166</v>
      </c>
      <c r="CO50" s="10">
        <f t="shared" si="198"/>
        <v>683</v>
      </c>
      <c r="CP50" s="10">
        <f t="shared" si="198"/>
        <v>780</v>
      </c>
      <c r="CQ50" s="10">
        <f t="shared" si="198"/>
        <v>780</v>
      </c>
      <c r="CR50" s="10">
        <f t="shared" si="199"/>
        <v>780</v>
      </c>
      <c r="CS50" s="10">
        <f t="shared" si="199"/>
        <v>780</v>
      </c>
    </row>
    <row r="51" spans="2:97" outlineLevel="1" x14ac:dyDescent="0.2">
      <c r="B51" s="88" t="s">
        <v>17</v>
      </c>
      <c r="C51" s="92"/>
      <c r="D51" s="92"/>
      <c r="F51" s="94">
        <f t="shared" ref="F51:K51" si="257">SUM(F52:F53)</f>
        <v>0</v>
      </c>
      <c r="G51" s="94">
        <f t="shared" si="257"/>
        <v>0</v>
      </c>
      <c r="H51" s="94">
        <f t="shared" si="257"/>
        <v>0</v>
      </c>
      <c r="I51" s="94">
        <f t="shared" si="257"/>
        <v>0</v>
      </c>
      <c r="J51" s="94">
        <f t="shared" si="257"/>
        <v>0</v>
      </c>
      <c r="K51" s="94">
        <f t="shared" si="257"/>
        <v>0</v>
      </c>
      <c r="L51" s="94">
        <f t="shared" ref="L51:AQ51" si="258">SUM(L52:L53)</f>
        <v>0</v>
      </c>
      <c r="M51" s="94">
        <f t="shared" si="258"/>
        <v>0</v>
      </c>
      <c r="N51" s="94">
        <f t="shared" si="258"/>
        <v>0</v>
      </c>
      <c r="O51" s="94">
        <f t="shared" si="258"/>
        <v>0</v>
      </c>
      <c r="P51" s="94">
        <f t="shared" si="258"/>
        <v>0</v>
      </c>
      <c r="Q51" s="94">
        <f t="shared" si="258"/>
        <v>0</v>
      </c>
      <c r="R51" s="94">
        <f t="shared" si="258"/>
        <v>3.8334000000000001</v>
      </c>
      <c r="S51" s="94">
        <f t="shared" si="258"/>
        <v>6.0763500000000006</v>
      </c>
      <c r="T51" s="94">
        <f t="shared" si="258"/>
        <v>2.7841500000000003</v>
      </c>
      <c r="U51" s="94">
        <f t="shared" si="258"/>
        <v>27.927099999999999</v>
      </c>
      <c r="V51" s="94">
        <f t="shared" si="258"/>
        <v>26.133150000000001</v>
      </c>
      <c r="W51" s="94">
        <f t="shared" si="258"/>
        <v>23.841050000000003</v>
      </c>
      <c r="X51" s="94">
        <f t="shared" si="258"/>
        <v>36.939750499999995</v>
      </c>
      <c r="Y51" s="94">
        <f t="shared" si="258"/>
        <v>31.250430000000001</v>
      </c>
      <c r="Z51" s="94">
        <f t="shared" si="258"/>
        <v>33.679828000000008</v>
      </c>
      <c r="AA51" s="94">
        <f t="shared" si="258"/>
        <v>42.483514000000007</v>
      </c>
      <c r="AB51" s="94">
        <f t="shared" si="258"/>
        <v>36.972099500000006</v>
      </c>
      <c r="AC51" s="94">
        <f t="shared" si="258"/>
        <v>68.603290500000014</v>
      </c>
      <c r="AD51" s="94">
        <f t="shared" si="258"/>
        <v>24.705850000000002</v>
      </c>
      <c r="AE51" s="94">
        <f t="shared" si="258"/>
        <v>29.499549999999999</v>
      </c>
      <c r="AF51" s="94">
        <f t="shared" si="258"/>
        <v>34.863749999999996</v>
      </c>
      <c r="AG51" s="94">
        <f t="shared" si="258"/>
        <v>35.386706250000003</v>
      </c>
      <c r="AH51" s="94">
        <f t="shared" si="258"/>
        <v>35.917506843749997</v>
      </c>
      <c r="AI51" s="94">
        <f t="shared" si="258"/>
        <v>36.097094377968745</v>
      </c>
      <c r="AJ51" s="94">
        <f t="shared" si="258"/>
        <v>36.277579849858583</v>
      </c>
      <c r="AK51" s="94">
        <f t="shared" si="258"/>
        <v>36.458967749107877</v>
      </c>
      <c r="AL51" s="94">
        <f t="shared" si="258"/>
        <v>36.641262587853412</v>
      </c>
      <c r="AM51" s="94">
        <f t="shared" si="258"/>
        <v>37.190881526671212</v>
      </c>
      <c r="AN51" s="94">
        <f t="shared" si="258"/>
        <v>37.74874474957128</v>
      </c>
      <c r="AO51" s="94">
        <f t="shared" si="258"/>
        <v>38.314975920814845</v>
      </c>
      <c r="AP51" s="94">
        <f t="shared" si="258"/>
        <v>38.698125680022997</v>
      </c>
      <c r="AQ51" s="94">
        <f t="shared" si="258"/>
        <v>39.085106936823223</v>
      </c>
      <c r="AR51" s="94">
        <f t="shared" ref="AR51:BU51" si="259">SUM(AR52:AR53)</f>
        <v>39.671383540875567</v>
      </c>
      <c r="AS51" s="94">
        <f t="shared" si="259"/>
        <v>40.266454293988694</v>
      </c>
      <c r="AT51" s="94">
        <f t="shared" si="259"/>
        <v>40.870451108398527</v>
      </c>
      <c r="AU51" s="94">
        <f t="shared" si="259"/>
        <v>41.279155619482509</v>
      </c>
      <c r="AV51" s="94">
        <f t="shared" si="259"/>
        <v>41.691947175677335</v>
      </c>
      <c r="AW51" s="94">
        <f t="shared" si="259"/>
        <v>42.108866647434112</v>
      </c>
      <c r="AX51" s="94">
        <f t="shared" si="259"/>
        <v>42.529955313908445</v>
      </c>
      <c r="AY51" s="94">
        <f t="shared" si="259"/>
        <v>43.167904643617078</v>
      </c>
      <c r="AZ51" s="94">
        <f t="shared" si="259"/>
        <v>43.815423213271323</v>
      </c>
      <c r="BA51" s="94">
        <f t="shared" si="259"/>
        <v>44.472654561470392</v>
      </c>
      <c r="BB51" s="94">
        <f t="shared" si="259"/>
        <v>44.695017834277735</v>
      </c>
      <c r="BC51" s="94">
        <f t="shared" si="259"/>
        <v>44.918492923449122</v>
      </c>
      <c r="BD51" s="94">
        <f t="shared" si="259"/>
        <v>45.592270317300851</v>
      </c>
      <c r="BE51" s="94">
        <f t="shared" si="259"/>
        <v>46.276154372060361</v>
      </c>
      <c r="BF51" s="94">
        <f t="shared" si="259"/>
        <v>46.970296687641266</v>
      </c>
      <c r="BG51" s="94">
        <f t="shared" si="259"/>
        <v>47.205148171079465</v>
      </c>
      <c r="BH51" s="94">
        <f t="shared" si="259"/>
        <v>47.441173911934854</v>
      </c>
      <c r="BI51" s="94">
        <f t="shared" si="259"/>
        <v>47.678379781494527</v>
      </c>
      <c r="BJ51" s="94">
        <f t="shared" si="259"/>
        <v>47.916771680401993</v>
      </c>
      <c r="BK51" s="94">
        <f t="shared" si="259"/>
        <v>48.635523255608028</v>
      </c>
      <c r="BL51" s="94">
        <f t="shared" si="259"/>
        <v>49.365056104442139</v>
      </c>
      <c r="BM51" s="94">
        <f t="shared" si="259"/>
        <v>50.105531946008767</v>
      </c>
      <c r="BN51" s="94">
        <f t="shared" si="259"/>
        <v>50.356059605738807</v>
      </c>
      <c r="BO51" s="94">
        <f t="shared" si="259"/>
        <v>50.607839903767491</v>
      </c>
      <c r="BP51" s="94">
        <f t="shared" si="259"/>
        <v>51.366957502323999</v>
      </c>
      <c r="BQ51" s="94">
        <f t="shared" si="259"/>
        <v>52.137461864858849</v>
      </c>
      <c r="BR51" s="94">
        <f t="shared" si="259"/>
        <v>52.919523792831733</v>
      </c>
      <c r="BS51" s="94">
        <f t="shared" si="259"/>
        <v>53.184121411795871</v>
      </c>
      <c r="BT51" s="94">
        <f t="shared" si="259"/>
        <v>53.450042018854859</v>
      </c>
      <c r="BU51" s="94">
        <f t="shared" si="259"/>
        <v>53.717292228949127</v>
      </c>
      <c r="BV51" s="94">
        <f t="shared" ref="BV51:BX51" si="260">SUM(BV52:BV53)</f>
        <v>53.985878690093863</v>
      </c>
      <c r="BW51" s="94">
        <f t="shared" si="260"/>
        <v>54.795666870445274</v>
      </c>
      <c r="BX51" s="94">
        <f t="shared" si="260"/>
        <v>55.617601873501926</v>
      </c>
      <c r="BY51" s="94">
        <f t="shared" ref="BY51:CK51" si="261">SUM(BY52:BY53)</f>
        <v>56.45186590160445</v>
      </c>
      <c r="BZ51" s="94">
        <f t="shared" si="261"/>
        <v>57.298643890128524</v>
      </c>
      <c r="CA51" s="94">
        <f t="shared" si="261"/>
        <v>58.158123548480447</v>
      </c>
      <c r="CB51" s="94">
        <f t="shared" si="261"/>
        <v>59.03049540170764</v>
      </c>
      <c r="CC51" s="94">
        <f t="shared" si="261"/>
        <v>59.915952832733254</v>
      </c>
      <c r="CD51" s="94">
        <f t="shared" si="261"/>
        <v>60.814692125224248</v>
      </c>
      <c r="CE51" s="94">
        <f t="shared" si="261"/>
        <v>61.726912507102611</v>
      </c>
      <c r="CF51" s="94">
        <f t="shared" si="261"/>
        <v>62.652816194709132</v>
      </c>
      <c r="CG51" s="94">
        <f t="shared" si="261"/>
        <v>63.592608437629764</v>
      </c>
      <c r="CH51" s="94">
        <f t="shared" si="261"/>
        <v>64.546497564194198</v>
      </c>
      <c r="CI51" s="94">
        <f t="shared" si="261"/>
        <v>65.514695027657112</v>
      </c>
      <c r="CJ51" s="94">
        <f t="shared" si="261"/>
        <v>66.497415453071966</v>
      </c>
      <c r="CK51" s="94">
        <f t="shared" si="261"/>
        <v>67.494876684868032</v>
      </c>
      <c r="CM51" s="94">
        <f t="shared" si="198"/>
        <v>0</v>
      </c>
      <c r="CN51" s="94">
        <f t="shared" si="198"/>
        <v>340.52411250000006</v>
      </c>
      <c r="CO51" s="94">
        <f t="shared" si="198"/>
        <v>419.102869855596</v>
      </c>
      <c r="CP51" s="94">
        <f t="shared" si="198"/>
        <v>497.65742873497021</v>
      </c>
      <c r="CQ51" s="94">
        <f t="shared" si="198"/>
        <v>566.79981698569918</v>
      </c>
      <c r="CR51" s="94">
        <f t="shared" si="199"/>
        <v>638.59031166476632</v>
      </c>
      <c r="CS51" s="94">
        <f t="shared" si="199"/>
        <v>747.24372966750695</v>
      </c>
    </row>
    <row r="52" spans="2:97" outlineLevel="2" x14ac:dyDescent="0.2">
      <c r="B52" s="95" t="s">
        <v>40</v>
      </c>
      <c r="C52" s="92" t="s">
        <v>39</v>
      </c>
      <c r="D52" s="104">
        <v>0.04</v>
      </c>
      <c r="F52" s="22"/>
      <c r="G52" s="22"/>
      <c r="H52" s="22"/>
      <c r="I52" s="22"/>
      <c r="J52" s="22"/>
      <c r="K52" s="22"/>
      <c r="L52" s="22"/>
      <c r="M52" s="22"/>
      <c r="N52" s="22"/>
      <c r="O52" s="22"/>
      <c r="P52" s="22">
        <f t="shared" ref="P52:R53" si="262">P$39*$D52</f>
        <v>0</v>
      </c>
      <c r="Q52" s="22">
        <f t="shared" si="262"/>
        <v>0</v>
      </c>
      <c r="R52" s="22">
        <f t="shared" si="262"/>
        <v>3.0667200000000001</v>
      </c>
      <c r="S52" s="22">
        <f t="shared" ref="S52:CK53" si="263">S$39*$D52</f>
        <v>4.8610800000000003</v>
      </c>
      <c r="T52" s="22">
        <f t="shared" si="263"/>
        <v>2.2273200000000002</v>
      </c>
      <c r="U52" s="22">
        <f t="shared" si="263"/>
        <v>22.34168</v>
      </c>
      <c r="V52" s="22">
        <f t="shared" si="263"/>
        <v>20.90652</v>
      </c>
      <c r="W52" s="22">
        <f t="shared" si="263"/>
        <v>19.072840000000003</v>
      </c>
      <c r="X52" s="22">
        <f t="shared" si="263"/>
        <v>29.551800399999998</v>
      </c>
      <c r="Y52" s="22">
        <f t="shared" si="263"/>
        <v>25.000344000000002</v>
      </c>
      <c r="Z52" s="22">
        <f t="shared" si="263"/>
        <v>26.943862400000004</v>
      </c>
      <c r="AA52" s="22">
        <f t="shared" si="263"/>
        <v>33.986811200000005</v>
      </c>
      <c r="AB52" s="22">
        <f t="shared" si="263"/>
        <v>29.577679600000003</v>
      </c>
      <c r="AC52" s="22">
        <f t="shared" si="263"/>
        <v>54.882632400000006</v>
      </c>
      <c r="AD52" s="22">
        <f t="shared" si="263"/>
        <v>19.764680000000002</v>
      </c>
      <c r="AE52" s="22">
        <f t="shared" si="263"/>
        <v>23.599640000000001</v>
      </c>
      <c r="AF52" s="22">
        <f t="shared" si="263"/>
        <v>27.890999999999998</v>
      </c>
      <c r="AG52" s="22">
        <f t="shared" si="263"/>
        <v>28.309365</v>
      </c>
      <c r="AH52" s="22">
        <f t="shared" si="263"/>
        <v>28.734005475</v>
      </c>
      <c r="AI52" s="22">
        <f t="shared" si="263"/>
        <v>28.877675502374995</v>
      </c>
      <c r="AJ52" s="22">
        <f t="shared" si="263"/>
        <v>29.022063879886868</v>
      </c>
      <c r="AK52" s="22">
        <f t="shared" si="263"/>
        <v>29.167174199286301</v>
      </c>
      <c r="AL52" s="22">
        <f t="shared" si="263"/>
        <v>29.313010070282729</v>
      </c>
      <c r="AM52" s="22">
        <f t="shared" si="263"/>
        <v>29.752705221336971</v>
      </c>
      <c r="AN52" s="22">
        <f t="shared" si="263"/>
        <v>30.198995799657023</v>
      </c>
      <c r="AO52" s="22">
        <f t="shared" si="263"/>
        <v>30.651980736651876</v>
      </c>
      <c r="AP52" s="22">
        <f t="shared" si="263"/>
        <v>30.958500544018399</v>
      </c>
      <c r="AQ52" s="22">
        <f t="shared" si="263"/>
        <v>31.268085549458579</v>
      </c>
      <c r="AR52" s="22">
        <f t="shared" si="263"/>
        <v>31.737106832700455</v>
      </c>
      <c r="AS52" s="22">
        <f t="shared" si="263"/>
        <v>32.213163435190957</v>
      </c>
      <c r="AT52" s="22">
        <f t="shared" si="263"/>
        <v>32.696360886718821</v>
      </c>
      <c r="AU52" s="22">
        <f t="shared" si="263"/>
        <v>33.02332449558601</v>
      </c>
      <c r="AV52" s="22">
        <f t="shared" si="263"/>
        <v>33.353557740541866</v>
      </c>
      <c r="AW52" s="22">
        <f t="shared" si="263"/>
        <v>33.687093317947287</v>
      </c>
      <c r="AX52" s="22">
        <f t="shared" si="263"/>
        <v>34.023964251126756</v>
      </c>
      <c r="AY52" s="22">
        <f t="shared" si="263"/>
        <v>34.534323714893659</v>
      </c>
      <c r="AZ52" s="22">
        <f t="shared" si="263"/>
        <v>35.05233857061706</v>
      </c>
      <c r="BA52" s="22">
        <f t="shared" si="263"/>
        <v>35.578123649176312</v>
      </c>
      <c r="BB52" s="22">
        <f t="shared" si="263"/>
        <v>35.756014267422188</v>
      </c>
      <c r="BC52" s="22">
        <f t="shared" si="263"/>
        <v>35.934794338759296</v>
      </c>
      <c r="BD52" s="22">
        <f t="shared" si="263"/>
        <v>36.473816253840681</v>
      </c>
      <c r="BE52" s="22">
        <f t="shared" si="263"/>
        <v>37.02092349764829</v>
      </c>
      <c r="BF52" s="22">
        <f t="shared" si="263"/>
        <v>37.576237350113011</v>
      </c>
      <c r="BG52" s="22">
        <f t="shared" si="263"/>
        <v>37.76411853686357</v>
      </c>
      <c r="BH52" s="22">
        <f t="shared" si="263"/>
        <v>37.952939129547886</v>
      </c>
      <c r="BI52" s="22">
        <f t="shared" si="263"/>
        <v>38.142703825195625</v>
      </c>
      <c r="BJ52" s="22">
        <f t="shared" si="263"/>
        <v>38.333417344321596</v>
      </c>
      <c r="BK52" s="22">
        <f t="shared" si="263"/>
        <v>38.908418604486421</v>
      </c>
      <c r="BL52" s="22">
        <f t="shared" si="263"/>
        <v>39.49204488355371</v>
      </c>
      <c r="BM52" s="22">
        <f t="shared" si="263"/>
        <v>40.084425556807012</v>
      </c>
      <c r="BN52" s="22">
        <f t="shared" si="263"/>
        <v>40.284847684591043</v>
      </c>
      <c r="BO52" s="22">
        <f t="shared" si="263"/>
        <v>40.486271923013994</v>
      </c>
      <c r="BP52" s="22">
        <f t="shared" si="263"/>
        <v>41.093566001859202</v>
      </c>
      <c r="BQ52" s="22">
        <f t="shared" si="263"/>
        <v>41.70996949188708</v>
      </c>
      <c r="BR52" s="22">
        <f t="shared" si="263"/>
        <v>42.335619034265385</v>
      </c>
      <c r="BS52" s="22">
        <f t="shared" si="263"/>
        <v>42.5472971294367</v>
      </c>
      <c r="BT52" s="22">
        <f t="shared" si="263"/>
        <v>42.760033615083884</v>
      </c>
      <c r="BU52" s="22">
        <f t="shared" si="263"/>
        <v>42.9738337831593</v>
      </c>
      <c r="BV52" s="22">
        <f t="shared" si="263"/>
        <v>43.18870295207509</v>
      </c>
      <c r="BW52" s="22">
        <f t="shared" si="263"/>
        <v>43.836533496356218</v>
      </c>
      <c r="BX52" s="22">
        <f t="shared" si="263"/>
        <v>44.494081498801542</v>
      </c>
      <c r="BY52" s="22">
        <f t="shared" si="263"/>
        <v>45.161492721283558</v>
      </c>
      <c r="BZ52" s="22">
        <f t="shared" si="263"/>
        <v>45.838915112102818</v>
      </c>
      <c r="CA52" s="22">
        <f t="shared" si="263"/>
        <v>46.526498838784356</v>
      </c>
      <c r="CB52" s="22">
        <f t="shared" si="263"/>
        <v>47.224396321366115</v>
      </c>
      <c r="CC52" s="22">
        <f t="shared" si="263"/>
        <v>47.9327622661866</v>
      </c>
      <c r="CD52" s="22">
        <f t="shared" si="263"/>
        <v>48.651753700179398</v>
      </c>
      <c r="CE52" s="22">
        <f t="shared" si="263"/>
        <v>49.381530005682087</v>
      </c>
      <c r="CF52" s="22">
        <f t="shared" si="263"/>
        <v>50.122252955767308</v>
      </c>
      <c r="CG52" s="22">
        <f t="shared" si="263"/>
        <v>50.874086750103814</v>
      </c>
      <c r="CH52" s="22">
        <f t="shared" si="263"/>
        <v>51.637198051355362</v>
      </c>
      <c r="CI52" s="22">
        <f t="shared" si="263"/>
        <v>52.411756022125694</v>
      </c>
      <c r="CJ52" s="22">
        <f t="shared" si="263"/>
        <v>53.197932362457571</v>
      </c>
      <c r="CK52" s="22">
        <f t="shared" si="263"/>
        <v>53.995901347894424</v>
      </c>
      <c r="CM52" s="10">
        <f t="shared" si="198"/>
        <v>0</v>
      </c>
      <c r="CN52" s="10">
        <f t="shared" si="198"/>
        <v>272.41929000000005</v>
      </c>
      <c r="CO52" s="10">
        <f t="shared" si="198"/>
        <v>335.28229588447675</v>
      </c>
      <c r="CP52" s="10">
        <f t="shared" si="198"/>
        <v>398.12594298797615</v>
      </c>
      <c r="CQ52" s="10">
        <f t="shared" si="198"/>
        <v>453.43985358855929</v>
      </c>
      <c r="CR52" s="10">
        <f t="shared" si="199"/>
        <v>510.87224933181301</v>
      </c>
      <c r="CS52" s="10">
        <f t="shared" si="199"/>
        <v>597.79498373400554</v>
      </c>
    </row>
    <row r="53" spans="2:97" outlineLevel="2" x14ac:dyDescent="0.2">
      <c r="B53" s="95" t="s">
        <v>41</v>
      </c>
      <c r="C53" s="92" t="s">
        <v>39</v>
      </c>
      <c r="D53" s="104">
        <v>0.01</v>
      </c>
      <c r="P53" s="22">
        <f t="shared" si="262"/>
        <v>0</v>
      </c>
      <c r="Q53" s="22">
        <f t="shared" si="262"/>
        <v>0</v>
      </c>
      <c r="R53" s="22">
        <f t="shared" si="262"/>
        <v>0.76668000000000003</v>
      </c>
      <c r="S53" s="22">
        <f>S$39*$D53</f>
        <v>1.2152700000000001</v>
      </c>
      <c r="T53" s="22">
        <f t="shared" si="263"/>
        <v>0.55683000000000005</v>
      </c>
      <c r="U53" s="22">
        <f t="shared" si="263"/>
        <v>5.5854200000000001</v>
      </c>
      <c r="V53" s="22">
        <f t="shared" si="263"/>
        <v>5.2266300000000001</v>
      </c>
      <c r="W53" s="22">
        <f t="shared" si="263"/>
        <v>4.7682100000000007</v>
      </c>
      <c r="X53" s="22">
        <f t="shared" si="263"/>
        <v>7.3879500999999994</v>
      </c>
      <c r="Y53" s="22">
        <f t="shared" si="263"/>
        <v>6.2500860000000005</v>
      </c>
      <c r="Z53" s="22">
        <f t="shared" si="263"/>
        <v>6.735965600000001</v>
      </c>
      <c r="AA53" s="22">
        <f t="shared" si="263"/>
        <v>8.4967028000000013</v>
      </c>
      <c r="AB53" s="22">
        <f t="shared" si="263"/>
        <v>7.3944199000000008</v>
      </c>
      <c r="AC53" s="22">
        <f t="shared" si="263"/>
        <v>13.720658100000001</v>
      </c>
      <c r="AD53" s="22">
        <f t="shared" si="263"/>
        <v>4.9411700000000005</v>
      </c>
      <c r="AE53" s="22">
        <f t="shared" si="263"/>
        <v>5.8999100000000002</v>
      </c>
      <c r="AF53" s="22">
        <f t="shared" si="263"/>
        <v>6.9727499999999996</v>
      </c>
      <c r="AG53" s="22">
        <f t="shared" si="263"/>
        <v>7.0773412499999999</v>
      </c>
      <c r="AH53" s="22">
        <f t="shared" si="263"/>
        <v>7.18350136875</v>
      </c>
      <c r="AI53" s="22">
        <f t="shared" si="263"/>
        <v>7.2194188755937487</v>
      </c>
      <c r="AJ53" s="22">
        <f t="shared" si="263"/>
        <v>7.2555159699717171</v>
      </c>
      <c r="AK53" s="22">
        <f t="shared" si="263"/>
        <v>7.2917935498215751</v>
      </c>
      <c r="AL53" s="22">
        <f t="shared" si="263"/>
        <v>7.3282525175706823</v>
      </c>
      <c r="AM53" s="22">
        <f t="shared" si="263"/>
        <v>7.4381763053342427</v>
      </c>
      <c r="AN53" s="22">
        <f t="shared" si="263"/>
        <v>7.5497489499142558</v>
      </c>
      <c r="AO53" s="22">
        <f t="shared" si="263"/>
        <v>7.6629951841629689</v>
      </c>
      <c r="AP53" s="22">
        <f t="shared" si="263"/>
        <v>7.7396251360045998</v>
      </c>
      <c r="AQ53" s="22">
        <f t="shared" si="263"/>
        <v>7.8170213873646448</v>
      </c>
      <c r="AR53" s="22">
        <f t="shared" si="263"/>
        <v>7.9342767081751138</v>
      </c>
      <c r="AS53" s="22">
        <f t="shared" si="263"/>
        <v>8.0532908587977392</v>
      </c>
      <c r="AT53" s="22">
        <f t="shared" si="263"/>
        <v>8.1740902216797053</v>
      </c>
      <c r="AU53" s="22">
        <f t="shared" si="263"/>
        <v>8.2558311238965025</v>
      </c>
      <c r="AV53" s="22">
        <f t="shared" si="263"/>
        <v>8.3383894351354666</v>
      </c>
      <c r="AW53" s="22">
        <f t="shared" si="263"/>
        <v>8.4217733294868218</v>
      </c>
      <c r="AX53" s="22">
        <f t="shared" si="263"/>
        <v>8.505991062781689</v>
      </c>
      <c r="AY53" s="22">
        <f t="shared" si="263"/>
        <v>8.6335809287234149</v>
      </c>
      <c r="AZ53" s="22">
        <f t="shared" si="263"/>
        <v>8.763084642654265</v>
      </c>
      <c r="BA53" s="22">
        <f t="shared" si="263"/>
        <v>8.8945309122940781</v>
      </c>
      <c r="BB53" s="22">
        <f t="shared" si="263"/>
        <v>8.939003566855547</v>
      </c>
      <c r="BC53" s="22">
        <f t="shared" si="263"/>
        <v>8.9836985846898241</v>
      </c>
      <c r="BD53" s="22">
        <f t="shared" si="263"/>
        <v>9.1184540634601703</v>
      </c>
      <c r="BE53" s="22">
        <f t="shared" si="263"/>
        <v>9.2552308744120726</v>
      </c>
      <c r="BF53" s="22">
        <f t="shared" si="263"/>
        <v>9.3940593375282528</v>
      </c>
      <c r="BG53" s="22">
        <f t="shared" si="263"/>
        <v>9.4410296342158926</v>
      </c>
      <c r="BH53" s="22">
        <f t="shared" si="263"/>
        <v>9.4882347823869715</v>
      </c>
      <c r="BI53" s="22">
        <f t="shared" si="263"/>
        <v>9.5356759562989062</v>
      </c>
      <c r="BJ53" s="22">
        <f t="shared" si="263"/>
        <v>9.583354336080399</v>
      </c>
      <c r="BK53" s="22">
        <f t="shared" si="263"/>
        <v>9.7271046511216053</v>
      </c>
      <c r="BL53" s="22">
        <f t="shared" si="263"/>
        <v>9.8730112208884275</v>
      </c>
      <c r="BM53" s="22">
        <f t="shared" si="263"/>
        <v>10.021106389201753</v>
      </c>
      <c r="BN53" s="22">
        <f t="shared" si="263"/>
        <v>10.071211921147761</v>
      </c>
      <c r="BO53" s="22">
        <f t="shared" si="263"/>
        <v>10.121567980753499</v>
      </c>
      <c r="BP53" s="22">
        <f t="shared" si="263"/>
        <v>10.2733915004648</v>
      </c>
      <c r="BQ53" s="22">
        <f t="shared" si="263"/>
        <v>10.42749237297177</v>
      </c>
      <c r="BR53" s="22">
        <f t="shared" si="263"/>
        <v>10.583904758566346</v>
      </c>
      <c r="BS53" s="22">
        <f t="shared" si="263"/>
        <v>10.636824282359175</v>
      </c>
      <c r="BT53" s="22">
        <f t="shared" si="263"/>
        <v>10.690008403770971</v>
      </c>
      <c r="BU53" s="22">
        <f t="shared" si="263"/>
        <v>10.743458445789825</v>
      </c>
      <c r="BV53" s="22">
        <f t="shared" si="263"/>
        <v>10.797175738018773</v>
      </c>
      <c r="BW53" s="22">
        <f t="shared" si="263"/>
        <v>10.959133374089054</v>
      </c>
      <c r="BX53" s="22">
        <f t="shared" si="263"/>
        <v>11.123520374700385</v>
      </c>
      <c r="BY53" s="22">
        <f t="shared" si="263"/>
        <v>11.29037318032089</v>
      </c>
      <c r="BZ53" s="22">
        <f t="shared" si="263"/>
        <v>11.459728778025704</v>
      </c>
      <c r="CA53" s="22">
        <f t="shared" si="263"/>
        <v>11.631624709696089</v>
      </c>
      <c r="CB53" s="22">
        <f t="shared" si="263"/>
        <v>11.806099080341529</v>
      </c>
      <c r="CC53" s="22">
        <f t="shared" si="263"/>
        <v>11.98319056654665</v>
      </c>
      <c r="CD53" s="22">
        <f t="shared" si="263"/>
        <v>12.16293842504485</v>
      </c>
      <c r="CE53" s="22">
        <f t="shared" si="263"/>
        <v>12.345382501420522</v>
      </c>
      <c r="CF53" s="22">
        <f t="shared" si="263"/>
        <v>12.530563238941827</v>
      </c>
      <c r="CG53" s="22">
        <f t="shared" si="263"/>
        <v>12.718521687525953</v>
      </c>
      <c r="CH53" s="22">
        <f t="shared" si="263"/>
        <v>12.909299512838841</v>
      </c>
      <c r="CI53" s="22">
        <f t="shared" si="263"/>
        <v>13.102939005531423</v>
      </c>
      <c r="CJ53" s="22">
        <f t="shared" si="263"/>
        <v>13.299483090614393</v>
      </c>
      <c r="CK53" s="22">
        <f t="shared" si="263"/>
        <v>13.498975336973606</v>
      </c>
      <c r="CM53" s="10">
        <f t="shared" si="198"/>
        <v>0</v>
      </c>
      <c r="CN53" s="10">
        <f t="shared" si="198"/>
        <v>68.104822500000012</v>
      </c>
      <c r="CO53" s="10">
        <f t="shared" si="198"/>
        <v>83.820573971119188</v>
      </c>
      <c r="CP53" s="10">
        <f t="shared" si="198"/>
        <v>99.531485746994036</v>
      </c>
      <c r="CQ53" s="10">
        <f t="shared" si="198"/>
        <v>113.35996339713982</v>
      </c>
      <c r="CR53" s="10">
        <f t="shared" si="199"/>
        <v>127.71806233295325</v>
      </c>
      <c r="CS53" s="10">
        <f t="shared" si="199"/>
        <v>149.44874593350139</v>
      </c>
    </row>
    <row r="54" spans="2:97" outlineLevel="1" x14ac:dyDescent="0.2">
      <c r="B54" s="88" t="s">
        <v>19</v>
      </c>
      <c r="C54" s="92"/>
      <c r="D54" s="92"/>
      <c r="F54" s="94">
        <f t="shared" ref="F54:K54" si="264">SUM(F55:F60)</f>
        <v>0</v>
      </c>
      <c r="G54" s="94">
        <f t="shared" si="264"/>
        <v>0</v>
      </c>
      <c r="H54" s="94">
        <f t="shared" si="264"/>
        <v>0</v>
      </c>
      <c r="I54" s="94">
        <f t="shared" si="264"/>
        <v>0</v>
      </c>
      <c r="J54" s="94">
        <f t="shared" si="264"/>
        <v>0</v>
      </c>
      <c r="K54" s="94">
        <f t="shared" si="264"/>
        <v>0</v>
      </c>
      <c r="L54" s="94">
        <f>SUM(L55:L60)</f>
        <v>0</v>
      </c>
      <c r="M54" s="94">
        <f t="shared" ref="M54:AW54" si="265">SUM(M55:M60)</f>
        <v>0</v>
      </c>
      <c r="N54" s="94">
        <f t="shared" si="265"/>
        <v>0</v>
      </c>
      <c r="O54" s="94">
        <f t="shared" si="265"/>
        <v>0</v>
      </c>
      <c r="P54" s="94">
        <f t="shared" si="265"/>
        <v>0</v>
      </c>
      <c r="Q54" s="94">
        <f t="shared" si="265"/>
        <v>0</v>
      </c>
      <c r="R54" s="94">
        <f t="shared" si="265"/>
        <v>8.7666800000000009</v>
      </c>
      <c r="S54" s="94">
        <f t="shared" si="265"/>
        <v>9.2152700000000003</v>
      </c>
      <c r="T54" s="94">
        <f t="shared" si="265"/>
        <v>4.5568299999999997</v>
      </c>
      <c r="U54" s="94">
        <f t="shared" si="265"/>
        <v>87.170839999999998</v>
      </c>
      <c r="V54" s="94">
        <f t="shared" si="265"/>
        <v>58.839945</v>
      </c>
      <c r="W54" s="94">
        <f t="shared" si="265"/>
        <v>61.152315000000002</v>
      </c>
      <c r="X54" s="94">
        <f t="shared" si="265"/>
        <v>36.939750499999995</v>
      </c>
      <c r="Y54" s="94">
        <f t="shared" si="265"/>
        <v>31.250430000000001</v>
      </c>
      <c r="Z54" s="94">
        <f t="shared" si="265"/>
        <v>33.679828000000001</v>
      </c>
      <c r="AA54" s="94">
        <f t="shared" si="265"/>
        <v>42.483514</v>
      </c>
      <c r="AB54" s="94">
        <f t="shared" si="265"/>
        <v>36.972099499999999</v>
      </c>
      <c r="AC54" s="94">
        <f t="shared" si="265"/>
        <v>68.6032905</v>
      </c>
      <c r="AD54" s="94">
        <f t="shared" si="265"/>
        <v>24.705850000000002</v>
      </c>
      <c r="AE54" s="94">
        <f t="shared" si="265"/>
        <v>29.499549999999999</v>
      </c>
      <c r="AF54" s="94">
        <f t="shared" si="265"/>
        <v>34.863749999999996</v>
      </c>
      <c r="AG54" s="94">
        <f t="shared" si="265"/>
        <v>35.386706249999996</v>
      </c>
      <c r="AH54" s="94">
        <f t="shared" si="265"/>
        <v>35.917506843749997</v>
      </c>
      <c r="AI54" s="94">
        <f t="shared" si="265"/>
        <v>36.097094377968737</v>
      </c>
      <c r="AJ54" s="94">
        <f t="shared" si="265"/>
        <v>36.277579849858583</v>
      </c>
      <c r="AK54" s="94">
        <f t="shared" si="265"/>
        <v>214.58358709964315</v>
      </c>
      <c r="AL54" s="94">
        <f t="shared" si="265"/>
        <v>514.65650503514132</v>
      </c>
      <c r="AM54" s="94">
        <f t="shared" si="265"/>
        <v>214.87635261066848</v>
      </c>
      <c r="AN54" s="94">
        <f t="shared" si="265"/>
        <v>37.74874474957128</v>
      </c>
      <c r="AO54" s="94">
        <f t="shared" si="265"/>
        <v>38.314975920814838</v>
      </c>
      <c r="AP54" s="94">
        <f t="shared" si="265"/>
        <v>38.698125680022997</v>
      </c>
      <c r="AQ54" s="94">
        <f t="shared" si="265"/>
        <v>39.085106936823223</v>
      </c>
      <c r="AR54" s="94">
        <f t="shared" si="265"/>
        <v>39.671383540875574</v>
      </c>
      <c r="AS54" s="94">
        <f t="shared" si="265"/>
        <v>40.266454293988701</v>
      </c>
      <c r="AT54" s="94">
        <f t="shared" si="265"/>
        <v>40.870451108398527</v>
      </c>
      <c r="AU54" s="94">
        <f t="shared" si="265"/>
        <v>41.279155619482509</v>
      </c>
      <c r="AV54" s="94">
        <f t="shared" si="265"/>
        <v>41.691947175677335</v>
      </c>
      <c r="AW54" s="94">
        <f t="shared" si="265"/>
        <v>42.108866647434112</v>
      </c>
      <c r="AX54" s="94">
        <f t="shared" ref="AX54:BU54" si="266">SUM(AX55:AX60)</f>
        <v>42.529955313908445</v>
      </c>
      <c r="AY54" s="94">
        <f t="shared" si="266"/>
        <v>43.167904643617071</v>
      </c>
      <c r="AZ54" s="94">
        <f t="shared" si="266"/>
        <v>43.815423213271323</v>
      </c>
      <c r="BA54" s="94">
        <f t="shared" si="266"/>
        <v>44.472654561470385</v>
      </c>
      <c r="BB54" s="94">
        <f t="shared" si="266"/>
        <v>44.695017834277735</v>
      </c>
      <c r="BC54" s="94">
        <f t="shared" si="266"/>
        <v>44.918492923449122</v>
      </c>
      <c r="BD54" s="94">
        <f t="shared" si="266"/>
        <v>45.592270317300859</v>
      </c>
      <c r="BE54" s="94">
        <f t="shared" si="266"/>
        <v>46.276154372060361</v>
      </c>
      <c r="BF54" s="94">
        <f t="shared" si="266"/>
        <v>46.970296687641259</v>
      </c>
      <c r="BG54" s="94">
        <f t="shared" si="266"/>
        <v>47.205148171079465</v>
      </c>
      <c r="BH54" s="94">
        <f t="shared" si="266"/>
        <v>47.441173911934854</v>
      </c>
      <c r="BI54" s="94">
        <f t="shared" si="266"/>
        <v>47.678379781494527</v>
      </c>
      <c r="BJ54" s="94">
        <f t="shared" si="266"/>
        <v>47.916771680402</v>
      </c>
      <c r="BK54" s="94">
        <f t="shared" si="266"/>
        <v>48.635523255608021</v>
      </c>
      <c r="BL54" s="94">
        <f t="shared" si="266"/>
        <v>49.365056104442132</v>
      </c>
      <c r="BM54" s="94">
        <f t="shared" si="266"/>
        <v>50.10553194600876</v>
      </c>
      <c r="BN54" s="94">
        <f t="shared" si="266"/>
        <v>50.3560596057388</v>
      </c>
      <c r="BO54" s="94">
        <f t="shared" si="266"/>
        <v>50.607839903767491</v>
      </c>
      <c r="BP54" s="94">
        <f t="shared" si="266"/>
        <v>51.366957502323999</v>
      </c>
      <c r="BQ54" s="94">
        <f t="shared" si="266"/>
        <v>52.137461864858842</v>
      </c>
      <c r="BR54" s="94">
        <f t="shared" si="266"/>
        <v>52.919523792831725</v>
      </c>
      <c r="BS54" s="94">
        <f t="shared" si="266"/>
        <v>53.184121411795871</v>
      </c>
      <c r="BT54" s="94">
        <f t="shared" si="266"/>
        <v>53.450042018854852</v>
      </c>
      <c r="BU54" s="94">
        <f t="shared" si="266"/>
        <v>53.71729222894912</v>
      </c>
      <c r="BV54" s="94">
        <f t="shared" ref="BV54:BX54" si="267">SUM(BV55:BV60)</f>
        <v>53.98587869009387</v>
      </c>
      <c r="BW54" s="94">
        <f t="shared" si="267"/>
        <v>54.795666870445267</v>
      </c>
      <c r="BX54" s="94">
        <f t="shared" si="267"/>
        <v>55.617601873501933</v>
      </c>
      <c r="BY54" s="94">
        <f t="shared" ref="BY54:CK54" si="268">SUM(BY55:BY60)</f>
        <v>56.451865901604442</v>
      </c>
      <c r="BZ54" s="94">
        <f t="shared" si="268"/>
        <v>57.298643890128524</v>
      </c>
      <c r="CA54" s="94">
        <f t="shared" si="268"/>
        <v>58.15812354848044</v>
      </c>
      <c r="CB54" s="94">
        <f t="shared" si="268"/>
        <v>59.03049540170764</v>
      </c>
      <c r="CC54" s="94">
        <f t="shared" si="268"/>
        <v>59.915952832733247</v>
      </c>
      <c r="CD54" s="94">
        <f t="shared" si="268"/>
        <v>60.814692125224241</v>
      </c>
      <c r="CE54" s="94">
        <f t="shared" si="268"/>
        <v>61.726912507102604</v>
      </c>
      <c r="CF54" s="94">
        <f t="shared" si="268"/>
        <v>62.652816194709132</v>
      </c>
      <c r="CG54" s="94">
        <f t="shared" si="268"/>
        <v>63.592608437629764</v>
      </c>
      <c r="CH54" s="94">
        <f t="shared" si="268"/>
        <v>64.546497564194198</v>
      </c>
      <c r="CI54" s="94">
        <f t="shared" si="268"/>
        <v>65.514695027657112</v>
      </c>
      <c r="CJ54" s="94">
        <f t="shared" si="268"/>
        <v>66.497415453071966</v>
      </c>
      <c r="CK54" s="94">
        <f t="shared" si="268"/>
        <v>67.494876684868032</v>
      </c>
      <c r="CM54" s="94">
        <f t="shared" ref="CM54:CQ60" si="269">SUMIF($L$2:$CK$2,CM$3,$L54:$CK54)</f>
        <v>0</v>
      </c>
      <c r="CN54" s="94">
        <f t="shared" si="269"/>
        <v>479.63079250000004</v>
      </c>
      <c r="CO54" s="94">
        <f t="shared" si="269"/>
        <v>1252.9282027374161</v>
      </c>
      <c r="CP54" s="94">
        <f t="shared" si="269"/>
        <v>497.65742873497021</v>
      </c>
      <c r="CQ54" s="94">
        <f t="shared" si="269"/>
        <v>566.79981698569907</v>
      </c>
      <c r="CR54" s="94">
        <f t="shared" si="199"/>
        <v>638.59031166476632</v>
      </c>
      <c r="CS54" s="94">
        <f t="shared" si="199"/>
        <v>747.24372966750684</v>
      </c>
    </row>
    <row r="55" spans="2:97" outlineLevel="2" x14ac:dyDescent="0.2">
      <c r="B55" s="95" t="s">
        <v>20</v>
      </c>
      <c r="C55" s="92" t="s">
        <v>39</v>
      </c>
      <c r="D55" s="105">
        <v>5.0000000000000001E-3</v>
      </c>
      <c r="F55" s="22"/>
      <c r="G55" s="22"/>
      <c r="H55" s="22"/>
      <c r="I55" s="22"/>
      <c r="J55" s="22"/>
      <c r="K55" s="22"/>
      <c r="L55" s="22"/>
      <c r="M55" s="22"/>
      <c r="N55" s="22"/>
      <c r="O55" s="22"/>
      <c r="P55" s="22">
        <f t="shared" ref="P55:R56" si="270">P$39*$D55</f>
        <v>0</v>
      </c>
      <c r="Q55" s="22">
        <f t="shared" si="270"/>
        <v>0</v>
      </c>
      <c r="R55" s="22">
        <f t="shared" si="270"/>
        <v>0.38334000000000001</v>
      </c>
      <c r="S55" s="22">
        <f t="shared" ref="S55:AH57" si="271">S$39*$D55</f>
        <v>0.60763500000000004</v>
      </c>
      <c r="T55" s="22">
        <f t="shared" si="271"/>
        <v>0.27841500000000002</v>
      </c>
      <c r="U55" s="22">
        <f t="shared" si="271"/>
        <v>2.79271</v>
      </c>
      <c r="V55" s="22">
        <v>2</v>
      </c>
      <c r="W55" s="22">
        <v>3</v>
      </c>
      <c r="X55" s="22">
        <f t="shared" si="271"/>
        <v>3.6939750499999997</v>
      </c>
      <c r="Y55" s="22">
        <f t="shared" si="271"/>
        <v>3.1250430000000002</v>
      </c>
      <c r="Z55" s="22">
        <f t="shared" si="271"/>
        <v>3.3679828000000005</v>
      </c>
      <c r="AA55" s="22">
        <f t="shared" si="271"/>
        <v>4.2483514000000007</v>
      </c>
      <c r="AB55" s="22">
        <f t="shared" si="271"/>
        <v>3.6972099500000004</v>
      </c>
      <c r="AC55" s="22">
        <f t="shared" si="271"/>
        <v>6.8603290500000007</v>
      </c>
      <c r="AD55" s="22">
        <f t="shared" si="271"/>
        <v>2.4705850000000003</v>
      </c>
      <c r="AE55" s="22">
        <f t="shared" si="271"/>
        <v>2.9499550000000001</v>
      </c>
      <c r="AF55" s="22">
        <f t="shared" si="271"/>
        <v>3.4863749999999998</v>
      </c>
      <c r="AG55" s="22">
        <f t="shared" si="271"/>
        <v>3.538670625</v>
      </c>
      <c r="AH55" s="22">
        <f t="shared" si="271"/>
        <v>3.591750684375</v>
      </c>
      <c r="AI55" s="22">
        <f t="shared" ref="AI55:CK57" si="272">AI$39*$D55</f>
        <v>3.6097094377968744</v>
      </c>
      <c r="AJ55" s="22">
        <f t="shared" si="272"/>
        <v>3.6277579849858586</v>
      </c>
      <c r="AK55" s="22">
        <f t="shared" si="272"/>
        <v>3.6458967749107876</v>
      </c>
      <c r="AL55" s="22">
        <f t="shared" si="272"/>
        <v>3.6641262587853412</v>
      </c>
      <c r="AM55" s="22">
        <f t="shared" si="272"/>
        <v>3.7190881526671213</v>
      </c>
      <c r="AN55" s="22">
        <f t="shared" si="272"/>
        <v>3.7748744749571279</v>
      </c>
      <c r="AO55" s="22">
        <f t="shared" si="272"/>
        <v>3.8314975920814844</v>
      </c>
      <c r="AP55" s="22">
        <f t="shared" si="272"/>
        <v>3.8698125680022999</v>
      </c>
      <c r="AQ55" s="22">
        <f t="shared" si="272"/>
        <v>3.9085106936823224</v>
      </c>
      <c r="AR55" s="22">
        <f t="shared" si="272"/>
        <v>3.9671383540875569</v>
      </c>
      <c r="AS55" s="22">
        <f t="shared" si="272"/>
        <v>4.0266454293988696</v>
      </c>
      <c r="AT55" s="22">
        <f t="shared" si="272"/>
        <v>4.0870451108398527</v>
      </c>
      <c r="AU55" s="22">
        <f t="shared" si="272"/>
        <v>4.1279155619482513</v>
      </c>
      <c r="AV55" s="22">
        <f t="shared" si="272"/>
        <v>4.1691947175677333</v>
      </c>
      <c r="AW55" s="22">
        <f t="shared" si="272"/>
        <v>4.2108866647434109</v>
      </c>
      <c r="AX55" s="22">
        <f t="shared" si="272"/>
        <v>4.2529955313908445</v>
      </c>
      <c r="AY55" s="22">
        <f t="shared" si="272"/>
        <v>4.3167904643617074</v>
      </c>
      <c r="AZ55" s="22">
        <f t="shared" si="272"/>
        <v>4.3815423213271325</v>
      </c>
      <c r="BA55" s="22">
        <f t="shared" si="272"/>
        <v>4.4472654561470391</v>
      </c>
      <c r="BB55" s="22">
        <f t="shared" si="272"/>
        <v>4.4695017834277735</v>
      </c>
      <c r="BC55" s="22">
        <f t="shared" si="272"/>
        <v>4.491849292344912</v>
      </c>
      <c r="BD55" s="22">
        <f t="shared" si="272"/>
        <v>4.5592270317300851</v>
      </c>
      <c r="BE55" s="22">
        <f t="shared" si="272"/>
        <v>4.6276154372060363</v>
      </c>
      <c r="BF55" s="22">
        <f t="shared" si="272"/>
        <v>4.6970296687641264</v>
      </c>
      <c r="BG55" s="22">
        <f t="shared" si="272"/>
        <v>4.7205148171079463</v>
      </c>
      <c r="BH55" s="22">
        <f t="shared" si="272"/>
        <v>4.7441173911934857</v>
      </c>
      <c r="BI55" s="22">
        <f t="shared" si="272"/>
        <v>4.7678379781494531</v>
      </c>
      <c r="BJ55" s="22">
        <f t="shared" si="272"/>
        <v>4.7916771680401995</v>
      </c>
      <c r="BK55" s="22">
        <f t="shared" si="272"/>
        <v>4.8635523255608026</v>
      </c>
      <c r="BL55" s="22">
        <f t="shared" si="272"/>
        <v>4.9365056104442138</v>
      </c>
      <c r="BM55" s="22">
        <f t="shared" si="272"/>
        <v>5.0105531946008766</v>
      </c>
      <c r="BN55" s="22">
        <f t="shared" si="272"/>
        <v>5.0356059605738803</v>
      </c>
      <c r="BO55" s="22">
        <f t="shared" si="272"/>
        <v>5.0607839903767493</v>
      </c>
      <c r="BP55" s="22">
        <f t="shared" si="272"/>
        <v>5.1366957502324002</v>
      </c>
      <c r="BQ55" s="22">
        <f t="shared" si="272"/>
        <v>5.2137461864858849</v>
      </c>
      <c r="BR55" s="22">
        <f t="shared" si="272"/>
        <v>5.2919523792831731</v>
      </c>
      <c r="BS55" s="22">
        <f t="shared" si="272"/>
        <v>5.3184121411795875</v>
      </c>
      <c r="BT55" s="22">
        <f t="shared" si="272"/>
        <v>5.3450042018854855</v>
      </c>
      <c r="BU55" s="22">
        <f t="shared" si="272"/>
        <v>5.3717292228949125</v>
      </c>
      <c r="BV55" s="22">
        <f t="shared" si="272"/>
        <v>5.3985878690093863</v>
      </c>
      <c r="BW55" s="22">
        <f t="shared" si="272"/>
        <v>5.4795666870445272</v>
      </c>
      <c r="BX55" s="22">
        <f t="shared" si="272"/>
        <v>5.5617601873501927</v>
      </c>
      <c r="BY55" s="22">
        <f t="shared" si="272"/>
        <v>5.6451865901604448</v>
      </c>
      <c r="BZ55" s="22">
        <f t="shared" si="272"/>
        <v>5.7298643890128522</v>
      </c>
      <c r="CA55" s="22">
        <f t="shared" si="272"/>
        <v>5.8158123548480445</v>
      </c>
      <c r="CB55" s="22">
        <f t="shared" si="272"/>
        <v>5.9030495401707643</v>
      </c>
      <c r="CC55" s="22">
        <f t="shared" si="272"/>
        <v>5.991595283273325</v>
      </c>
      <c r="CD55" s="22">
        <f t="shared" si="272"/>
        <v>6.0814692125224248</v>
      </c>
      <c r="CE55" s="22">
        <f t="shared" si="272"/>
        <v>6.1726912507102609</v>
      </c>
      <c r="CF55" s="22">
        <f t="shared" si="272"/>
        <v>6.2652816194709136</v>
      </c>
      <c r="CG55" s="22">
        <f t="shared" si="272"/>
        <v>6.3592608437629767</v>
      </c>
      <c r="CH55" s="22">
        <f t="shared" si="272"/>
        <v>6.4546497564194203</v>
      </c>
      <c r="CI55" s="22">
        <f t="shared" si="272"/>
        <v>6.5514695027657117</v>
      </c>
      <c r="CJ55" s="22">
        <f t="shared" si="272"/>
        <v>6.6497415453071964</v>
      </c>
      <c r="CK55" s="22">
        <f t="shared" si="272"/>
        <v>6.749487668486803</v>
      </c>
      <c r="CM55" s="10">
        <f t="shared" si="269"/>
        <v>0</v>
      </c>
      <c r="CN55" s="10">
        <f t="shared" si="269"/>
        <v>34.05499125</v>
      </c>
      <c r="CO55" s="10">
        <f t="shared" si="269"/>
        <v>41.910286985559594</v>
      </c>
      <c r="CP55" s="10">
        <f t="shared" si="269"/>
        <v>49.765742873497018</v>
      </c>
      <c r="CQ55" s="10">
        <f t="shared" si="269"/>
        <v>56.679981698569911</v>
      </c>
      <c r="CR55" s="10">
        <f t="shared" si="199"/>
        <v>63.859031166476626</v>
      </c>
      <c r="CS55" s="10">
        <f t="shared" si="199"/>
        <v>74.724372966750693</v>
      </c>
    </row>
    <row r="56" spans="2:97" outlineLevel="2" x14ac:dyDescent="0.2">
      <c r="B56" s="95" t="s">
        <v>21</v>
      </c>
      <c r="C56" s="92" t="s">
        <v>39</v>
      </c>
      <c r="D56" s="105">
        <v>0.01</v>
      </c>
      <c r="F56" s="22"/>
      <c r="G56" s="22"/>
      <c r="H56" s="22"/>
      <c r="I56" s="22"/>
      <c r="J56" s="22"/>
      <c r="K56" s="22"/>
      <c r="L56" s="22"/>
      <c r="M56" s="22"/>
      <c r="N56" s="22"/>
      <c r="O56" s="22"/>
      <c r="P56" s="22">
        <f t="shared" si="270"/>
        <v>0</v>
      </c>
      <c r="Q56" s="22">
        <f t="shared" si="270"/>
        <v>0</v>
      </c>
      <c r="R56" s="22">
        <v>8</v>
      </c>
      <c r="S56" s="22">
        <v>8</v>
      </c>
      <c r="T56" s="22">
        <v>4</v>
      </c>
      <c r="U56" s="22">
        <f t="shared" si="271"/>
        <v>5.5854200000000001</v>
      </c>
      <c r="V56" s="22">
        <f t="shared" si="271"/>
        <v>5.2266300000000001</v>
      </c>
      <c r="W56" s="22">
        <f t="shared" si="271"/>
        <v>4.7682100000000007</v>
      </c>
      <c r="X56" s="22">
        <f t="shared" si="271"/>
        <v>7.3879500999999994</v>
      </c>
      <c r="Y56" s="22">
        <f t="shared" si="271"/>
        <v>6.2500860000000005</v>
      </c>
      <c r="Z56" s="22">
        <f t="shared" si="271"/>
        <v>6.735965600000001</v>
      </c>
      <c r="AA56" s="22">
        <f t="shared" si="271"/>
        <v>8.4967028000000013</v>
      </c>
      <c r="AB56" s="22">
        <f t="shared" si="271"/>
        <v>7.3944199000000008</v>
      </c>
      <c r="AC56" s="22">
        <f t="shared" si="271"/>
        <v>13.720658100000001</v>
      </c>
      <c r="AD56" s="22">
        <f t="shared" si="271"/>
        <v>4.9411700000000005</v>
      </c>
      <c r="AE56" s="22">
        <f t="shared" si="271"/>
        <v>5.8999100000000002</v>
      </c>
      <c r="AF56" s="22">
        <f t="shared" si="271"/>
        <v>6.9727499999999996</v>
      </c>
      <c r="AG56" s="22">
        <f t="shared" si="271"/>
        <v>7.0773412499999999</v>
      </c>
      <c r="AH56" s="22">
        <f t="shared" si="271"/>
        <v>7.18350136875</v>
      </c>
      <c r="AI56" s="22">
        <f t="shared" si="272"/>
        <v>7.2194188755937487</v>
      </c>
      <c r="AJ56" s="22">
        <f t="shared" si="272"/>
        <v>7.2555159699717171</v>
      </c>
      <c r="AK56" s="22">
        <f t="shared" si="272"/>
        <v>7.2917935498215751</v>
      </c>
      <c r="AL56" s="22">
        <f t="shared" si="272"/>
        <v>7.3282525175706823</v>
      </c>
      <c r="AM56" s="22">
        <f t="shared" si="272"/>
        <v>7.4381763053342427</v>
      </c>
      <c r="AN56" s="22">
        <f t="shared" si="272"/>
        <v>7.5497489499142558</v>
      </c>
      <c r="AO56" s="22">
        <f t="shared" si="272"/>
        <v>7.6629951841629689</v>
      </c>
      <c r="AP56" s="22">
        <f t="shared" si="272"/>
        <v>7.7396251360045998</v>
      </c>
      <c r="AQ56" s="22">
        <f t="shared" si="272"/>
        <v>7.8170213873646448</v>
      </c>
      <c r="AR56" s="22">
        <f t="shared" si="272"/>
        <v>7.9342767081751138</v>
      </c>
      <c r="AS56" s="22">
        <f t="shared" si="272"/>
        <v>8.0532908587977392</v>
      </c>
      <c r="AT56" s="22">
        <f t="shared" si="272"/>
        <v>8.1740902216797053</v>
      </c>
      <c r="AU56" s="22">
        <f t="shared" si="272"/>
        <v>8.2558311238965025</v>
      </c>
      <c r="AV56" s="22">
        <f t="shared" si="272"/>
        <v>8.3383894351354666</v>
      </c>
      <c r="AW56" s="22">
        <f t="shared" si="272"/>
        <v>8.4217733294868218</v>
      </c>
      <c r="AX56" s="22">
        <f t="shared" si="272"/>
        <v>8.505991062781689</v>
      </c>
      <c r="AY56" s="22">
        <f t="shared" si="272"/>
        <v>8.6335809287234149</v>
      </c>
      <c r="AZ56" s="22">
        <f t="shared" si="272"/>
        <v>8.763084642654265</v>
      </c>
      <c r="BA56" s="22">
        <f t="shared" si="272"/>
        <v>8.8945309122940781</v>
      </c>
      <c r="BB56" s="22">
        <f t="shared" si="272"/>
        <v>8.939003566855547</v>
      </c>
      <c r="BC56" s="22">
        <f t="shared" si="272"/>
        <v>8.9836985846898241</v>
      </c>
      <c r="BD56" s="22">
        <f t="shared" si="272"/>
        <v>9.1184540634601703</v>
      </c>
      <c r="BE56" s="22">
        <f t="shared" si="272"/>
        <v>9.2552308744120726</v>
      </c>
      <c r="BF56" s="22">
        <f t="shared" si="272"/>
        <v>9.3940593375282528</v>
      </c>
      <c r="BG56" s="22">
        <f t="shared" si="272"/>
        <v>9.4410296342158926</v>
      </c>
      <c r="BH56" s="22">
        <f t="shared" si="272"/>
        <v>9.4882347823869715</v>
      </c>
      <c r="BI56" s="22">
        <f t="shared" si="272"/>
        <v>9.5356759562989062</v>
      </c>
      <c r="BJ56" s="22">
        <f t="shared" si="272"/>
        <v>9.583354336080399</v>
      </c>
      <c r="BK56" s="22">
        <f t="shared" si="272"/>
        <v>9.7271046511216053</v>
      </c>
      <c r="BL56" s="22">
        <f t="shared" si="272"/>
        <v>9.8730112208884275</v>
      </c>
      <c r="BM56" s="22">
        <f t="shared" si="272"/>
        <v>10.021106389201753</v>
      </c>
      <c r="BN56" s="22">
        <f t="shared" si="272"/>
        <v>10.071211921147761</v>
      </c>
      <c r="BO56" s="22">
        <f t="shared" si="272"/>
        <v>10.121567980753499</v>
      </c>
      <c r="BP56" s="22">
        <f t="shared" si="272"/>
        <v>10.2733915004648</v>
      </c>
      <c r="BQ56" s="22">
        <f t="shared" si="272"/>
        <v>10.42749237297177</v>
      </c>
      <c r="BR56" s="22">
        <f t="shared" si="272"/>
        <v>10.583904758566346</v>
      </c>
      <c r="BS56" s="22">
        <f t="shared" si="272"/>
        <v>10.636824282359175</v>
      </c>
      <c r="BT56" s="22">
        <f t="shared" si="272"/>
        <v>10.690008403770971</v>
      </c>
      <c r="BU56" s="22">
        <f t="shared" si="272"/>
        <v>10.743458445789825</v>
      </c>
      <c r="BV56" s="22">
        <f t="shared" si="272"/>
        <v>10.797175738018773</v>
      </c>
      <c r="BW56" s="22">
        <f t="shared" si="272"/>
        <v>10.959133374089054</v>
      </c>
      <c r="BX56" s="22">
        <f t="shared" si="272"/>
        <v>11.123520374700385</v>
      </c>
      <c r="BY56" s="22">
        <f t="shared" si="272"/>
        <v>11.29037318032089</v>
      </c>
      <c r="BZ56" s="22">
        <f t="shared" si="272"/>
        <v>11.459728778025704</v>
      </c>
      <c r="CA56" s="22">
        <f t="shared" si="272"/>
        <v>11.631624709696089</v>
      </c>
      <c r="CB56" s="22">
        <f t="shared" si="272"/>
        <v>11.806099080341529</v>
      </c>
      <c r="CC56" s="22">
        <f t="shared" si="272"/>
        <v>11.98319056654665</v>
      </c>
      <c r="CD56" s="22">
        <f t="shared" si="272"/>
        <v>12.16293842504485</v>
      </c>
      <c r="CE56" s="22">
        <f t="shared" si="272"/>
        <v>12.345382501420522</v>
      </c>
      <c r="CF56" s="22">
        <f t="shared" si="272"/>
        <v>12.530563238941827</v>
      </c>
      <c r="CG56" s="22">
        <f t="shared" si="272"/>
        <v>12.718521687525953</v>
      </c>
      <c r="CH56" s="22">
        <f t="shared" si="272"/>
        <v>12.909299512838841</v>
      </c>
      <c r="CI56" s="22">
        <f t="shared" si="272"/>
        <v>13.102939005531423</v>
      </c>
      <c r="CJ56" s="22">
        <f t="shared" si="272"/>
        <v>13.299483090614393</v>
      </c>
      <c r="CK56" s="22">
        <f t="shared" si="272"/>
        <v>13.498975336973606</v>
      </c>
      <c r="CM56" s="10">
        <f t="shared" si="269"/>
        <v>0</v>
      </c>
      <c r="CN56" s="10">
        <f t="shared" si="269"/>
        <v>85.566042500000009</v>
      </c>
      <c r="CO56" s="10">
        <f t="shared" si="269"/>
        <v>83.820573971119188</v>
      </c>
      <c r="CP56" s="10">
        <f t="shared" si="269"/>
        <v>99.531485746994036</v>
      </c>
      <c r="CQ56" s="10">
        <f t="shared" si="269"/>
        <v>113.35996339713982</v>
      </c>
      <c r="CR56" s="10">
        <f t="shared" si="199"/>
        <v>127.71806233295325</v>
      </c>
      <c r="CS56" s="10">
        <f t="shared" si="199"/>
        <v>149.44874593350139</v>
      </c>
    </row>
    <row r="57" spans="2:97" outlineLevel="2" x14ac:dyDescent="0.2">
      <c r="B57" s="95" t="s">
        <v>22</v>
      </c>
      <c r="C57" s="92" t="s">
        <v>39</v>
      </c>
      <c r="D57" s="105">
        <v>0.03</v>
      </c>
      <c r="F57" s="22"/>
      <c r="G57" s="22"/>
      <c r="H57" s="22"/>
      <c r="I57" s="22"/>
      <c r="J57" s="22"/>
      <c r="K57" s="22"/>
      <c r="L57" s="22"/>
      <c r="M57" s="22"/>
      <c r="N57" s="22"/>
      <c r="O57" s="22"/>
      <c r="P57" s="22"/>
      <c r="Q57" s="22"/>
      <c r="R57" s="22"/>
      <c r="S57" s="22"/>
      <c r="T57" s="22"/>
      <c r="U57" s="22">
        <v>76</v>
      </c>
      <c r="V57" s="22">
        <v>49</v>
      </c>
      <c r="W57" s="22">
        <v>51</v>
      </c>
      <c r="X57" s="22">
        <f t="shared" si="271"/>
        <v>22.163850299999996</v>
      </c>
      <c r="Y57" s="22">
        <f t="shared" si="271"/>
        <v>18.750257999999999</v>
      </c>
      <c r="Z57" s="22">
        <f t="shared" si="271"/>
        <v>20.2078968</v>
      </c>
      <c r="AA57" s="22">
        <f t="shared" si="271"/>
        <v>25.4901084</v>
      </c>
      <c r="AB57" s="22">
        <f t="shared" si="271"/>
        <v>22.183259700000001</v>
      </c>
      <c r="AC57" s="22">
        <f t="shared" si="271"/>
        <v>41.161974299999997</v>
      </c>
      <c r="AD57" s="22">
        <f t="shared" si="271"/>
        <v>14.823510000000001</v>
      </c>
      <c r="AE57" s="22">
        <f t="shared" si="271"/>
        <v>17.699729999999999</v>
      </c>
      <c r="AF57" s="22">
        <f t="shared" si="271"/>
        <v>20.918249999999997</v>
      </c>
      <c r="AG57" s="22">
        <f t="shared" si="271"/>
        <v>21.232023749999996</v>
      </c>
      <c r="AH57" s="22">
        <f t="shared" si="271"/>
        <v>21.550504106249999</v>
      </c>
      <c r="AI57" s="22">
        <f t="shared" si="272"/>
        <v>21.658256626781245</v>
      </c>
      <c r="AJ57" s="22">
        <f t="shared" si="272"/>
        <v>21.76654790991515</v>
      </c>
      <c r="AK57" s="245">
        <v>200</v>
      </c>
      <c r="AL57" s="245">
        <v>500</v>
      </c>
      <c r="AM57" s="245">
        <v>200</v>
      </c>
      <c r="AN57" s="22">
        <f t="shared" si="272"/>
        <v>22.649246849742767</v>
      </c>
      <c r="AO57" s="22">
        <f t="shared" si="272"/>
        <v>22.988985552488906</v>
      </c>
      <c r="AP57" s="22">
        <f t="shared" si="272"/>
        <v>23.218875408013798</v>
      </c>
      <c r="AQ57" s="22">
        <f t="shared" si="272"/>
        <v>23.451064162093932</v>
      </c>
      <c r="AR57" s="22">
        <f t="shared" si="272"/>
        <v>23.80283012452534</v>
      </c>
      <c r="AS57" s="22">
        <f t="shared" si="272"/>
        <v>24.159872576393219</v>
      </c>
      <c r="AT57" s="22">
        <f t="shared" si="272"/>
        <v>24.522270665039116</v>
      </c>
      <c r="AU57" s="22">
        <f t="shared" si="272"/>
        <v>24.767493371689508</v>
      </c>
      <c r="AV57" s="22">
        <f t="shared" si="272"/>
        <v>25.015168305406402</v>
      </c>
      <c r="AW57" s="22">
        <f t="shared" si="272"/>
        <v>25.265319988460465</v>
      </c>
      <c r="AX57" s="22">
        <f t="shared" si="272"/>
        <v>25.517973188345067</v>
      </c>
      <c r="AY57" s="22">
        <f t="shared" si="272"/>
        <v>25.900742786170241</v>
      </c>
      <c r="AZ57" s="22">
        <f t="shared" si="272"/>
        <v>26.289253927962793</v>
      </c>
      <c r="BA57" s="22">
        <f t="shared" si="272"/>
        <v>26.683592736882233</v>
      </c>
      <c r="BB57" s="22">
        <f t="shared" si="272"/>
        <v>26.817010700566641</v>
      </c>
      <c r="BC57" s="22">
        <f t="shared" si="272"/>
        <v>26.951095754069474</v>
      </c>
      <c r="BD57" s="22">
        <f t="shared" si="272"/>
        <v>27.355362190380511</v>
      </c>
      <c r="BE57" s="22">
        <f t="shared" si="272"/>
        <v>27.765692623236212</v>
      </c>
      <c r="BF57" s="22">
        <f t="shared" si="272"/>
        <v>28.182178012584757</v>
      </c>
      <c r="BG57" s="22">
        <f t="shared" si="272"/>
        <v>28.323088902647676</v>
      </c>
      <c r="BH57" s="22">
        <f t="shared" si="272"/>
        <v>28.464704347160914</v>
      </c>
      <c r="BI57" s="22">
        <f t="shared" si="272"/>
        <v>28.607027868896715</v>
      </c>
      <c r="BJ57" s="22">
        <f t="shared" si="272"/>
        <v>28.750063008241195</v>
      </c>
      <c r="BK57" s="22">
        <f t="shared" si="272"/>
        <v>29.181313953364814</v>
      </c>
      <c r="BL57" s="22">
        <f t="shared" si="272"/>
        <v>29.619033662665281</v>
      </c>
      <c r="BM57" s="22">
        <f t="shared" si="272"/>
        <v>30.063319167605258</v>
      </c>
      <c r="BN57" s="22">
        <f t="shared" si="272"/>
        <v>30.213635763443278</v>
      </c>
      <c r="BO57" s="22">
        <f t="shared" si="272"/>
        <v>30.364703942260494</v>
      </c>
      <c r="BP57" s="22">
        <f t="shared" si="272"/>
        <v>30.820174501394398</v>
      </c>
      <c r="BQ57" s="22">
        <f t="shared" si="272"/>
        <v>31.282477118915306</v>
      </c>
      <c r="BR57" s="22">
        <f t="shared" si="272"/>
        <v>31.751714275699037</v>
      </c>
      <c r="BS57" s="22">
        <f t="shared" si="272"/>
        <v>31.910472847077525</v>
      </c>
      <c r="BT57" s="22">
        <f t="shared" si="272"/>
        <v>32.07002521131291</v>
      </c>
      <c r="BU57" s="22">
        <f t="shared" si="272"/>
        <v>32.230375337369473</v>
      </c>
      <c r="BV57" s="22">
        <f t="shared" si="272"/>
        <v>32.391527214056318</v>
      </c>
      <c r="BW57" s="22">
        <f t="shared" si="272"/>
        <v>32.877400122267161</v>
      </c>
      <c r="BX57" s="22">
        <f t="shared" si="272"/>
        <v>33.370561124101158</v>
      </c>
      <c r="BY57" s="22">
        <f t="shared" si="272"/>
        <v>33.871119540962667</v>
      </c>
      <c r="BZ57" s="22">
        <f t="shared" si="272"/>
        <v>34.379186334077112</v>
      </c>
      <c r="CA57" s="22">
        <f t="shared" si="272"/>
        <v>34.894874129088265</v>
      </c>
      <c r="CB57" s="22">
        <f t="shared" si="272"/>
        <v>35.418297241024582</v>
      </c>
      <c r="CC57" s="22">
        <f t="shared" si="272"/>
        <v>35.949571699639947</v>
      </c>
      <c r="CD57" s="22">
        <f t="shared" si="272"/>
        <v>36.488815275134549</v>
      </c>
      <c r="CE57" s="22">
        <f t="shared" si="272"/>
        <v>37.036147504261564</v>
      </c>
      <c r="CF57" s="22">
        <f t="shared" si="272"/>
        <v>37.591689716825478</v>
      </c>
      <c r="CG57" s="22">
        <f t="shared" si="272"/>
        <v>38.155565062577857</v>
      </c>
      <c r="CH57" s="22">
        <f t="shared" si="272"/>
        <v>38.72789853851652</v>
      </c>
      <c r="CI57" s="22">
        <f t="shared" si="272"/>
        <v>39.308817016594269</v>
      </c>
      <c r="CJ57" s="22">
        <f t="shared" si="272"/>
        <v>39.898449271843177</v>
      </c>
      <c r="CK57" s="22">
        <f t="shared" si="272"/>
        <v>40.496926010920816</v>
      </c>
      <c r="CM57" s="10">
        <f t="shared" si="269"/>
        <v>0</v>
      </c>
      <c r="CN57" s="10">
        <f t="shared" si="269"/>
        <v>325.95734750000003</v>
      </c>
      <c r="CO57" s="10">
        <f t="shared" si="269"/>
        <v>1085.2870547951779</v>
      </c>
      <c r="CP57" s="10">
        <f t="shared" si="269"/>
        <v>298.59445724098214</v>
      </c>
      <c r="CQ57" s="10">
        <f t="shared" si="269"/>
        <v>340.07989019141945</v>
      </c>
      <c r="CR57" s="10">
        <f t="shared" si="199"/>
        <v>383.15418699885981</v>
      </c>
      <c r="CS57" s="10">
        <f t="shared" si="199"/>
        <v>448.34623780050413</v>
      </c>
    </row>
    <row r="58" spans="2:97" outlineLevel="2" x14ac:dyDescent="0.2">
      <c r="B58" s="95" t="s">
        <v>15</v>
      </c>
      <c r="C58" s="95" t="s">
        <v>4</v>
      </c>
      <c r="D58" s="92"/>
      <c r="P58" s="8">
        <f t="shared" ref="P58:R58" si="273">$D$58</f>
        <v>0</v>
      </c>
      <c r="Q58" s="8">
        <f t="shared" si="273"/>
        <v>0</v>
      </c>
      <c r="R58" s="8">
        <f t="shared" si="273"/>
        <v>0</v>
      </c>
      <c r="S58" s="8">
        <f t="shared" ref="S58:AX58" si="274">$D$58</f>
        <v>0</v>
      </c>
      <c r="T58" s="8">
        <f t="shared" si="274"/>
        <v>0</v>
      </c>
      <c r="U58" s="8">
        <f t="shared" si="274"/>
        <v>0</v>
      </c>
      <c r="V58" s="8">
        <f t="shared" si="274"/>
        <v>0</v>
      </c>
      <c r="W58" s="8">
        <f t="shared" si="274"/>
        <v>0</v>
      </c>
      <c r="X58" s="8">
        <f t="shared" si="274"/>
        <v>0</v>
      </c>
      <c r="Y58" s="8">
        <f t="shared" si="274"/>
        <v>0</v>
      </c>
      <c r="Z58" s="8">
        <f t="shared" si="274"/>
        <v>0</v>
      </c>
      <c r="AA58" s="8">
        <f t="shared" si="274"/>
        <v>0</v>
      </c>
      <c r="AB58" s="8">
        <f t="shared" si="274"/>
        <v>0</v>
      </c>
      <c r="AC58" s="8">
        <f t="shared" si="274"/>
        <v>0</v>
      </c>
      <c r="AD58" s="8">
        <f t="shared" si="274"/>
        <v>0</v>
      </c>
      <c r="AE58" s="8">
        <f t="shared" si="274"/>
        <v>0</v>
      </c>
      <c r="AF58" s="8">
        <f t="shared" si="274"/>
        <v>0</v>
      </c>
      <c r="AG58" s="8">
        <f t="shared" si="274"/>
        <v>0</v>
      </c>
      <c r="AH58" s="8">
        <f t="shared" si="274"/>
        <v>0</v>
      </c>
      <c r="AI58" s="8">
        <f t="shared" si="274"/>
        <v>0</v>
      </c>
      <c r="AJ58" s="8">
        <f t="shared" si="274"/>
        <v>0</v>
      </c>
      <c r="AK58" s="8">
        <f t="shared" si="274"/>
        <v>0</v>
      </c>
      <c r="AL58" s="8">
        <f t="shared" si="274"/>
        <v>0</v>
      </c>
      <c r="AM58" s="8">
        <f t="shared" si="274"/>
        <v>0</v>
      </c>
      <c r="AN58" s="8">
        <f t="shared" si="274"/>
        <v>0</v>
      </c>
      <c r="AO58" s="8">
        <f t="shared" si="274"/>
        <v>0</v>
      </c>
      <c r="AP58" s="8">
        <f t="shared" si="274"/>
        <v>0</v>
      </c>
      <c r="AQ58" s="8">
        <f t="shared" si="274"/>
        <v>0</v>
      </c>
      <c r="AR58" s="8">
        <f t="shared" si="274"/>
        <v>0</v>
      </c>
      <c r="AS58" s="8">
        <f t="shared" si="274"/>
        <v>0</v>
      </c>
      <c r="AT58" s="8">
        <f t="shared" si="274"/>
        <v>0</v>
      </c>
      <c r="AU58" s="8">
        <f t="shared" si="274"/>
        <v>0</v>
      </c>
      <c r="AV58" s="8">
        <f t="shared" si="274"/>
        <v>0</v>
      </c>
      <c r="AW58" s="8">
        <f t="shared" si="274"/>
        <v>0</v>
      </c>
      <c r="AX58" s="8">
        <f t="shared" si="274"/>
        <v>0</v>
      </c>
      <c r="AY58" s="8">
        <f t="shared" ref="AY58:CK58" si="275">$D$58</f>
        <v>0</v>
      </c>
      <c r="AZ58" s="8">
        <f t="shared" si="275"/>
        <v>0</v>
      </c>
      <c r="BA58" s="8">
        <f t="shared" si="275"/>
        <v>0</v>
      </c>
      <c r="BB58" s="8">
        <f t="shared" si="275"/>
        <v>0</v>
      </c>
      <c r="BC58" s="8">
        <f t="shared" si="275"/>
        <v>0</v>
      </c>
      <c r="BD58" s="8">
        <f t="shared" si="275"/>
        <v>0</v>
      </c>
      <c r="BE58" s="8">
        <f t="shared" si="275"/>
        <v>0</v>
      </c>
      <c r="BF58" s="8">
        <f t="shared" si="275"/>
        <v>0</v>
      </c>
      <c r="BG58" s="8">
        <f t="shared" si="275"/>
        <v>0</v>
      </c>
      <c r="BH58" s="8">
        <f t="shared" si="275"/>
        <v>0</v>
      </c>
      <c r="BI58" s="8">
        <f t="shared" si="275"/>
        <v>0</v>
      </c>
      <c r="BJ58" s="8">
        <f t="shared" si="275"/>
        <v>0</v>
      </c>
      <c r="BK58" s="8">
        <f t="shared" si="275"/>
        <v>0</v>
      </c>
      <c r="BL58" s="8">
        <f t="shared" si="275"/>
        <v>0</v>
      </c>
      <c r="BM58" s="8">
        <f t="shared" si="275"/>
        <v>0</v>
      </c>
      <c r="BN58" s="8">
        <f t="shared" si="275"/>
        <v>0</v>
      </c>
      <c r="BO58" s="8">
        <f t="shared" si="275"/>
        <v>0</v>
      </c>
      <c r="BP58" s="8">
        <f t="shared" si="275"/>
        <v>0</v>
      </c>
      <c r="BQ58" s="8">
        <f t="shared" si="275"/>
        <v>0</v>
      </c>
      <c r="BR58" s="8">
        <f t="shared" si="275"/>
        <v>0</v>
      </c>
      <c r="BS58" s="8">
        <f t="shared" si="275"/>
        <v>0</v>
      </c>
      <c r="BT58" s="8">
        <f t="shared" si="275"/>
        <v>0</v>
      </c>
      <c r="BU58" s="8">
        <f t="shared" si="275"/>
        <v>0</v>
      </c>
      <c r="BV58" s="8">
        <f t="shared" si="275"/>
        <v>0</v>
      </c>
      <c r="BW58" s="8">
        <f t="shared" si="275"/>
        <v>0</v>
      </c>
      <c r="BX58" s="8">
        <f t="shared" si="275"/>
        <v>0</v>
      </c>
      <c r="BY58" s="8">
        <f t="shared" si="275"/>
        <v>0</v>
      </c>
      <c r="BZ58" s="8">
        <f t="shared" si="275"/>
        <v>0</v>
      </c>
      <c r="CA58" s="8">
        <f t="shared" si="275"/>
        <v>0</v>
      </c>
      <c r="CB58" s="8">
        <f t="shared" si="275"/>
        <v>0</v>
      </c>
      <c r="CC58" s="8">
        <f t="shared" si="275"/>
        <v>0</v>
      </c>
      <c r="CD58" s="8">
        <f t="shared" si="275"/>
        <v>0</v>
      </c>
      <c r="CE58" s="8">
        <f t="shared" si="275"/>
        <v>0</v>
      </c>
      <c r="CF58" s="8">
        <f t="shared" si="275"/>
        <v>0</v>
      </c>
      <c r="CG58" s="8">
        <f t="shared" si="275"/>
        <v>0</v>
      </c>
      <c r="CH58" s="8">
        <f t="shared" si="275"/>
        <v>0</v>
      </c>
      <c r="CI58" s="8">
        <f t="shared" si="275"/>
        <v>0</v>
      </c>
      <c r="CJ58" s="8">
        <f t="shared" si="275"/>
        <v>0</v>
      </c>
      <c r="CK58" s="8">
        <f t="shared" si="275"/>
        <v>0</v>
      </c>
      <c r="CM58" s="10">
        <f t="shared" si="269"/>
        <v>0</v>
      </c>
      <c r="CN58" s="10">
        <f t="shared" si="269"/>
        <v>0</v>
      </c>
      <c r="CO58" s="10">
        <f t="shared" si="269"/>
        <v>0</v>
      </c>
      <c r="CP58" s="10">
        <f t="shared" si="269"/>
        <v>0</v>
      </c>
      <c r="CQ58" s="10">
        <f t="shared" si="269"/>
        <v>0</v>
      </c>
      <c r="CR58" s="10">
        <f t="shared" si="199"/>
        <v>0</v>
      </c>
      <c r="CS58" s="10">
        <f t="shared" si="199"/>
        <v>0</v>
      </c>
    </row>
    <row r="59" spans="2:97" outlineLevel="2" x14ac:dyDescent="0.2">
      <c r="B59" s="95" t="s">
        <v>23</v>
      </c>
      <c r="C59" s="92" t="s">
        <v>39</v>
      </c>
      <c r="D59" s="105"/>
      <c r="F59" s="22"/>
      <c r="G59" s="22"/>
      <c r="H59" s="22"/>
      <c r="I59" s="22"/>
      <c r="J59" s="22"/>
      <c r="K59" s="22"/>
      <c r="L59" s="22"/>
      <c r="M59" s="22"/>
      <c r="N59" s="22"/>
      <c r="O59" s="22"/>
      <c r="P59" s="22">
        <f t="shared" ref="P59:R60" si="276">P$39*$D59</f>
        <v>0</v>
      </c>
      <c r="Q59" s="22">
        <f t="shared" si="276"/>
        <v>0</v>
      </c>
      <c r="R59" s="22">
        <f t="shared" si="276"/>
        <v>0</v>
      </c>
      <c r="S59" s="22">
        <f t="shared" ref="S59:CK60" si="277">S$39*$D59</f>
        <v>0</v>
      </c>
      <c r="T59" s="22">
        <f t="shared" si="277"/>
        <v>0</v>
      </c>
      <c r="U59" s="22">
        <f t="shared" si="277"/>
        <v>0</v>
      </c>
      <c r="V59" s="22">
        <f t="shared" si="277"/>
        <v>0</v>
      </c>
      <c r="W59" s="22">
        <f t="shared" si="277"/>
        <v>0</v>
      </c>
      <c r="X59" s="22">
        <f t="shared" si="277"/>
        <v>0</v>
      </c>
      <c r="Y59" s="22">
        <f t="shared" si="277"/>
        <v>0</v>
      </c>
      <c r="Z59" s="22">
        <f t="shared" si="277"/>
        <v>0</v>
      </c>
      <c r="AA59" s="22">
        <f t="shared" si="277"/>
        <v>0</v>
      </c>
      <c r="AB59" s="22">
        <f t="shared" si="277"/>
        <v>0</v>
      </c>
      <c r="AC59" s="22">
        <f t="shared" si="277"/>
        <v>0</v>
      </c>
      <c r="AD59" s="22">
        <f t="shared" si="277"/>
        <v>0</v>
      </c>
      <c r="AE59" s="22">
        <f t="shared" si="277"/>
        <v>0</v>
      </c>
      <c r="AF59" s="22">
        <f t="shared" si="277"/>
        <v>0</v>
      </c>
      <c r="AG59" s="22">
        <f t="shared" si="277"/>
        <v>0</v>
      </c>
      <c r="AH59" s="22">
        <f t="shared" si="277"/>
        <v>0</v>
      </c>
      <c r="AI59" s="22">
        <f t="shared" si="277"/>
        <v>0</v>
      </c>
      <c r="AJ59" s="22">
        <f t="shared" si="277"/>
        <v>0</v>
      </c>
      <c r="AK59" s="22">
        <f t="shared" si="277"/>
        <v>0</v>
      </c>
      <c r="AL59" s="22">
        <f t="shared" si="277"/>
        <v>0</v>
      </c>
      <c r="AM59" s="22">
        <f t="shared" si="277"/>
        <v>0</v>
      </c>
      <c r="AN59" s="22">
        <f t="shared" si="277"/>
        <v>0</v>
      </c>
      <c r="AO59" s="22">
        <f t="shared" si="277"/>
        <v>0</v>
      </c>
      <c r="AP59" s="22">
        <f t="shared" si="277"/>
        <v>0</v>
      </c>
      <c r="AQ59" s="22">
        <f t="shared" si="277"/>
        <v>0</v>
      </c>
      <c r="AR59" s="22">
        <f t="shared" si="277"/>
        <v>0</v>
      </c>
      <c r="AS59" s="22">
        <f t="shared" si="277"/>
        <v>0</v>
      </c>
      <c r="AT59" s="22">
        <f t="shared" si="277"/>
        <v>0</v>
      </c>
      <c r="AU59" s="22">
        <f t="shared" si="277"/>
        <v>0</v>
      </c>
      <c r="AV59" s="22">
        <f t="shared" si="277"/>
        <v>0</v>
      </c>
      <c r="AW59" s="22">
        <f t="shared" si="277"/>
        <v>0</v>
      </c>
      <c r="AX59" s="22">
        <f t="shared" si="277"/>
        <v>0</v>
      </c>
      <c r="AY59" s="22">
        <f t="shared" si="277"/>
        <v>0</v>
      </c>
      <c r="AZ59" s="22">
        <f t="shared" si="277"/>
        <v>0</v>
      </c>
      <c r="BA59" s="22">
        <f t="shared" si="277"/>
        <v>0</v>
      </c>
      <c r="BB59" s="22">
        <f t="shared" si="277"/>
        <v>0</v>
      </c>
      <c r="BC59" s="22">
        <f t="shared" si="277"/>
        <v>0</v>
      </c>
      <c r="BD59" s="22">
        <f t="shared" si="277"/>
        <v>0</v>
      </c>
      <c r="BE59" s="22">
        <f t="shared" si="277"/>
        <v>0</v>
      </c>
      <c r="BF59" s="22">
        <f t="shared" si="277"/>
        <v>0</v>
      </c>
      <c r="BG59" s="22">
        <f t="shared" si="277"/>
        <v>0</v>
      </c>
      <c r="BH59" s="22">
        <f t="shared" si="277"/>
        <v>0</v>
      </c>
      <c r="BI59" s="22">
        <f t="shared" si="277"/>
        <v>0</v>
      </c>
      <c r="BJ59" s="22">
        <f t="shared" si="277"/>
        <v>0</v>
      </c>
      <c r="BK59" s="22">
        <f t="shared" si="277"/>
        <v>0</v>
      </c>
      <c r="BL59" s="22">
        <f t="shared" si="277"/>
        <v>0</v>
      </c>
      <c r="BM59" s="22">
        <f t="shared" si="277"/>
        <v>0</v>
      </c>
      <c r="BN59" s="22">
        <f t="shared" si="277"/>
        <v>0</v>
      </c>
      <c r="BO59" s="22">
        <f t="shared" si="277"/>
        <v>0</v>
      </c>
      <c r="BP59" s="22">
        <f t="shared" si="277"/>
        <v>0</v>
      </c>
      <c r="BQ59" s="22">
        <f t="shared" si="277"/>
        <v>0</v>
      </c>
      <c r="BR59" s="22">
        <f t="shared" si="277"/>
        <v>0</v>
      </c>
      <c r="BS59" s="22">
        <f t="shared" si="277"/>
        <v>0</v>
      </c>
      <c r="BT59" s="22">
        <f t="shared" si="277"/>
        <v>0</v>
      </c>
      <c r="BU59" s="22">
        <f t="shared" si="277"/>
        <v>0</v>
      </c>
      <c r="BV59" s="22">
        <f t="shared" si="277"/>
        <v>0</v>
      </c>
      <c r="BW59" s="22">
        <f t="shared" si="277"/>
        <v>0</v>
      </c>
      <c r="BX59" s="22">
        <f t="shared" si="277"/>
        <v>0</v>
      </c>
      <c r="BY59" s="22">
        <f t="shared" si="277"/>
        <v>0</v>
      </c>
      <c r="BZ59" s="22">
        <f t="shared" si="277"/>
        <v>0</v>
      </c>
      <c r="CA59" s="22">
        <f t="shared" si="277"/>
        <v>0</v>
      </c>
      <c r="CB59" s="22">
        <f t="shared" si="277"/>
        <v>0</v>
      </c>
      <c r="CC59" s="22">
        <f t="shared" si="277"/>
        <v>0</v>
      </c>
      <c r="CD59" s="22">
        <f t="shared" si="277"/>
        <v>0</v>
      </c>
      <c r="CE59" s="22">
        <f t="shared" si="277"/>
        <v>0</v>
      </c>
      <c r="CF59" s="22">
        <f t="shared" si="277"/>
        <v>0</v>
      </c>
      <c r="CG59" s="22">
        <f t="shared" si="277"/>
        <v>0</v>
      </c>
      <c r="CH59" s="22">
        <f t="shared" si="277"/>
        <v>0</v>
      </c>
      <c r="CI59" s="22">
        <f t="shared" si="277"/>
        <v>0</v>
      </c>
      <c r="CJ59" s="22">
        <f t="shared" si="277"/>
        <v>0</v>
      </c>
      <c r="CK59" s="22">
        <f t="shared" si="277"/>
        <v>0</v>
      </c>
      <c r="CM59" s="10">
        <f t="shared" si="269"/>
        <v>0</v>
      </c>
      <c r="CN59" s="10">
        <f t="shared" si="269"/>
        <v>0</v>
      </c>
      <c r="CO59" s="10">
        <f t="shared" si="269"/>
        <v>0</v>
      </c>
      <c r="CP59" s="10">
        <f t="shared" si="269"/>
        <v>0</v>
      </c>
      <c r="CQ59" s="10">
        <f t="shared" si="269"/>
        <v>0</v>
      </c>
      <c r="CR59" s="10">
        <f t="shared" si="199"/>
        <v>0</v>
      </c>
      <c r="CS59" s="10">
        <f t="shared" si="199"/>
        <v>0</v>
      </c>
    </row>
    <row r="60" spans="2:97" outlineLevel="2" x14ac:dyDescent="0.2">
      <c r="B60" s="95" t="s">
        <v>24</v>
      </c>
      <c r="C60" s="92"/>
      <c r="D60" s="106">
        <v>5.0000000000000001E-3</v>
      </c>
      <c r="F60" s="22"/>
      <c r="G60" s="22"/>
      <c r="H60" s="22"/>
      <c r="I60" s="22"/>
      <c r="J60" s="22"/>
      <c r="K60" s="22"/>
      <c r="L60" s="22"/>
      <c r="M60" s="22"/>
      <c r="N60" s="22"/>
      <c r="O60" s="22"/>
      <c r="P60" s="22">
        <f t="shared" si="276"/>
        <v>0</v>
      </c>
      <c r="Q60" s="22">
        <f t="shared" si="276"/>
        <v>0</v>
      </c>
      <c r="R60" s="22">
        <f t="shared" si="276"/>
        <v>0.38334000000000001</v>
      </c>
      <c r="S60" s="22">
        <f t="shared" si="277"/>
        <v>0.60763500000000004</v>
      </c>
      <c r="T60" s="22">
        <f t="shared" si="277"/>
        <v>0.27841500000000002</v>
      </c>
      <c r="U60" s="22">
        <f t="shared" si="277"/>
        <v>2.79271</v>
      </c>
      <c r="V60" s="22">
        <f t="shared" si="277"/>
        <v>2.6133150000000001</v>
      </c>
      <c r="W60" s="22">
        <f t="shared" si="277"/>
        <v>2.3841050000000004</v>
      </c>
      <c r="X60" s="22">
        <f t="shared" si="277"/>
        <v>3.6939750499999997</v>
      </c>
      <c r="Y60" s="22">
        <f t="shared" si="277"/>
        <v>3.1250430000000002</v>
      </c>
      <c r="Z60" s="22">
        <f t="shared" si="277"/>
        <v>3.3679828000000005</v>
      </c>
      <c r="AA60" s="22">
        <f t="shared" si="277"/>
        <v>4.2483514000000007</v>
      </c>
      <c r="AB60" s="22">
        <f t="shared" si="277"/>
        <v>3.6972099500000004</v>
      </c>
      <c r="AC60" s="22">
        <f t="shared" si="277"/>
        <v>6.8603290500000007</v>
      </c>
      <c r="AD60" s="22">
        <f t="shared" si="277"/>
        <v>2.4705850000000003</v>
      </c>
      <c r="AE60" s="22">
        <f t="shared" si="277"/>
        <v>2.9499550000000001</v>
      </c>
      <c r="AF60" s="22">
        <f t="shared" si="277"/>
        <v>3.4863749999999998</v>
      </c>
      <c r="AG60" s="22">
        <f t="shared" si="277"/>
        <v>3.538670625</v>
      </c>
      <c r="AH60" s="22">
        <f t="shared" si="277"/>
        <v>3.591750684375</v>
      </c>
      <c r="AI60" s="22">
        <f t="shared" si="277"/>
        <v>3.6097094377968744</v>
      </c>
      <c r="AJ60" s="22">
        <f t="shared" si="277"/>
        <v>3.6277579849858586</v>
      </c>
      <c r="AK60" s="22">
        <f t="shared" si="277"/>
        <v>3.6458967749107876</v>
      </c>
      <c r="AL60" s="22">
        <f t="shared" si="277"/>
        <v>3.6641262587853412</v>
      </c>
      <c r="AM60" s="22">
        <f t="shared" si="277"/>
        <v>3.7190881526671213</v>
      </c>
      <c r="AN60" s="22">
        <f t="shared" si="277"/>
        <v>3.7748744749571279</v>
      </c>
      <c r="AO60" s="22">
        <f t="shared" si="277"/>
        <v>3.8314975920814844</v>
      </c>
      <c r="AP60" s="22">
        <f t="shared" si="277"/>
        <v>3.8698125680022999</v>
      </c>
      <c r="AQ60" s="22">
        <f t="shared" si="277"/>
        <v>3.9085106936823224</v>
      </c>
      <c r="AR60" s="22">
        <f t="shared" si="277"/>
        <v>3.9671383540875569</v>
      </c>
      <c r="AS60" s="22">
        <f t="shared" si="277"/>
        <v>4.0266454293988696</v>
      </c>
      <c r="AT60" s="22">
        <f t="shared" si="277"/>
        <v>4.0870451108398527</v>
      </c>
      <c r="AU60" s="22">
        <f t="shared" si="277"/>
        <v>4.1279155619482513</v>
      </c>
      <c r="AV60" s="22">
        <f t="shared" si="277"/>
        <v>4.1691947175677333</v>
      </c>
      <c r="AW60" s="22">
        <f t="shared" si="277"/>
        <v>4.2108866647434109</v>
      </c>
      <c r="AX60" s="22">
        <f t="shared" si="277"/>
        <v>4.2529955313908445</v>
      </c>
      <c r="AY60" s="22">
        <f t="shared" si="277"/>
        <v>4.3167904643617074</v>
      </c>
      <c r="AZ60" s="22">
        <f t="shared" si="277"/>
        <v>4.3815423213271325</v>
      </c>
      <c r="BA60" s="22">
        <f t="shared" si="277"/>
        <v>4.4472654561470391</v>
      </c>
      <c r="BB60" s="22">
        <f t="shared" si="277"/>
        <v>4.4695017834277735</v>
      </c>
      <c r="BC60" s="22">
        <f t="shared" si="277"/>
        <v>4.491849292344912</v>
      </c>
      <c r="BD60" s="22">
        <f t="shared" si="277"/>
        <v>4.5592270317300851</v>
      </c>
      <c r="BE60" s="22">
        <f t="shared" si="277"/>
        <v>4.6276154372060363</v>
      </c>
      <c r="BF60" s="22">
        <f t="shared" si="277"/>
        <v>4.6970296687641264</v>
      </c>
      <c r="BG60" s="22">
        <f t="shared" si="277"/>
        <v>4.7205148171079463</v>
      </c>
      <c r="BH60" s="22">
        <f t="shared" si="277"/>
        <v>4.7441173911934857</v>
      </c>
      <c r="BI60" s="22">
        <f t="shared" si="277"/>
        <v>4.7678379781494531</v>
      </c>
      <c r="BJ60" s="22">
        <f t="shared" si="277"/>
        <v>4.7916771680401995</v>
      </c>
      <c r="BK60" s="22">
        <f t="shared" si="277"/>
        <v>4.8635523255608026</v>
      </c>
      <c r="BL60" s="22">
        <f t="shared" si="277"/>
        <v>4.9365056104442138</v>
      </c>
      <c r="BM60" s="22">
        <f t="shared" si="277"/>
        <v>5.0105531946008766</v>
      </c>
      <c r="BN60" s="22">
        <f t="shared" si="277"/>
        <v>5.0356059605738803</v>
      </c>
      <c r="BO60" s="22">
        <f t="shared" si="277"/>
        <v>5.0607839903767493</v>
      </c>
      <c r="BP60" s="22">
        <f t="shared" si="277"/>
        <v>5.1366957502324002</v>
      </c>
      <c r="BQ60" s="22">
        <f t="shared" si="277"/>
        <v>5.2137461864858849</v>
      </c>
      <c r="BR60" s="22">
        <f t="shared" si="277"/>
        <v>5.2919523792831731</v>
      </c>
      <c r="BS60" s="22">
        <f t="shared" si="277"/>
        <v>5.3184121411795875</v>
      </c>
      <c r="BT60" s="22">
        <f t="shared" si="277"/>
        <v>5.3450042018854855</v>
      </c>
      <c r="BU60" s="22">
        <f t="shared" si="277"/>
        <v>5.3717292228949125</v>
      </c>
      <c r="BV60" s="22">
        <f t="shared" si="277"/>
        <v>5.3985878690093863</v>
      </c>
      <c r="BW60" s="22">
        <f t="shared" si="277"/>
        <v>5.4795666870445272</v>
      </c>
      <c r="BX60" s="22">
        <f t="shared" si="277"/>
        <v>5.5617601873501927</v>
      </c>
      <c r="BY60" s="22">
        <f t="shared" si="277"/>
        <v>5.6451865901604448</v>
      </c>
      <c r="BZ60" s="22">
        <f t="shared" si="277"/>
        <v>5.7298643890128522</v>
      </c>
      <c r="CA60" s="22">
        <f t="shared" si="277"/>
        <v>5.8158123548480445</v>
      </c>
      <c r="CB60" s="22">
        <f t="shared" si="277"/>
        <v>5.9030495401707643</v>
      </c>
      <c r="CC60" s="22">
        <f t="shared" si="277"/>
        <v>5.991595283273325</v>
      </c>
      <c r="CD60" s="22">
        <f t="shared" si="277"/>
        <v>6.0814692125224248</v>
      </c>
      <c r="CE60" s="22">
        <f t="shared" si="277"/>
        <v>6.1726912507102609</v>
      </c>
      <c r="CF60" s="22">
        <f t="shared" si="277"/>
        <v>6.2652816194709136</v>
      </c>
      <c r="CG60" s="22">
        <f t="shared" si="277"/>
        <v>6.3592608437629767</v>
      </c>
      <c r="CH60" s="22">
        <f t="shared" si="277"/>
        <v>6.4546497564194203</v>
      </c>
      <c r="CI60" s="22">
        <f t="shared" si="277"/>
        <v>6.5514695027657117</v>
      </c>
      <c r="CJ60" s="22">
        <f t="shared" si="277"/>
        <v>6.6497415453071964</v>
      </c>
      <c r="CK60" s="22">
        <f t="shared" si="277"/>
        <v>6.749487668486803</v>
      </c>
      <c r="CM60" s="10">
        <f t="shared" si="269"/>
        <v>0</v>
      </c>
      <c r="CN60" s="10">
        <f t="shared" si="269"/>
        <v>34.052411250000006</v>
      </c>
      <c r="CO60" s="10">
        <f t="shared" si="269"/>
        <v>41.910286985559594</v>
      </c>
      <c r="CP60" s="10">
        <f t="shared" si="269"/>
        <v>49.765742873497018</v>
      </c>
      <c r="CQ60" s="10">
        <f t="shared" si="269"/>
        <v>56.679981698569911</v>
      </c>
      <c r="CR60" s="10">
        <f t="shared" ref="CR60:CS60" si="278">SUMIF($L$2:$CK$2,CR$3,$L60:$CK60)</f>
        <v>63.859031166476626</v>
      </c>
      <c r="CS60" s="10">
        <f t="shared" si="278"/>
        <v>74.724372966750693</v>
      </c>
    </row>
    <row r="61" spans="2:97" hidden="1" x14ac:dyDescent="0.2">
      <c r="B61" s="12" t="s">
        <v>25</v>
      </c>
      <c r="F61" s="14">
        <f t="shared" ref="F61:K61" si="279">SUM(F62:F74)</f>
        <v>0</v>
      </c>
      <c r="G61" s="14">
        <f t="shared" si="279"/>
        <v>0</v>
      </c>
      <c r="H61" s="14">
        <f t="shared" si="279"/>
        <v>0</v>
      </c>
      <c r="I61" s="14">
        <f t="shared" si="279"/>
        <v>0</v>
      </c>
      <c r="J61" s="14">
        <f t="shared" si="279"/>
        <v>0</v>
      </c>
      <c r="K61" s="14">
        <f t="shared" si="279"/>
        <v>0</v>
      </c>
      <c r="L61" s="14">
        <f>SUM(L62:L74)</f>
        <v>0</v>
      </c>
    </row>
    <row r="62" spans="2:97" hidden="1" x14ac:dyDescent="0.2">
      <c r="B62" s="214" t="s">
        <v>26</v>
      </c>
    </row>
    <row r="63" spans="2:97" hidden="1" x14ac:dyDescent="0.2">
      <c r="B63" s="214" t="s">
        <v>27</v>
      </c>
    </row>
    <row r="64" spans="2:97" hidden="1" x14ac:dyDescent="0.2">
      <c r="B64" s="214" t="s">
        <v>28</v>
      </c>
    </row>
    <row r="65" spans="2:97" hidden="1" x14ac:dyDescent="0.2">
      <c r="B65" s="214" t="s">
        <v>29</v>
      </c>
    </row>
    <row r="66" spans="2:97" hidden="1" x14ac:dyDescent="0.2">
      <c r="B66" s="214" t="s">
        <v>15</v>
      </c>
    </row>
    <row r="67" spans="2:97" hidden="1" x14ac:dyDescent="0.2">
      <c r="B67" s="214" t="s">
        <v>30</v>
      </c>
    </row>
    <row r="68" spans="2:97" hidden="1" x14ac:dyDescent="0.2">
      <c r="B68" s="214" t="s">
        <v>31</v>
      </c>
    </row>
    <row r="69" spans="2:97" hidden="1" x14ac:dyDescent="0.2">
      <c r="B69" s="214" t="s">
        <v>32</v>
      </c>
    </row>
    <row r="70" spans="2:97" hidden="1" x14ac:dyDescent="0.2">
      <c r="B70" s="214" t="s">
        <v>33</v>
      </c>
    </row>
    <row r="71" spans="2:97" hidden="1" x14ac:dyDescent="0.2">
      <c r="B71" s="214" t="s">
        <v>34</v>
      </c>
    </row>
    <row r="72" spans="2:97" hidden="1" x14ac:dyDescent="0.2">
      <c r="B72" s="214" t="s">
        <v>35</v>
      </c>
    </row>
    <row r="73" spans="2:97" hidden="1" x14ac:dyDescent="0.2">
      <c r="B73" s="214" t="s">
        <v>36</v>
      </c>
    </row>
    <row r="74" spans="2:97" hidden="1" x14ac:dyDescent="0.2">
      <c r="B74" s="214" t="s">
        <v>37</v>
      </c>
    </row>
    <row r="75" spans="2:97" x14ac:dyDescent="0.2">
      <c r="B75" s="20" t="s">
        <v>6</v>
      </c>
      <c r="C75" s="23" t="s">
        <v>4</v>
      </c>
      <c r="D75" s="23"/>
      <c r="F75" s="24">
        <f t="shared" ref="F75:K75" si="280">F44+F47</f>
        <v>0</v>
      </c>
      <c r="G75" s="24">
        <f t="shared" si="280"/>
        <v>0</v>
      </c>
      <c r="H75" s="24">
        <f t="shared" si="280"/>
        <v>0</v>
      </c>
      <c r="I75" s="24">
        <f t="shared" si="280"/>
        <v>0</v>
      </c>
      <c r="J75" s="24">
        <f t="shared" si="280"/>
        <v>0</v>
      </c>
      <c r="K75" s="24">
        <f t="shared" si="280"/>
        <v>0</v>
      </c>
      <c r="L75" s="24">
        <f t="shared" ref="L75:AW75" si="281">L44+L47</f>
        <v>0</v>
      </c>
      <c r="M75" s="24">
        <f t="shared" si="281"/>
        <v>0</v>
      </c>
      <c r="N75" s="24">
        <f t="shared" si="281"/>
        <v>0</v>
      </c>
      <c r="O75" s="24">
        <f t="shared" si="281"/>
        <v>0</v>
      </c>
      <c r="P75" s="24">
        <f t="shared" si="281"/>
        <v>0</v>
      </c>
      <c r="Q75" s="24">
        <f t="shared" si="281"/>
        <v>0</v>
      </c>
      <c r="R75" s="24">
        <f t="shared" si="281"/>
        <v>77.800079999999994</v>
      </c>
      <c r="S75" s="24">
        <f t="shared" si="281"/>
        <v>122.49162000000001</v>
      </c>
      <c r="T75" s="24">
        <f t="shared" si="281"/>
        <v>57.140979999999999</v>
      </c>
      <c r="U75" s="24">
        <f t="shared" si="281"/>
        <v>770.29793999999993</v>
      </c>
      <c r="V75" s="24">
        <f t="shared" si="281"/>
        <v>653.01842099999999</v>
      </c>
      <c r="W75" s="24">
        <f t="shared" si="281"/>
        <v>579.14700700000003</v>
      </c>
      <c r="X75" s="24">
        <f t="shared" si="281"/>
        <v>536.6340970199999</v>
      </c>
      <c r="Y75" s="24">
        <f t="shared" si="281"/>
        <v>456.75603719999998</v>
      </c>
      <c r="Z75" s="24">
        <f t="shared" si="281"/>
        <v>490.86478511999996</v>
      </c>
      <c r="AA75" s="24">
        <f t="shared" si="281"/>
        <v>614.46853655999996</v>
      </c>
      <c r="AB75" s="24">
        <f t="shared" si="281"/>
        <v>537.08827697999993</v>
      </c>
      <c r="AC75" s="24">
        <f t="shared" si="281"/>
        <v>981.19019862000005</v>
      </c>
      <c r="AD75" s="24">
        <f t="shared" si="281"/>
        <v>364.87013399999995</v>
      </c>
      <c r="AE75" s="24">
        <f t="shared" si="281"/>
        <v>469.17368199999999</v>
      </c>
      <c r="AF75" s="24">
        <f t="shared" si="281"/>
        <v>544.48704999999995</v>
      </c>
      <c r="AG75" s="24">
        <f t="shared" si="281"/>
        <v>551.82935574999999</v>
      </c>
      <c r="AH75" s="24">
        <f t="shared" si="281"/>
        <v>559.28179608624998</v>
      </c>
      <c r="AI75" s="24">
        <f t="shared" si="281"/>
        <v>561.80320506668113</v>
      </c>
      <c r="AJ75" s="24">
        <f t="shared" si="281"/>
        <v>574.33722109201449</v>
      </c>
      <c r="AK75" s="24">
        <f t="shared" si="281"/>
        <v>755.00852654800985</v>
      </c>
      <c r="AL75" s="24">
        <f t="shared" si="281"/>
        <v>1057.4585691807499</v>
      </c>
      <c r="AM75" s="24">
        <f t="shared" si="281"/>
        <v>764.84544771846106</v>
      </c>
      <c r="AN75" s="24">
        <f t="shared" si="281"/>
        <v>594.99237628398078</v>
      </c>
      <c r="AO75" s="24">
        <f t="shared" si="281"/>
        <v>602.94226192824044</v>
      </c>
      <c r="AP75" s="24">
        <f t="shared" si="281"/>
        <v>608.32168454752286</v>
      </c>
      <c r="AQ75" s="24">
        <f t="shared" si="281"/>
        <v>613.75490139299814</v>
      </c>
      <c r="AR75" s="24">
        <f t="shared" si="281"/>
        <v>621.98622491389301</v>
      </c>
      <c r="AS75" s="24">
        <f t="shared" si="281"/>
        <v>630.34101828760129</v>
      </c>
      <c r="AT75" s="24">
        <f t="shared" si="281"/>
        <v>638.8211335619153</v>
      </c>
      <c r="AU75" s="24">
        <f t="shared" si="281"/>
        <v>644.5593448975344</v>
      </c>
      <c r="AV75" s="24">
        <f t="shared" si="281"/>
        <v>650.3549383465097</v>
      </c>
      <c r="AW75" s="24">
        <f t="shared" si="281"/>
        <v>656.20848772997488</v>
      </c>
      <c r="AX75" s="24">
        <f t="shared" ref="AX75:BU75" si="282">AX44+AX47</f>
        <v>662.12057260727454</v>
      </c>
      <c r="AY75" s="24">
        <f t="shared" si="282"/>
        <v>671.07738119638361</v>
      </c>
      <c r="AZ75" s="24">
        <f t="shared" si="282"/>
        <v>680.16854191432935</v>
      </c>
      <c r="BA75" s="24">
        <f t="shared" si="282"/>
        <v>689.39607004304423</v>
      </c>
      <c r="BB75" s="24">
        <f t="shared" si="282"/>
        <v>692.51805039325939</v>
      </c>
      <c r="BC75" s="24">
        <f t="shared" si="282"/>
        <v>695.65564064522573</v>
      </c>
      <c r="BD75" s="24">
        <f t="shared" si="282"/>
        <v>705.11547525490391</v>
      </c>
      <c r="BE75" s="24">
        <f t="shared" si="282"/>
        <v>714.71720738372744</v>
      </c>
      <c r="BF75" s="24">
        <f t="shared" si="282"/>
        <v>724.46296549448334</v>
      </c>
      <c r="BG75" s="24">
        <f t="shared" si="282"/>
        <v>727.76028032195563</v>
      </c>
      <c r="BH75" s="24">
        <f t="shared" si="282"/>
        <v>731.07408172356543</v>
      </c>
      <c r="BI75" s="24">
        <f t="shared" si="282"/>
        <v>734.40445213218311</v>
      </c>
      <c r="BJ75" s="24">
        <f t="shared" si="282"/>
        <v>737.7514743928441</v>
      </c>
      <c r="BK75" s="24">
        <f t="shared" si="282"/>
        <v>747.84274650873681</v>
      </c>
      <c r="BL75" s="24">
        <f t="shared" si="282"/>
        <v>758.08538770636767</v>
      </c>
      <c r="BM75" s="24">
        <f t="shared" si="282"/>
        <v>768.481668521963</v>
      </c>
      <c r="BN75" s="24">
        <f t="shared" si="282"/>
        <v>771.99907686457277</v>
      </c>
      <c r="BO75" s="24">
        <f t="shared" si="282"/>
        <v>775.53407224889543</v>
      </c>
      <c r="BP75" s="24">
        <f t="shared" si="282"/>
        <v>786.19208333262895</v>
      </c>
      <c r="BQ75" s="24">
        <f t="shared" si="282"/>
        <v>797.00996458261818</v>
      </c>
      <c r="BR75" s="24">
        <f t="shared" si="282"/>
        <v>807.99011405135752</v>
      </c>
      <c r="BS75" s="24">
        <f t="shared" si="282"/>
        <v>811.70506462161393</v>
      </c>
      <c r="BT75" s="24">
        <f t="shared" si="282"/>
        <v>815.43858994472214</v>
      </c>
      <c r="BU75" s="24">
        <f t="shared" si="282"/>
        <v>819.19078289444576</v>
      </c>
      <c r="BV75" s="24">
        <f t="shared" ref="BV75:BX75" si="283">BV44+BV47</f>
        <v>822.96173680891775</v>
      </c>
      <c r="BW75" s="24">
        <f t="shared" si="283"/>
        <v>834.33116286105155</v>
      </c>
      <c r="BX75" s="24">
        <f t="shared" si="283"/>
        <v>845.87113030396711</v>
      </c>
      <c r="BY75" s="24">
        <f t="shared" ref="BY75:CK75" si="284">BY44+BY47</f>
        <v>857.58419725852639</v>
      </c>
      <c r="BZ75" s="24">
        <f t="shared" si="284"/>
        <v>869.47296021740442</v>
      </c>
      <c r="CA75" s="24">
        <f t="shared" si="284"/>
        <v>881.54005462066539</v>
      </c>
      <c r="CB75" s="24">
        <f t="shared" si="284"/>
        <v>893.7881554399753</v>
      </c>
      <c r="CC75" s="24">
        <f t="shared" si="284"/>
        <v>906.2199777715748</v>
      </c>
      <c r="CD75" s="24">
        <f t="shared" si="284"/>
        <v>918.83827743814845</v>
      </c>
      <c r="CE75" s="24">
        <f t="shared" si="284"/>
        <v>931.64585159972069</v>
      </c>
      <c r="CF75" s="24">
        <f t="shared" si="284"/>
        <v>944.64553937371625</v>
      </c>
      <c r="CG75" s="24">
        <f t="shared" si="284"/>
        <v>957.84022246432187</v>
      </c>
      <c r="CH75" s="24">
        <f t="shared" si="284"/>
        <v>971.23282580128648</v>
      </c>
      <c r="CI75" s="24">
        <f t="shared" si="284"/>
        <v>984.82631818830589</v>
      </c>
      <c r="CJ75" s="24">
        <f t="shared" si="284"/>
        <v>998.6237129611302</v>
      </c>
      <c r="CK75" s="24">
        <f t="shared" si="284"/>
        <v>1012.6280686555471</v>
      </c>
      <c r="CM75" s="24">
        <f>SUMIF($L$2:$CK$2,CM$3,$L75:$CK75)</f>
        <v>0</v>
      </c>
      <c r="CN75" s="24">
        <f>SUMIF($L$2:$CK$2,CN$3,$L75:$CK75)</f>
        <v>5876.8979794999996</v>
      </c>
      <c r="CO75" s="24">
        <f>SUMIF($L$2:$CK$2,CO$3,$L75:$CK75)</f>
        <v>7401.0296256543879</v>
      </c>
      <c r="CP75" s="24">
        <f>SUMIF($L$2:$CK$2,CP$3,$L75:$CK75)</f>
        <v>7767.1102994389821</v>
      </c>
      <c r="CQ75" s="24">
        <f>SUMIF($L$2:$CK$2,CQ$3,$L75:$CK75)</f>
        <v>8737.8694304792152</v>
      </c>
      <c r="CR75" s="24">
        <f t="shared" ref="CR75:CS75" si="285">SUMIF($L$2:$CK$2,CR$3,$L75:$CK75)</f>
        <v>9745.8079757733158</v>
      </c>
      <c r="CS75" s="24">
        <f t="shared" si="285"/>
        <v>11271.301964531798</v>
      </c>
    </row>
    <row r="78" spans="2:97" x14ac:dyDescent="0.2">
      <c r="B78" s="12" t="s">
        <v>42</v>
      </c>
    </row>
    <row r="79" spans="2:97" x14ac:dyDescent="0.2">
      <c r="B79" s="200" t="s">
        <v>1</v>
      </c>
      <c r="C79" s="200" t="s">
        <v>2</v>
      </c>
      <c r="D79" s="200" t="s">
        <v>38</v>
      </c>
      <c r="F79" s="201">
        <f t="shared" ref="F79:K79" si="286">F43</f>
        <v>45292</v>
      </c>
      <c r="G79" s="201">
        <f t="shared" si="286"/>
        <v>45323</v>
      </c>
      <c r="H79" s="201">
        <f t="shared" si="286"/>
        <v>45352</v>
      </c>
      <c r="I79" s="201">
        <f t="shared" si="286"/>
        <v>45383</v>
      </c>
      <c r="J79" s="201">
        <f t="shared" si="286"/>
        <v>45413</v>
      </c>
      <c r="K79" s="201">
        <f t="shared" si="286"/>
        <v>45444</v>
      </c>
      <c r="L79" s="201">
        <f>L43</f>
        <v>45474</v>
      </c>
      <c r="M79" s="201">
        <f t="shared" ref="M79:BU79" si="287">M43</f>
        <v>45505</v>
      </c>
      <c r="N79" s="201">
        <f t="shared" si="287"/>
        <v>45536</v>
      </c>
      <c r="O79" s="201">
        <f t="shared" si="287"/>
        <v>45566</v>
      </c>
      <c r="P79" s="201">
        <f t="shared" si="287"/>
        <v>45597</v>
      </c>
      <c r="Q79" s="201">
        <f t="shared" si="287"/>
        <v>45627</v>
      </c>
      <c r="R79" s="201">
        <f t="shared" si="287"/>
        <v>45658</v>
      </c>
      <c r="S79" s="201">
        <f t="shared" si="287"/>
        <v>45689</v>
      </c>
      <c r="T79" s="201">
        <f t="shared" si="287"/>
        <v>45717</v>
      </c>
      <c r="U79" s="201">
        <f t="shared" si="287"/>
        <v>45748</v>
      </c>
      <c r="V79" s="201">
        <f t="shared" si="287"/>
        <v>45778</v>
      </c>
      <c r="W79" s="201">
        <f t="shared" si="287"/>
        <v>45809</v>
      </c>
      <c r="X79" s="201">
        <f t="shared" si="287"/>
        <v>45839</v>
      </c>
      <c r="Y79" s="201">
        <f t="shared" si="287"/>
        <v>45870</v>
      </c>
      <c r="Z79" s="201">
        <f t="shared" si="287"/>
        <v>45901</v>
      </c>
      <c r="AA79" s="201">
        <f t="shared" si="287"/>
        <v>45931</v>
      </c>
      <c r="AB79" s="201">
        <f t="shared" si="287"/>
        <v>45962</v>
      </c>
      <c r="AC79" s="201">
        <f t="shared" si="287"/>
        <v>45992</v>
      </c>
      <c r="AD79" s="201">
        <f t="shared" si="287"/>
        <v>46023</v>
      </c>
      <c r="AE79" s="201">
        <f t="shared" si="287"/>
        <v>46054</v>
      </c>
      <c r="AF79" s="201">
        <f t="shared" si="287"/>
        <v>46082</v>
      </c>
      <c r="AG79" s="201">
        <f t="shared" si="287"/>
        <v>46113</v>
      </c>
      <c r="AH79" s="201">
        <f t="shared" si="287"/>
        <v>46143</v>
      </c>
      <c r="AI79" s="201">
        <f t="shared" si="287"/>
        <v>46174</v>
      </c>
      <c r="AJ79" s="201">
        <f t="shared" si="287"/>
        <v>46204</v>
      </c>
      <c r="AK79" s="201">
        <f t="shared" si="287"/>
        <v>46235</v>
      </c>
      <c r="AL79" s="201">
        <f t="shared" si="287"/>
        <v>46266</v>
      </c>
      <c r="AM79" s="201">
        <f t="shared" si="287"/>
        <v>46296</v>
      </c>
      <c r="AN79" s="201">
        <f t="shared" si="287"/>
        <v>46327</v>
      </c>
      <c r="AO79" s="201">
        <f t="shared" si="287"/>
        <v>46357</v>
      </c>
      <c r="AP79" s="201">
        <f t="shared" si="287"/>
        <v>46388</v>
      </c>
      <c r="AQ79" s="201">
        <f t="shared" si="287"/>
        <v>46419</v>
      </c>
      <c r="AR79" s="201">
        <f t="shared" si="287"/>
        <v>46447</v>
      </c>
      <c r="AS79" s="201">
        <f t="shared" si="287"/>
        <v>46478</v>
      </c>
      <c r="AT79" s="201">
        <f t="shared" si="287"/>
        <v>46508</v>
      </c>
      <c r="AU79" s="201">
        <f t="shared" si="287"/>
        <v>46539</v>
      </c>
      <c r="AV79" s="201">
        <f t="shared" si="287"/>
        <v>46569</v>
      </c>
      <c r="AW79" s="201">
        <f t="shared" si="287"/>
        <v>46600</v>
      </c>
      <c r="AX79" s="201">
        <f t="shared" si="287"/>
        <v>46631</v>
      </c>
      <c r="AY79" s="201">
        <f t="shared" si="287"/>
        <v>46661</v>
      </c>
      <c r="AZ79" s="201">
        <f t="shared" si="287"/>
        <v>46692</v>
      </c>
      <c r="BA79" s="201">
        <f t="shared" si="287"/>
        <v>46722</v>
      </c>
      <c r="BB79" s="201">
        <f t="shared" si="287"/>
        <v>46753</v>
      </c>
      <c r="BC79" s="201">
        <f t="shared" si="287"/>
        <v>46784</v>
      </c>
      <c r="BD79" s="201">
        <f t="shared" si="287"/>
        <v>46813</v>
      </c>
      <c r="BE79" s="201">
        <f t="shared" si="287"/>
        <v>46844</v>
      </c>
      <c r="BF79" s="201">
        <f t="shared" si="287"/>
        <v>46874</v>
      </c>
      <c r="BG79" s="201">
        <f t="shared" si="287"/>
        <v>46905</v>
      </c>
      <c r="BH79" s="201">
        <f t="shared" si="287"/>
        <v>46935</v>
      </c>
      <c r="BI79" s="201">
        <f t="shared" si="287"/>
        <v>46966</v>
      </c>
      <c r="BJ79" s="201">
        <f t="shared" si="287"/>
        <v>46997</v>
      </c>
      <c r="BK79" s="201">
        <f t="shared" si="287"/>
        <v>47027</v>
      </c>
      <c r="BL79" s="201">
        <f t="shared" si="287"/>
        <v>47058</v>
      </c>
      <c r="BM79" s="201">
        <f t="shared" si="287"/>
        <v>47088</v>
      </c>
      <c r="BN79" s="201">
        <f t="shared" si="287"/>
        <v>47119</v>
      </c>
      <c r="BO79" s="201">
        <f t="shared" si="287"/>
        <v>47150</v>
      </c>
      <c r="BP79" s="201">
        <f t="shared" si="287"/>
        <v>47178</v>
      </c>
      <c r="BQ79" s="201">
        <f t="shared" si="287"/>
        <v>47209</v>
      </c>
      <c r="BR79" s="201">
        <f t="shared" si="287"/>
        <v>47239</v>
      </c>
      <c r="BS79" s="201">
        <f t="shared" si="287"/>
        <v>47270</v>
      </c>
      <c r="BT79" s="201">
        <f t="shared" si="287"/>
        <v>47300</v>
      </c>
      <c r="BU79" s="201">
        <f t="shared" si="287"/>
        <v>47331</v>
      </c>
      <c r="BV79" s="201">
        <f t="shared" ref="BV79:BX79" si="288">BV43</f>
        <v>47362</v>
      </c>
      <c r="BW79" s="201">
        <f t="shared" si="288"/>
        <v>47392</v>
      </c>
      <c r="BX79" s="201">
        <f t="shared" si="288"/>
        <v>47423</v>
      </c>
      <c r="BY79" s="201">
        <f t="shared" ref="BY79:CK79" si="289">BY43</f>
        <v>47453</v>
      </c>
      <c r="BZ79" s="201">
        <f t="shared" si="289"/>
        <v>47484</v>
      </c>
      <c r="CA79" s="201">
        <f t="shared" si="289"/>
        <v>47515</v>
      </c>
      <c r="CB79" s="201">
        <f t="shared" si="289"/>
        <v>47543</v>
      </c>
      <c r="CC79" s="201">
        <f t="shared" si="289"/>
        <v>47574</v>
      </c>
      <c r="CD79" s="201">
        <f t="shared" si="289"/>
        <v>47604</v>
      </c>
      <c r="CE79" s="201">
        <f t="shared" si="289"/>
        <v>47635</v>
      </c>
      <c r="CF79" s="201">
        <f t="shared" si="289"/>
        <v>47665</v>
      </c>
      <c r="CG79" s="201">
        <f t="shared" si="289"/>
        <v>47696</v>
      </c>
      <c r="CH79" s="201">
        <f t="shared" si="289"/>
        <v>47727</v>
      </c>
      <c r="CI79" s="201">
        <f t="shared" si="289"/>
        <v>47757</v>
      </c>
      <c r="CJ79" s="201">
        <f t="shared" si="289"/>
        <v>47788</v>
      </c>
      <c r="CK79" s="201">
        <f t="shared" si="289"/>
        <v>47818</v>
      </c>
      <c r="CM79" s="202">
        <v>2024</v>
      </c>
      <c r="CN79" s="202">
        <f>CM79+1</f>
        <v>2025</v>
      </c>
      <c r="CO79" s="202">
        <f t="shared" ref="CO79" si="290">CN79+1</f>
        <v>2026</v>
      </c>
      <c r="CP79" s="202">
        <f t="shared" ref="CP79" si="291">CO79+1</f>
        <v>2027</v>
      </c>
      <c r="CQ79" s="202">
        <f t="shared" ref="CQ79" si="292">CP79+1</f>
        <v>2028</v>
      </c>
      <c r="CR79" s="202">
        <f t="shared" ref="CR79" si="293">CQ79+1</f>
        <v>2029</v>
      </c>
      <c r="CS79" s="202">
        <f t="shared" ref="CS79" si="294">CR79+1</f>
        <v>2030</v>
      </c>
    </row>
    <row r="80" spans="2:97" outlineLevel="1" x14ac:dyDescent="0.2">
      <c r="B80" s="92" t="s">
        <v>44</v>
      </c>
      <c r="C80" s="97" t="s">
        <v>4</v>
      </c>
      <c r="D80" s="91"/>
      <c r="X80" s="8">
        <v>40</v>
      </c>
      <c r="Y80" s="8">
        <f t="shared" ref="Y80:AW80" si="295">X80</f>
        <v>40</v>
      </c>
      <c r="Z80" s="8">
        <f t="shared" si="295"/>
        <v>40</v>
      </c>
      <c r="AA80" s="8">
        <f t="shared" si="295"/>
        <v>40</v>
      </c>
      <c r="AB80" s="8">
        <f t="shared" si="295"/>
        <v>40</v>
      </c>
      <c r="AC80" s="8">
        <f t="shared" si="295"/>
        <v>40</v>
      </c>
      <c r="AD80" s="8">
        <f t="shared" si="295"/>
        <v>40</v>
      </c>
      <c r="AE80" s="227">
        <v>50</v>
      </c>
      <c r="AF80" s="8">
        <f t="shared" si="295"/>
        <v>50</v>
      </c>
      <c r="AG80" s="8">
        <f t="shared" si="295"/>
        <v>50</v>
      </c>
      <c r="AH80" s="8">
        <f t="shared" si="295"/>
        <v>50</v>
      </c>
      <c r="AI80" s="8">
        <f t="shared" si="295"/>
        <v>50</v>
      </c>
      <c r="AJ80" s="227">
        <v>55</v>
      </c>
      <c r="AK80" s="8">
        <f t="shared" si="295"/>
        <v>55</v>
      </c>
      <c r="AL80" s="8">
        <f t="shared" si="295"/>
        <v>55</v>
      </c>
      <c r="AM80" s="8">
        <f t="shared" si="295"/>
        <v>55</v>
      </c>
      <c r="AN80" s="8">
        <f t="shared" si="295"/>
        <v>55</v>
      </c>
      <c r="AO80" s="8">
        <f t="shared" si="295"/>
        <v>55</v>
      </c>
      <c r="AP80" s="227">
        <v>60</v>
      </c>
      <c r="AQ80" s="8">
        <f t="shared" si="295"/>
        <v>60</v>
      </c>
      <c r="AR80" s="8">
        <f t="shared" si="295"/>
        <v>60</v>
      </c>
      <c r="AS80" s="8">
        <f t="shared" si="295"/>
        <v>60</v>
      </c>
      <c r="AT80" s="8">
        <f t="shared" si="295"/>
        <v>60</v>
      </c>
      <c r="AU80" s="8">
        <f t="shared" si="295"/>
        <v>60</v>
      </c>
      <c r="AV80" s="8">
        <f t="shared" si="295"/>
        <v>60</v>
      </c>
      <c r="AW80" s="8">
        <f t="shared" si="295"/>
        <v>60</v>
      </c>
      <c r="AX80" s="227">
        <v>70</v>
      </c>
      <c r="AY80" s="8">
        <f t="shared" ref="AY80" si="296">AX80</f>
        <v>70</v>
      </c>
      <c r="AZ80" s="8">
        <f t="shared" ref="AZ80" si="297">AY80</f>
        <v>70</v>
      </c>
      <c r="BA80" s="8">
        <f t="shared" ref="BA80" si="298">AZ80</f>
        <v>70</v>
      </c>
      <c r="BB80" s="8">
        <f t="shared" ref="BB80" si="299">BA80</f>
        <v>70</v>
      </c>
      <c r="BC80" s="8">
        <f t="shared" ref="BC80" si="300">BB80</f>
        <v>70</v>
      </c>
      <c r="BD80" s="8">
        <f t="shared" ref="BD80" si="301">BC80</f>
        <v>70</v>
      </c>
      <c r="BE80" s="8">
        <f t="shared" ref="BE80" si="302">BD80</f>
        <v>70</v>
      </c>
      <c r="BF80" s="8">
        <f t="shared" ref="BF80" si="303">BE80</f>
        <v>70</v>
      </c>
      <c r="BG80" s="8">
        <f t="shared" ref="BG80" si="304">BF80</f>
        <v>70</v>
      </c>
      <c r="BH80" s="8">
        <f t="shared" ref="BH80" si="305">BG80</f>
        <v>70</v>
      </c>
      <c r="BI80" s="8">
        <f t="shared" ref="BI80" si="306">BH80</f>
        <v>70</v>
      </c>
      <c r="BJ80" s="8">
        <f t="shared" ref="BJ80" si="307">BI80</f>
        <v>70</v>
      </c>
      <c r="BK80" s="8">
        <f t="shared" ref="BK80" si="308">BJ80</f>
        <v>70</v>
      </c>
      <c r="BL80" s="8">
        <f t="shared" ref="BL80" si="309">BK80</f>
        <v>70</v>
      </c>
      <c r="BM80" s="8">
        <f t="shared" ref="BM80" si="310">BL80</f>
        <v>70</v>
      </c>
      <c r="BN80" s="8">
        <f t="shared" ref="BN80" si="311">BM80</f>
        <v>70</v>
      </c>
      <c r="BO80" s="8">
        <f t="shared" ref="BO80" si="312">BN80</f>
        <v>70</v>
      </c>
      <c r="BP80" s="8">
        <f t="shared" ref="BP80" si="313">BO80</f>
        <v>70</v>
      </c>
      <c r="BQ80" s="8">
        <f t="shared" ref="BQ80" si="314">BP80</f>
        <v>70</v>
      </c>
      <c r="BR80" s="8">
        <f t="shared" ref="BR80" si="315">BQ80</f>
        <v>70</v>
      </c>
      <c r="BS80" s="8">
        <f t="shared" ref="BS80" si="316">BR80</f>
        <v>70</v>
      </c>
      <c r="BT80" s="8">
        <f t="shared" ref="BT80" si="317">BS80</f>
        <v>70</v>
      </c>
      <c r="BU80" s="8">
        <f t="shared" ref="BU80" si="318">BT80</f>
        <v>70</v>
      </c>
      <c r="BV80" s="8">
        <f t="shared" ref="BV80" si="319">BU80</f>
        <v>70</v>
      </c>
      <c r="BW80" s="8">
        <f t="shared" ref="BW80" si="320">BV80</f>
        <v>70</v>
      </c>
      <c r="BX80" s="8">
        <f t="shared" ref="BX80" si="321">BW80</f>
        <v>70</v>
      </c>
      <c r="BY80" s="8">
        <f t="shared" ref="BY80" si="322">BX80</f>
        <v>70</v>
      </c>
      <c r="BZ80" s="8">
        <f t="shared" ref="BZ80" si="323">BY80</f>
        <v>70</v>
      </c>
      <c r="CA80" s="8">
        <f t="shared" ref="CA80" si="324">BZ80</f>
        <v>70</v>
      </c>
      <c r="CB80" s="8">
        <f t="shared" ref="CB80" si="325">CA80</f>
        <v>70</v>
      </c>
      <c r="CC80" s="8">
        <f t="shared" ref="CC80" si="326">CB80</f>
        <v>70</v>
      </c>
      <c r="CD80" s="8">
        <f t="shared" ref="CD80" si="327">CC80</f>
        <v>70</v>
      </c>
      <c r="CE80" s="8">
        <f t="shared" ref="CE80" si="328">CD80</f>
        <v>70</v>
      </c>
      <c r="CF80" s="8">
        <f t="shared" ref="CF80" si="329">CE80</f>
        <v>70</v>
      </c>
      <c r="CG80" s="8">
        <f t="shared" ref="CG80" si="330">CF80</f>
        <v>70</v>
      </c>
      <c r="CH80" s="8">
        <f t="shared" ref="CH80" si="331">CG80</f>
        <v>70</v>
      </c>
      <c r="CI80" s="8">
        <f t="shared" ref="CI80" si="332">CH80</f>
        <v>70</v>
      </c>
      <c r="CJ80" s="8">
        <f t="shared" ref="CJ80" si="333">CI80</f>
        <v>70</v>
      </c>
      <c r="CK80" s="8">
        <f t="shared" ref="CK80" si="334">CJ80</f>
        <v>70</v>
      </c>
      <c r="CM80" s="10">
        <f t="shared" ref="CM80:CQ83" si="335">SUMIF($L$2:$CK$2,CM$3,$L80:$CK80)</f>
        <v>0</v>
      </c>
      <c r="CN80" s="10">
        <f t="shared" si="335"/>
        <v>240</v>
      </c>
      <c r="CO80" s="10">
        <f t="shared" si="335"/>
        <v>620</v>
      </c>
      <c r="CP80" s="10">
        <f t="shared" si="335"/>
        <v>760</v>
      </c>
      <c r="CQ80" s="10">
        <f t="shared" si="335"/>
        <v>840</v>
      </c>
      <c r="CR80" s="10">
        <f t="shared" ref="CR80:CS83" si="336">SUMIF($L$2:$CK$2,CR$3,$L80:$CK80)</f>
        <v>840</v>
      </c>
      <c r="CS80" s="10">
        <f t="shared" si="336"/>
        <v>840</v>
      </c>
    </row>
    <row r="81" spans="2:97" outlineLevel="1" x14ac:dyDescent="0.2">
      <c r="B81" s="92" t="s">
        <v>17</v>
      </c>
      <c r="C81" s="91" t="s">
        <v>39</v>
      </c>
      <c r="D81" s="229">
        <v>9.2999999999999992E-3</v>
      </c>
      <c r="F81" s="10"/>
      <c r="G81" s="10"/>
      <c r="H81" s="10"/>
      <c r="I81" s="10"/>
      <c r="J81" s="10"/>
      <c r="K81" s="10"/>
      <c r="L81" s="10"/>
      <c r="M81" s="10"/>
      <c r="N81" s="10"/>
      <c r="O81" s="10"/>
      <c r="P81" s="22">
        <f t="shared" ref="P81:Q81" si="337">P$39*$D81</f>
        <v>0</v>
      </c>
      <c r="Q81" s="22">
        <f t="shared" si="337"/>
        <v>0</v>
      </c>
      <c r="R81" s="22"/>
      <c r="S81" s="22"/>
      <c r="T81" s="22"/>
      <c r="U81" s="22"/>
      <c r="V81" s="22"/>
      <c r="W81" s="22"/>
      <c r="X81" s="22">
        <f t="shared" ref="X81:CK81" si="338">X$39*$D81</f>
        <v>6.8707935929999993</v>
      </c>
      <c r="Y81" s="22">
        <f t="shared" si="338"/>
        <v>5.8125799799999998</v>
      </c>
      <c r="Z81" s="22">
        <f t="shared" si="338"/>
        <v>6.2644480080000005</v>
      </c>
      <c r="AA81" s="22">
        <f t="shared" si="338"/>
        <v>7.9019336039999999</v>
      </c>
      <c r="AB81" s="22">
        <f t="shared" si="338"/>
        <v>6.8768105070000001</v>
      </c>
      <c r="AC81" s="22">
        <f t="shared" si="338"/>
        <v>12.760212033</v>
      </c>
      <c r="AD81" s="22">
        <f t="shared" si="338"/>
        <v>4.5952880999999994</v>
      </c>
      <c r="AE81" s="22">
        <f t="shared" si="338"/>
        <v>5.4869162999999999</v>
      </c>
      <c r="AF81" s="22">
        <f t="shared" si="338"/>
        <v>6.4846574999999991</v>
      </c>
      <c r="AG81" s="22">
        <f t="shared" si="338"/>
        <v>6.5819273624999992</v>
      </c>
      <c r="AH81" s="22">
        <f t="shared" si="338"/>
        <v>6.6806562729374992</v>
      </c>
      <c r="AI81" s="22">
        <f t="shared" si="338"/>
        <v>6.7140595543021862</v>
      </c>
      <c r="AJ81" s="22">
        <f t="shared" si="338"/>
        <v>6.7476298520736968</v>
      </c>
      <c r="AK81" s="22">
        <f t="shared" si="338"/>
        <v>6.781368001334064</v>
      </c>
      <c r="AL81" s="22">
        <f t="shared" si="338"/>
        <v>6.8152748413407345</v>
      </c>
      <c r="AM81" s="22">
        <f t="shared" si="338"/>
        <v>6.9175039639608444</v>
      </c>
      <c r="AN81" s="22">
        <f t="shared" si="338"/>
        <v>7.0212665234202571</v>
      </c>
      <c r="AO81" s="22">
        <f t="shared" si="338"/>
        <v>7.1265855212715605</v>
      </c>
      <c r="AP81" s="22">
        <f t="shared" si="338"/>
        <v>7.1978513764842766</v>
      </c>
      <c r="AQ81" s="22">
        <f t="shared" si="338"/>
        <v>7.2698298902491185</v>
      </c>
      <c r="AR81" s="22">
        <f t="shared" si="338"/>
        <v>7.3788773386028552</v>
      </c>
      <c r="AS81" s="22">
        <f t="shared" si="338"/>
        <v>7.4895604986818975</v>
      </c>
      <c r="AT81" s="22">
        <f t="shared" si="338"/>
        <v>7.601903906162125</v>
      </c>
      <c r="AU81" s="22">
        <f t="shared" si="338"/>
        <v>7.677922945223747</v>
      </c>
      <c r="AV81" s="22">
        <f t="shared" si="338"/>
        <v>7.7547021746759839</v>
      </c>
      <c r="AW81" s="22">
        <f t="shared" si="338"/>
        <v>7.8322491964227439</v>
      </c>
      <c r="AX81" s="22">
        <f t="shared" si="338"/>
        <v>7.9105716883869706</v>
      </c>
      <c r="AY81" s="22">
        <f t="shared" si="338"/>
        <v>8.0292302637127744</v>
      </c>
      <c r="AZ81" s="22">
        <f t="shared" si="338"/>
        <v>8.1496687176684652</v>
      </c>
      <c r="BA81" s="22">
        <f t="shared" si="338"/>
        <v>8.2719137484334908</v>
      </c>
      <c r="BB81" s="22">
        <f t="shared" si="338"/>
        <v>8.3132733171756588</v>
      </c>
      <c r="BC81" s="22">
        <f t="shared" si="338"/>
        <v>8.3548396837615364</v>
      </c>
      <c r="BD81" s="22">
        <f t="shared" si="338"/>
        <v>8.4801622790179572</v>
      </c>
      <c r="BE81" s="22">
        <f t="shared" si="338"/>
        <v>8.6073647132032267</v>
      </c>
      <c r="BF81" s="22">
        <f t="shared" si="338"/>
        <v>8.7364751839012751</v>
      </c>
      <c r="BG81" s="22">
        <f t="shared" si="338"/>
        <v>8.7801575598207791</v>
      </c>
      <c r="BH81" s="22">
        <f t="shared" si="338"/>
        <v>8.8240583476198822</v>
      </c>
      <c r="BI81" s="22">
        <f t="shared" si="338"/>
        <v>8.868178639357982</v>
      </c>
      <c r="BJ81" s="22">
        <f t="shared" si="338"/>
        <v>8.9125195325547697</v>
      </c>
      <c r="BK81" s="22">
        <f t="shared" si="338"/>
        <v>9.0462073255430919</v>
      </c>
      <c r="BL81" s="22">
        <f t="shared" si="338"/>
        <v>9.1819004354262361</v>
      </c>
      <c r="BM81" s="22">
        <f t="shared" si="338"/>
        <v>9.3196289419576281</v>
      </c>
      <c r="BN81" s="22">
        <f t="shared" si="338"/>
        <v>9.3662270866674167</v>
      </c>
      <c r="BO81" s="22">
        <f t="shared" si="338"/>
        <v>9.4130582221007515</v>
      </c>
      <c r="BP81" s="22">
        <f t="shared" si="338"/>
        <v>9.5542540954322632</v>
      </c>
      <c r="BQ81" s="22">
        <f t="shared" si="338"/>
        <v>9.6975679068637444</v>
      </c>
      <c r="BR81" s="22">
        <f t="shared" si="338"/>
        <v>9.8430314254667</v>
      </c>
      <c r="BS81" s="22">
        <f t="shared" si="338"/>
        <v>9.8922465825940318</v>
      </c>
      <c r="BT81" s="22">
        <f t="shared" si="338"/>
        <v>9.9417078155070016</v>
      </c>
      <c r="BU81" s="22">
        <f t="shared" si="338"/>
        <v>9.9914163545845351</v>
      </c>
      <c r="BV81" s="22">
        <f t="shared" si="338"/>
        <v>10.041373436357459</v>
      </c>
      <c r="BW81" s="22">
        <f t="shared" si="338"/>
        <v>10.19199403790282</v>
      </c>
      <c r="BX81" s="22">
        <f t="shared" si="338"/>
        <v>10.344873948471358</v>
      </c>
      <c r="BY81" s="22">
        <f t="shared" si="338"/>
        <v>10.500047057698426</v>
      </c>
      <c r="BZ81" s="22">
        <f t="shared" si="338"/>
        <v>10.657547763563903</v>
      </c>
      <c r="CA81" s="22">
        <f t="shared" si="338"/>
        <v>10.817410980017362</v>
      </c>
      <c r="CB81" s="22">
        <f t="shared" si="338"/>
        <v>10.97967214471762</v>
      </c>
      <c r="CC81" s="22">
        <f t="shared" si="338"/>
        <v>11.144367226888384</v>
      </c>
      <c r="CD81" s="22">
        <f t="shared" si="338"/>
        <v>11.311532735291708</v>
      </c>
      <c r="CE81" s="22">
        <f t="shared" si="338"/>
        <v>11.481205726321084</v>
      </c>
      <c r="CF81" s="22">
        <f t="shared" si="338"/>
        <v>11.653423812215898</v>
      </c>
      <c r="CG81" s="22">
        <f t="shared" si="338"/>
        <v>11.828225169399136</v>
      </c>
      <c r="CH81" s="22">
        <f t="shared" si="338"/>
        <v>12.005648546940121</v>
      </c>
      <c r="CI81" s="22">
        <f t="shared" si="338"/>
        <v>12.185733275144223</v>
      </c>
      <c r="CJ81" s="22">
        <f t="shared" si="338"/>
        <v>12.368519274271383</v>
      </c>
      <c r="CK81" s="22">
        <f t="shared" si="338"/>
        <v>12.554047063385452</v>
      </c>
      <c r="CM81" s="10">
        <f t="shared" si="335"/>
        <v>0</v>
      </c>
      <c r="CN81" s="10">
        <f t="shared" si="335"/>
        <v>46.486777725000003</v>
      </c>
      <c r="CO81" s="10">
        <f t="shared" si="335"/>
        <v>77.95313379314085</v>
      </c>
      <c r="CP81" s="10">
        <f t="shared" si="335"/>
        <v>92.564281744704445</v>
      </c>
      <c r="CQ81" s="10">
        <f t="shared" si="335"/>
        <v>105.42476595934002</v>
      </c>
      <c r="CR81" s="10">
        <f t="shared" si="336"/>
        <v>118.7777979696465</v>
      </c>
      <c r="CS81" s="10">
        <f t="shared" si="336"/>
        <v>138.98733371815626</v>
      </c>
    </row>
    <row r="82" spans="2:97" outlineLevel="1" x14ac:dyDescent="0.2">
      <c r="B82" s="92" t="s">
        <v>45</v>
      </c>
      <c r="C82" s="91" t="s">
        <v>39</v>
      </c>
      <c r="D82" s="229">
        <v>4.4999999999999998E-2</v>
      </c>
      <c r="F82" s="22">
        <f t="shared" ref="F82:K82" si="339">F$39*$D82</f>
        <v>0</v>
      </c>
      <c r="G82" s="22">
        <f t="shared" si="339"/>
        <v>0</v>
      </c>
      <c r="H82" s="22">
        <f t="shared" si="339"/>
        <v>0</v>
      </c>
      <c r="I82" s="22">
        <f t="shared" si="339"/>
        <v>0</v>
      </c>
      <c r="J82" s="22">
        <f t="shared" si="339"/>
        <v>0</v>
      </c>
      <c r="K82" s="22">
        <f t="shared" si="339"/>
        <v>0</v>
      </c>
      <c r="L82" s="22">
        <f>L$39*$D82</f>
        <v>0</v>
      </c>
      <c r="M82" s="22">
        <f t="shared" ref="M82:CK82" si="340">M$39*$D82</f>
        <v>0</v>
      </c>
      <c r="N82" s="22">
        <f t="shared" si="340"/>
        <v>0</v>
      </c>
      <c r="O82" s="22">
        <f t="shared" si="340"/>
        <v>0</v>
      </c>
      <c r="P82" s="22">
        <f t="shared" si="340"/>
        <v>0</v>
      </c>
      <c r="Q82" s="22">
        <f t="shared" si="340"/>
        <v>0</v>
      </c>
      <c r="R82" s="22"/>
      <c r="S82" s="22"/>
      <c r="T82" s="22"/>
      <c r="U82" s="22"/>
      <c r="V82" s="22"/>
      <c r="W82" s="22"/>
      <c r="X82" s="22">
        <f t="shared" si="340"/>
        <v>33.245775449999996</v>
      </c>
      <c r="Y82" s="22">
        <f t="shared" si="340"/>
        <v>28.125387</v>
      </c>
      <c r="Z82" s="22">
        <f t="shared" si="340"/>
        <v>30.3118452</v>
      </c>
      <c r="AA82" s="22">
        <f t="shared" si="340"/>
        <v>38.235162600000002</v>
      </c>
      <c r="AB82" s="22">
        <f t="shared" si="340"/>
        <v>33.274889549999997</v>
      </c>
      <c r="AC82" s="22">
        <f t="shared" si="340"/>
        <v>61.742961450000003</v>
      </c>
      <c r="AD82" s="22">
        <f t="shared" si="340"/>
        <v>22.235264999999998</v>
      </c>
      <c r="AE82" s="22">
        <f t="shared" si="340"/>
        <v>26.549595</v>
      </c>
      <c r="AF82" s="22">
        <f t="shared" si="340"/>
        <v>31.377374999999997</v>
      </c>
      <c r="AG82" s="22">
        <f t="shared" si="340"/>
        <v>31.848035624999998</v>
      </c>
      <c r="AH82" s="22">
        <f t="shared" si="340"/>
        <v>32.325756159374997</v>
      </c>
      <c r="AI82" s="22">
        <f t="shared" si="340"/>
        <v>32.487384940171872</v>
      </c>
      <c r="AJ82" s="22">
        <f t="shared" si="340"/>
        <v>32.649821864872727</v>
      </c>
      <c r="AK82" s="22">
        <f t="shared" si="340"/>
        <v>32.813070974197089</v>
      </c>
      <c r="AL82" s="22">
        <f t="shared" si="340"/>
        <v>32.977136329068074</v>
      </c>
      <c r="AM82" s="22">
        <f t="shared" si="340"/>
        <v>33.471793374004086</v>
      </c>
      <c r="AN82" s="22">
        <f t="shared" si="340"/>
        <v>33.97387027461415</v>
      </c>
      <c r="AO82" s="22">
        <f t="shared" si="340"/>
        <v>34.483478328733362</v>
      </c>
      <c r="AP82" s="22">
        <f t="shared" si="340"/>
        <v>34.828313112020695</v>
      </c>
      <c r="AQ82" s="22">
        <f t="shared" si="340"/>
        <v>35.176596243140899</v>
      </c>
      <c r="AR82" s="22">
        <f t="shared" si="340"/>
        <v>35.704245186788015</v>
      </c>
      <c r="AS82" s="22">
        <f t="shared" si="340"/>
        <v>36.239808864589826</v>
      </c>
      <c r="AT82" s="22">
        <f t="shared" si="340"/>
        <v>36.783405997558674</v>
      </c>
      <c r="AU82" s="22">
        <f t="shared" si="340"/>
        <v>37.15124005753426</v>
      </c>
      <c r="AV82" s="22">
        <f t="shared" si="340"/>
        <v>37.522752458109601</v>
      </c>
      <c r="AW82" s="22">
        <f t="shared" si="340"/>
        <v>37.8979799826907</v>
      </c>
      <c r="AX82" s="22">
        <f t="shared" si="340"/>
        <v>38.276959782517601</v>
      </c>
      <c r="AY82" s="22">
        <f t="shared" si="340"/>
        <v>38.851114179255362</v>
      </c>
      <c r="AZ82" s="22">
        <f t="shared" si="340"/>
        <v>39.433880891944192</v>
      </c>
      <c r="BA82" s="22">
        <f t="shared" si="340"/>
        <v>40.025389105323349</v>
      </c>
      <c r="BB82" s="22">
        <f t="shared" si="340"/>
        <v>40.225516050849961</v>
      </c>
      <c r="BC82" s="22">
        <f t="shared" si="340"/>
        <v>40.426643631104206</v>
      </c>
      <c r="BD82" s="22">
        <f t="shared" si="340"/>
        <v>41.033043285570763</v>
      </c>
      <c r="BE82" s="22">
        <f t="shared" si="340"/>
        <v>41.648538934854322</v>
      </c>
      <c r="BF82" s="22">
        <f t="shared" si="340"/>
        <v>42.273267018877135</v>
      </c>
      <c r="BG82" s="22">
        <f t="shared" si="340"/>
        <v>42.484633353971518</v>
      </c>
      <c r="BH82" s="22">
        <f t="shared" si="340"/>
        <v>42.69705652074137</v>
      </c>
      <c r="BI82" s="22">
        <f t="shared" si="340"/>
        <v>42.910541803345076</v>
      </c>
      <c r="BJ82" s="22">
        <f t="shared" si="340"/>
        <v>43.125094512361798</v>
      </c>
      <c r="BK82" s="22">
        <f t="shared" si="340"/>
        <v>43.771970930047218</v>
      </c>
      <c r="BL82" s="22">
        <f t="shared" si="340"/>
        <v>44.428550493997918</v>
      </c>
      <c r="BM82" s="22">
        <f t="shared" si="340"/>
        <v>45.094978751407886</v>
      </c>
      <c r="BN82" s="22">
        <f t="shared" si="340"/>
        <v>45.320453645164918</v>
      </c>
      <c r="BO82" s="22">
        <f t="shared" si="340"/>
        <v>45.547055913390736</v>
      </c>
      <c r="BP82" s="22">
        <f t="shared" si="340"/>
        <v>46.2302617520916</v>
      </c>
      <c r="BQ82" s="22">
        <f t="shared" si="340"/>
        <v>46.923715678372957</v>
      </c>
      <c r="BR82" s="22">
        <f t="shared" si="340"/>
        <v>47.627571413548552</v>
      </c>
      <c r="BS82" s="22">
        <f t="shared" si="340"/>
        <v>47.865709270616286</v>
      </c>
      <c r="BT82" s="22">
        <f t="shared" si="340"/>
        <v>48.105037816969372</v>
      </c>
      <c r="BU82" s="22">
        <f t="shared" si="340"/>
        <v>48.345563006054206</v>
      </c>
      <c r="BV82" s="22">
        <f t="shared" si="340"/>
        <v>48.587290821084473</v>
      </c>
      <c r="BW82" s="22">
        <f t="shared" si="340"/>
        <v>49.316100183400742</v>
      </c>
      <c r="BX82" s="22">
        <f t="shared" si="340"/>
        <v>50.05584168615173</v>
      </c>
      <c r="BY82" s="22">
        <f t="shared" si="340"/>
        <v>50.806679311444</v>
      </c>
      <c r="BZ82" s="22">
        <f t="shared" si="340"/>
        <v>51.568779501115664</v>
      </c>
      <c r="CA82" s="22">
        <f t="shared" si="340"/>
        <v>52.342311193632398</v>
      </c>
      <c r="CB82" s="22">
        <f t="shared" si="340"/>
        <v>53.127445861536877</v>
      </c>
      <c r="CC82" s="22">
        <f t="shared" si="340"/>
        <v>53.924357549459927</v>
      </c>
      <c r="CD82" s="22">
        <f t="shared" si="340"/>
        <v>54.733222912701819</v>
      </c>
      <c r="CE82" s="22">
        <f t="shared" si="340"/>
        <v>55.554221256392346</v>
      </c>
      <c r="CF82" s="22">
        <f t="shared" si="340"/>
        <v>56.38753457523822</v>
      </c>
      <c r="CG82" s="22">
        <f t="shared" si="340"/>
        <v>57.233347593866789</v>
      </c>
      <c r="CH82" s="22">
        <f t="shared" si="340"/>
        <v>58.091847807774784</v>
      </c>
      <c r="CI82" s="22">
        <f t="shared" si="340"/>
        <v>58.963225524891399</v>
      </c>
      <c r="CJ82" s="22">
        <f t="shared" si="340"/>
        <v>59.847673907764765</v>
      </c>
      <c r="CK82" s="22">
        <f t="shared" si="340"/>
        <v>60.745389016381225</v>
      </c>
      <c r="CM82" s="10">
        <f t="shared" si="335"/>
        <v>0</v>
      </c>
      <c r="CN82" s="10">
        <f t="shared" si="335"/>
        <v>224.93602125000001</v>
      </c>
      <c r="CO82" s="10">
        <f t="shared" si="335"/>
        <v>377.1925828700364</v>
      </c>
      <c r="CP82" s="10">
        <f t="shared" si="335"/>
        <v>447.89168586147321</v>
      </c>
      <c r="CQ82" s="10">
        <f t="shared" si="335"/>
        <v>510.11983528712915</v>
      </c>
      <c r="CR82" s="10">
        <f t="shared" si="336"/>
        <v>574.73128049828949</v>
      </c>
      <c r="CS82" s="10">
        <f t="shared" si="336"/>
        <v>672.51935670075602</v>
      </c>
    </row>
    <row r="83" spans="2:97" x14ac:dyDescent="0.2">
      <c r="B83" s="20" t="s">
        <v>6</v>
      </c>
      <c r="C83" s="23" t="s">
        <v>4</v>
      </c>
      <c r="D83" s="23"/>
      <c r="F83" s="24">
        <f t="shared" ref="F83:K83" si="341">SUM(F80:F82)</f>
        <v>0</v>
      </c>
      <c r="G83" s="24">
        <f t="shared" si="341"/>
        <v>0</v>
      </c>
      <c r="H83" s="24">
        <f t="shared" si="341"/>
        <v>0</v>
      </c>
      <c r="I83" s="24">
        <f t="shared" si="341"/>
        <v>0</v>
      </c>
      <c r="J83" s="24">
        <f t="shared" si="341"/>
        <v>0</v>
      </c>
      <c r="K83" s="24">
        <f t="shared" si="341"/>
        <v>0</v>
      </c>
      <c r="L83" s="24">
        <f>SUM(L80:L82)</f>
        <v>0</v>
      </c>
      <c r="M83" s="24">
        <f t="shared" ref="M83:BU83" si="342">SUM(M80:M82)</f>
        <v>0</v>
      </c>
      <c r="N83" s="24">
        <f t="shared" si="342"/>
        <v>0</v>
      </c>
      <c r="O83" s="24">
        <f t="shared" si="342"/>
        <v>0</v>
      </c>
      <c r="P83" s="24">
        <f t="shared" si="342"/>
        <v>0</v>
      </c>
      <c r="Q83" s="24">
        <f t="shared" si="342"/>
        <v>0</v>
      </c>
      <c r="R83" s="24">
        <v>6</v>
      </c>
      <c r="S83" s="24">
        <v>10</v>
      </c>
      <c r="T83" s="24">
        <v>4</v>
      </c>
      <c r="U83" s="24">
        <v>71</v>
      </c>
      <c r="V83" s="24">
        <v>55</v>
      </c>
      <c r="W83" s="24">
        <v>57</v>
      </c>
      <c r="X83" s="24">
        <f t="shared" si="342"/>
        <v>80.116569042999998</v>
      </c>
      <c r="Y83" s="24">
        <f t="shared" si="342"/>
        <v>73.937966979999999</v>
      </c>
      <c r="Z83" s="24">
        <f t="shared" si="342"/>
        <v>76.57629320800001</v>
      </c>
      <c r="AA83" s="24">
        <f t="shared" si="342"/>
        <v>86.137096204000002</v>
      </c>
      <c r="AB83" s="24">
        <f t="shared" si="342"/>
        <v>80.151700056999999</v>
      </c>
      <c r="AC83" s="24">
        <f t="shared" si="342"/>
        <v>114.50317348300001</v>
      </c>
      <c r="AD83" s="24">
        <f t="shared" si="342"/>
        <v>66.830553100000003</v>
      </c>
      <c r="AE83" s="24">
        <f t="shared" si="342"/>
        <v>82.036511300000001</v>
      </c>
      <c r="AF83" s="24">
        <f t="shared" si="342"/>
        <v>87.862032499999998</v>
      </c>
      <c r="AG83" s="24">
        <f t="shared" si="342"/>
        <v>88.429962987499991</v>
      </c>
      <c r="AH83" s="24">
        <f t="shared" si="342"/>
        <v>89.006412432312487</v>
      </c>
      <c r="AI83" s="24">
        <f t="shared" si="342"/>
        <v>89.20144449447406</v>
      </c>
      <c r="AJ83" s="24">
        <f t="shared" si="342"/>
        <v>94.397451716946421</v>
      </c>
      <c r="AK83" s="24">
        <f t="shared" si="342"/>
        <v>94.594438975531148</v>
      </c>
      <c r="AL83" s="24">
        <f t="shared" si="342"/>
        <v>94.792411170408812</v>
      </c>
      <c r="AM83" s="24">
        <f t="shared" si="342"/>
        <v>95.389297337964933</v>
      </c>
      <c r="AN83" s="24">
        <f t="shared" si="342"/>
        <v>95.995136798034409</v>
      </c>
      <c r="AO83" s="24">
        <f t="shared" si="342"/>
        <v>96.61006385000492</v>
      </c>
      <c r="AP83" s="24">
        <f t="shared" si="342"/>
        <v>102.02616448850497</v>
      </c>
      <c r="AQ83" s="24">
        <f t="shared" si="342"/>
        <v>102.44642613339002</v>
      </c>
      <c r="AR83" s="24">
        <f t="shared" si="342"/>
        <v>103.08312252539086</v>
      </c>
      <c r="AS83" s="24">
        <f t="shared" si="342"/>
        <v>103.72936936327173</v>
      </c>
      <c r="AT83" s="24">
        <f t="shared" si="342"/>
        <v>104.3853099037208</v>
      </c>
      <c r="AU83" s="24">
        <f t="shared" si="342"/>
        <v>104.82916300275801</v>
      </c>
      <c r="AV83" s="24">
        <f t="shared" si="342"/>
        <v>105.27745463278558</v>
      </c>
      <c r="AW83" s="24">
        <f t="shared" si="342"/>
        <v>105.73022917911344</v>
      </c>
      <c r="AX83" s="24">
        <f t="shared" si="342"/>
        <v>116.18753147090456</v>
      </c>
      <c r="AY83" s="24">
        <f t="shared" si="342"/>
        <v>116.88034444296814</v>
      </c>
      <c r="AZ83" s="24">
        <f t="shared" si="342"/>
        <v>117.58354960961265</v>
      </c>
      <c r="BA83" s="24">
        <f t="shared" si="342"/>
        <v>118.29730285375683</v>
      </c>
      <c r="BB83" s="24">
        <f t="shared" si="342"/>
        <v>118.53878936802562</v>
      </c>
      <c r="BC83" s="24">
        <f t="shared" si="342"/>
        <v>118.78148331486574</v>
      </c>
      <c r="BD83" s="24">
        <f t="shared" si="342"/>
        <v>119.51320556458873</v>
      </c>
      <c r="BE83" s="24">
        <f t="shared" si="342"/>
        <v>120.25590364805754</v>
      </c>
      <c r="BF83" s="24">
        <f t="shared" si="342"/>
        <v>121.00974220277841</v>
      </c>
      <c r="BG83" s="24">
        <f t="shared" si="342"/>
        <v>121.2647909137923</v>
      </c>
      <c r="BH83" s="24">
        <f t="shared" si="342"/>
        <v>121.52111486836125</v>
      </c>
      <c r="BI83" s="24">
        <f t="shared" si="342"/>
        <v>121.77872044270305</v>
      </c>
      <c r="BJ83" s="24">
        <f t="shared" si="342"/>
        <v>122.03761404491657</v>
      </c>
      <c r="BK83" s="24">
        <f t="shared" si="342"/>
        <v>122.81817825559031</v>
      </c>
      <c r="BL83" s="24">
        <f t="shared" si="342"/>
        <v>123.61045092942415</v>
      </c>
      <c r="BM83" s="24">
        <f t="shared" si="342"/>
        <v>124.41460769336553</v>
      </c>
      <c r="BN83" s="24">
        <f t="shared" si="342"/>
        <v>124.68668073183234</v>
      </c>
      <c r="BO83" s="24">
        <f t="shared" si="342"/>
        <v>124.96011413549148</v>
      </c>
      <c r="BP83" s="24">
        <f t="shared" si="342"/>
        <v>125.78451584752386</v>
      </c>
      <c r="BQ83" s="24">
        <f t="shared" si="342"/>
        <v>126.6212835852367</v>
      </c>
      <c r="BR83" s="24">
        <f t="shared" si="342"/>
        <v>127.47060283901526</v>
      </c>
      <c r="BS83" s="24">
        <f t="shared" si="342"/>
        <v>127.75795585321032</v>
      </c>
      <c r="BT83" s="24">
        <f t="shared" si="342"/>
        <v>128.04674563247636</v>
      </c>
      <c r="BU83" s="24">
        <f t="shared" si="342"/>
        <v>128.33697936063874</v>
      </c>
      <c r="BV83" s="24">
        <f t="shared" ref="BV83:BX83" si="343">SUM(BV80:BV82)</f>
        <v>128.62866425744193</v>
      </c>
      <c r="BW83" s="24">
        <f t="shared" si="343"/>
        <v>129.50809422130357</v>
      </c>
      <c r="BX83" s="24">
        <f t="shared" si="343"/>
        <v>130.40071563462308</v>
      </c>
      <c r="BY83" s="24">
        <f t="shared" ref="BY83:CK83" si="344">SUM(BY80:BY82)</f>
        <v>131.30672636914244</v>
      </c>
      <c r="BZ83" s="24">
        <f t="shared" si="344"/>
        <v>132.22632726467955</v>
      </c>
      <c r="CA83" s="24">
        <f t="shared" si="344"/>
        <v>133.15972217364975</v>
      </c>
      <c r="CB83" s="24">
        <f t="shared" si="344"/>
        <v>134.1071180062545</v>
      </c>
      <c r="CC83" s="24">
        <f t="shared" si="344"/>
        <v>135.06872477634832</v>
      </c>
      <c r="CD83" s="24">
        <f t="shared" si="344"/>
        <v>136.04475564799353</v>
      </c>
      <c r="CE83" s="24">
        <f t="shared" si="344"/>
        <v>137.03542698271343</v>
      </c>
      <c r="CF83" s="24">
        <f t="shared" si="344"/>
        <v>138.04095838745411</v>
      </c>
      <c r="CG83" s="24">
        <f t="shared" si="344"/>
        <v>139.06157276326593</v>
      </c>
      <c r="CH83" s="24">
        <f t="shared" si="344"/>
        <v>140.09749635471491</v>
      </c>
      <c r="CI83" s="24">
        <f t="shared" si="344"/>
        <v>141.14895880003564</v>
      </c>
      <c r="CJ83" s="24">
        <f t="shared" si="344"/>
        <v>142.21619318203614</v>
      </c>
      <c r="CK83" s="24">
        <f t="shared" si="344"/>
        <v>143.29943607976668</v>
      </c>
      <c r="CM83" s="24">
        <f t="shared" si="335"/>
        <v>0</v>
      </c>
      <c r="CN83" s="24">
        <f t="shared" si="335"/>
        <v>714.42279897499998</v>
      </c>
      <c r="CO83" s="24">
        <f t="shared" si="335"/>
        <v>1075.1457166631772</v>
      </c>
      <c r="CP83" s="24">
        <f t="shared" si="335"/>
        <v>1300.4559676061776</v>
      </c>
      <c r="CQ83" s="24">
        <f t="shared" si="335"/>
        <v>1455.5446012464693</v>
      </c>
      <c r="CR83" s="24">
        <f t="shared" si="336"/>
        <v>1533.509078467936</v>
      </c>
      <c r="CS83" s="24">
        <f t="shared" si="336"/>
        <v>1651.5066904189125</v>
      </c>
    </row>
    <row r="86" spans="2:97" x14ac:dyDescent="0.2">
      <c r="B86" s="12" t="s">
        <v>67</v>
      </c>
    </row>
    <row r="87" spans="2:97" x14ac:dyDescent="0.2">
      <c r="B87" s="200" t="s">
        <v>1</v>
      </c>
      <c r="C87" s="200" t="s">
        <v>2</v>
      </c>
      <c r="D87" s="102" t="s">
        <v>38</v>
      </c>
      <c r="F87" s="201">
        <f t="shared" ref="F87:K87" si="345">F79</f>
        <v>45292</v>
      </c>
      <c r="G87" s="201">
        <f t="shared" si="345"/>
        <v>45323</v>
      </c>
      <c r="H87" s="201">
        <f t="shared" si="345"/>
        <v>45352</v>
      </c>
      <c r="I87" s="201">
        <f t="shared" si="345"/>
        <v>45383</v>
      </c>
      <c r="J87" s="201">
        <f t="shared" si="345"/>
        <v>45413</v>
      </c>
      <c r="K87" s="201">
        <f t="shared" si="345"/>
        <v>45444</v>
      </c>
      <c r="L87" s="201">
        <f>L79</f>
        <v>45474</v>
      </c>
      <c r="M87" s="201">
        <f t="shared" ref="M87:BU87" si="346">M79</f>
        <v>45505</v>
      </c>
      <c r="N87" s="201">
        <f t="shared" si="346"/>
        <v>45536</v>
      </c>
      <c r="O87" s="201">
        <f t="shared" si="346"/>
        <v>45566</v>
      </c>
      <c r="P87" s="201">
        <f t="shared" si="346"/>
        <v>45597</v>
      </c>
      <c r="Q87" s="201">
        <f t="shared" si="346"/>
        <v>45627</v>
      </c>
      <c r="R87" s="201">
        <f t="shared" si="346"/>
        <v>45658</v>
      </c>
      <c r="S87" s="201">
        <f t="shared" si="346"/>
        <v>45689</v>
      </c>
      <c r="T87" s="201">
        <f t="shared" si="346"/>
        <v>45717</v>
      </c>
      <c r="U87" s="201">
        <f t="shared" si="346"/>
        <v>45748</v>
      </c>
      <c r="V87" s="201">
        <f t="shared" si="346"/>
        <v>45778</v>
      </c>
      <c r="W87" s="201">
        <f t="shared" si="346"/>
        <v>45809</v>
      </c>
      <c r="X87" s="201">
        <f t="shared" si="346"/>
        <v>45839</v>
      </c>
      <c r="Y87" s="201">
        <f t="shared" si="346"/>
        <v>45870</v>
      </c>
      <c r="Z87" s="201">
        <f t="shared" si="346"/>
        <v>45901</v>
      </c>
      <c r="AA87" s="201">
        <f t="shared" si="346"/>
        <v>45931</v>
      </c>
      <c r="AB87" s="201">
        <f t="shared" si="346"/>
        <v>45962</v>
      </c>
      <c r="AC87" s="201">
        <f t="shared" si="346"/>
        <v>45992</v>
      </c>
      <c r="AD87" s="201">
        <f t="shared" si="346"/>
        <v>46023</v>
      </c>
      <c r="AE87" s="201">
        <f t="shared" si="346"/>
        <v>46054</v>
      </c>
      <c r="AF87" s="201">
        <f t="shared" si="346"/>
        <v>46082</v>
      </c>
      <c r="AG87" s="201">
        <f t="shared" si="346"/>
        <v>46113</v>
      </c>
      <c r="AH87" s="201">
        <f t="shared" si="346"/>
        <v>46143</v>
      </c>
      <c r="AI87" s="201">
        <f t="shared" si="346"/>
        <v>46174</v>
      </c>
      <c r="AJ87" s="201">
        <f t="shared" si="346"/>
        <v>46204</v>
      </c>
      <c r="AK87" s="201">
        <f t="shared" si="346"/>
        <v>46235</v>
      </c>
      <c r="AL87" s="201">
        <f t="shared" si="346"/>
        <v>46266</v>
      </c>
      <c r="AM87" s="201">
        <f t="shared" si="346"/>
        <v>46296</v>
      </c>
      <c r="AN87" s="201">
        <f t="shared" si="346"/>
        <v>46327</v>
      </c>
      <c r="AO87" s="201">
        <f t="shared" si="346"/>
        <v>46357</v>
      </c>
      <c r="AP87" s="201">
        <f t="shared" si="346"/>
        <v>46388</v>
      </c>
      <c r="AQ87" s="201">
        <f t="shared" si="346"/>
        <v>46419</v>
      </c>
      <c r="AR87" s="201">
        <f t="shared" si="346"/>
        <v>46447</v>
      </c>
      <c r="AS87" s="201">
        <f t="shared" si="346"/>
        <v>46478</v>
      </c>
      <c r="AT87" s="201">
        <f t="shared" si="346"/>
        <v>46508</v>
      </c>
      <c r="AU87" s="201">
        <f t="shared" si="346"/>
        <v>46539</v>
      </c>
      <c r="AV87" s="201">
        <f t="shared" si="346"/>
        <v>46569</v>
      </c>
      <c r="AW87" s="201">
        <f t="shared" si="346"/>
        <v>46600</v>
      </c>
      <c r="AX87" s="201">
        <f t="shared" si="346"/>
        <v>46631</v>
      </c>
      <c r="AY87" s="201">
        <f t="shared" si="346"/>
        <v>46661</v>
      </c>
      <c r="AZ87" s="201">
        <f t="shared" si="346"/>
        <v>46692</v>
      </c>
      <c r="BA87" s="201">
        <f t="shared" si="346"/>
        <v>46722</v>
      </c>
      <c r="BB87" s="201">
        <f t="shared" si="346"/>
        <v>46753</v>
      </c>
      <c r="BC87" s="201">
        <f t="shared" si="346"/>
        <v>46784</v>
      </c>
      <c r="BD87" s="201">
        <f t="shared" si="346"/>
        <v>46813</v>
      </c>
      <c r="BE87" s="201">
        <f t="shared" si="346"/>
        <v>46844</v>
      </c>
      <c r="BF87" s="201">
        <f t="shared" si="346"/>
        <v>46874</v>
      </c>
      <c r="BG87" s="201">
        <f t="shared" si="346"/>
        <v>46905</v>
      </c>
      <c r="BH87" s="201">
        <f t="shared" si="346"/>
        <v>46935</v>
      </c>
      <c r="BI87" s="201">
        <f t="shared" si="346"/>
        <v>46966</v>
      </c>
      <c r="BJ87" s="201">
        <f t="shared" si="346"/>
        <v>46997</v>
      </c>
      <c r="BK87" s="201">
        <f t="shared" si="346"/>
        <v>47027</v>
      </c>
      <c r="BL87" s="201">
        <f t="shared" si="346"/>
        <v>47058</v>
      </c>
      <c r="BM87" s="201">
        <f t="shared" si="346"/>
        <v>47088</v>
      </c>
      <c r="BN87" s="201">
        <f t="shared" si="346"/>
        <v>47119</v>
      </c>
      <c r="BO87" s="201">
        <f t="shared" si="346"/>
        <v>47150</v>
      </c>
      <c r="BP87" s="201">
        <f t="shared" si="346"/>
        <v>47178</v>
      </c>
      <c r="BQ87" s="201">
        <f t="shared" si="346"/>
        <v>47209</v>
      </c>
      <c r="BR87" s="201">
        <f t="shared" si="346"/>
        <v>47239</v>
      </c>
      <c r="BS87" s="201">
        <f t="shared" si="346"/>
        <v>47270</v>
      </c>
      <c r="BT87" s="201">
        <f t="shared" si="346"/>
        <v>47300</v>
      </c>
      <c r="BU87" s="201">
        <f t="shared" si="346"/>
        <v>47331</v>
      </c>
      <c r="BV87" s="201">
        <f t="shared" ref="BV87:BX87" si="347">BV79</f>
        <v>47362</v>
      </c>
      <c r="BW87" s="201">
        <f t="shared" si="347"/>
        <v>47392</v>
      </c>
      <c r="BX87" s="201">
        <f t="shared" si="347"/>
        <v>47423</v>
      </c>
      <c r="BY87" s="201">
        <f t="shared" ref="BY87:CK87" si="348">BY79</f>
        <v>47453</v>
      </c>
      <c r="BZ87" s="201">
        <f t="shared" si="348"/>
        <v>47484</v>
      </c>
      <c r="CA87" s="201">
        <f t="shared" si="348"/>
        <v>47515</v>
      </c>
      <c r="CB87" s="201">
        <f t="shared" si="348"/>
        <v>47543</v>
      </c>
      <c r="CC87" s="201">
        <f t="shared" si="348"/>
        <v>47574</v>
      </c>
      <c r="CD87" s="201">
        <f t="shared" si="348"/>
        <v>47604</v>
      </c>
      <c r="CE87" s="201">
        <f t="shared" si="348"/>
        <v>47635</v>
      </c>
      <c r="CF87" s="201">
        <f t="shared" si="348"/>
        <v>47665</v>
      </c>
      <c r="CG87" s="201">
        <f t="shared" si="348"/>
        <v>47696</v>
      </c>
      <c r="CH87" s="201">
        <f t="shared" si="348"/>
        <v>47727</v>
      </c>
      <c r="CI87" s="201">
        <f t="shared" si="348"/>
        <v>47757</v>
      </c>
      <c r="CJ87" s="201">
        <f t="shared" si="348"/>
        <v>47788</v>
      </c>
      <c r="CK87" s="201">
        <f t="shared" si="348"/>
        <v>47818</v>
      </c>
      <c r="CM87" s="202">
        <v>2024</v>
      </c>
      <c r="CN87" s="202">
        <f>CM87+1</f>
        <v>2025</v>
      </c>
      <c r="CO87" s="202">
        <f t="shared" ref="CO87" si="349">CN87+1</f>
        <v>2026</v>
      </c>
      <c r="CP87" s="202">
        <f t="shared" ref="CP87" si="350">CO87+1</f>
        <v>2027</v>
      </c>
      <c r="CQ87" s="202">
        <f t="shared" ref="CQ87" si="351">CP87+1</f>
        <v>2028</v>
      </c>
      <c r="CR87" s="202">
        <f t="shared" ref="CR87" si="352">CQ87+1</f>
        <v>2029</v>
      </c>
      <c r="CS87" s="202">
        <f t="shared" ref="CS87" si="353">CR87+1</f>
        <v>2030</v>
      </c>
    </row>
    <row r="88" spans="2:97" outlineLevel="1" x14ac:dyDescent="0.2">
      <c r="B88" s="92" t="s">
        <v>47</v>
      </c>
      <c r="C88" s="97" t="s">
        <v>4</v>
      </c>
      <c r="D88" s="9"/>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f t="shared" ref="CM88:CS90" si="354">SUMIF($L$2:$CK$2,CM$3,$L88:$CK88)</f>
        <v>0</v>
      </c>
      <c r="CN88" s="10">
        <f t="shared" si="354"/>
        <v>0</v>
      </c>
      <c r="CO88" s="10">
        <f t="shared" si="354"/>
        <v>0</v>
      </c>
      <c r="CP88" s="10">
        <f t="shared" si="354"/>
        <v>0</v>
      </c>
      <c r="CQ88" s="10">
        <f t="shared" si="354"/>
        <v>0</v>
      </c>
      <c r="CR88" s="10">
        <f t="shared" si="354"/>
        <v>0</v>
      </c>
      <c r="CS88" s="10">
        <f t="shared" si="354"/>
        <v>0</v>
      </c>
    </row>
    <row r="89" spans="2:97" outlineLevel="1" x14ac:dyDescent="0.2">
      <c r="B89" s="92" t="s">
        <v>48</v>
      </c>
      <c r="C89" s="97" t="s">
        <v>4</v>
      </c>
      <c r="D89" s="9"/>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f t="shared" si="354"/>
        <v>0</v>
      </c>
      <c r="CN89" s="10">
        <f t="shared" si="354"/>
        <v>0</v>
      </c>
      <c r="CO89" s="10">
        <f t="shared" si="354"/>
        <v>0</v>
      </c>
      <c r="CP89" s="10">
        <f t="shared" si="354"/>
        <v>0</v>
      </c>
      <c r="CQ89" s="10">
        <f t="shared" si="354"/>
        <v>0</v>
      </c>
      <c r="CR89" s="10">
        <f t="shared" si="354"/>
        <v>0</v>
      </c>
      <c r="CS89" s="10">
        <f t="shared" si="354"/>
        <v>0</v>
      </c>
    </row>
    <row r="90" spans="2:97" x14ac:dyDescent="0.2">
      <c r="B90" s="20" t="s">
        <v>6</v>
      </c>
      <c r="C90" s="23" t="s">
        <v>4</v>
      </c>
      <c r="D90" s="102"/>
      <c r="F90" s="24">
        <f t="shared" ref="F90:AK90" si="355">SUM(F88:F89)</f>
        <v>0</v>
      </c>
      <c r="G90" s="24">
        <f t="shared" si="355"/>
        <v>0</v>
      </c>
      <c r="H90" s="24">
        <f t="shared" si="355"/>
        <v>0</v>
      </c>
      <c r="I90" s="24">
        <f t="shared" si="355"/>
        <v>0</v>
      </c>
      <c r="J90" s="24">
        <f t="shared" si="355"/>
        <v>0</v>
      </c>
      <c r="K90" s="24">
        <f t="shared" si="355"/>
        <v>0</v>
      </c>
      <c r="L90" s="24">
        <f t="shared" si="355"/>
        <v>0</v>
      </c>
      <c r="M90" s="24">
        <f t="shared" si="355"/>
        <v>0</v>
      </c>
      <c r="N90" s="24">
        <f t="shared" si="355"/>
        <v>0</v>
      </c>
      <c r="O90" s="24">
        <f t="shared" si="355"/>
        <v>0</v>
      </c>
      <c r="P90" s="24">
        <f t="shared" si="355"/>
        <v>0</v>
      </c>
      <c r="Q90" s="24">
        <f t="shared" si="355"/>
        <v>0</v>
      </c>
      <c r="R90" s="24">
        <f t="shared" si="355"/>
        <v>0</v>
      </c>
      <c r="S90" s="24">
        <f t="shared" si="355"/>
        <v>0</v>
      </c>
      <c r="T90" s="24">
        <f t="shared" si="355"/>
        <v>0</v>
      </c>
      <c r="U90" s="24">
        <f t="shared" si="355"/>
        <v>0</v>
      </c>
      <c r="V90" s="24">
        <f t="shared" si="355"/>
        <v>0</v>
      </c>
      <c r="W90" s="24">
        <f t="shared" si="355"/>
        <v>0</v>
      </c>
      <c r="X90" s="24">
        <f t="shared" si="355"/>
        <v>0</v>
      </c>
      <c r="Y90" s="24">
        <f t="shared" si="355"/>
        <v>0</v>
      </c>
      <c r="Z90" s="24">
        <f t="shared" si="355"/>
        <v>0</v>
      </c>
      <c r="AA90" s="24">
        <f t="shared" si="355"/>
        <v>0</v>
      </c>
      <c r="AB90" s="24">
        <f t="shared" si="355"/>
        <v>0</v>
      </c>
      <c r="AC90" s="24">
        <f t="shared" si="355"/>
        <v>0</v>
      </c>
      <c r="AD90" s="24">
        <f t="shared" si="355"/>
        <v>0</v>
      </c>
      <c r="AE90" s="24">
        <f t="shared" si="355"/>
        <v>0</v>
      </c>
      <c r="AF90" s="24">
        <f t="shared" si="355"/>
        <v>0</v>
      </c>
      <c r="AG90" s="24">
        <f t="shared" si="355"/>
        <v>0</v>
      </c>
      <c r="AH90" s="24">
        <f t="shared" si="355"/>
        <v>0</v>
      </c>
      <c r="AI90" s="24">
        <f t="shared" si="355"/>
        <v>0</v>
      </c>
      <c r="AJ90" s="24">
        <f t="shared" si="355"/>
        <v>0</v>
      </c>
      <c r="AK90" s="24">
        <f t="shared" si="355"/>
        <v>0</v>
      </c>
      <c r="AL90" s="24">
        <f t="shared" ref="AL90:BQ90" si="356">SUM(AL88:AL89)</f>
        <v>0</v>
      </c>
      <c r="AM90" s="24">
        <f t="shared" si="356"/>
        <v>0</v>
      </c>
      <c r="AN90" s="24">
        <f t="shared" si="356"/>
        <v>0</v>
      </c>
      <c r="AO90" s="24">
        <f t="shared" si="356"/>
        <v>0</v>
      </c>
      <c r="AP90" s="24">
        <f t="shared" si="356"/>
        <v>0</v>
      </c>
      <c r="AQ90" s="24">
        <f t="shared" si="356"/>
        <v>0</v>
      </c>
      <c r="AR90" s="24">
        <f t="shared" si="356"/>
        <v>0</v>
      </c>
      <c r="AS90" s="24">
        <f t="shared" si="356"/>
        <v>0</v>
      </c>
      <c r="AT90" s="24">
        <f t="shared" si="356"/>
        <v>0</v>
      </c>
      <c r="AU90" s="24">
        <f t="shared" si="356"/>
        <v>0</v>
      </c>
      <c r="AV90" s="24">
        <f t="shared" si="356"/>
        <v>0</v>
      </c>
      <c r="AW90" s="24">
        <f t="shared" si="356"/>
        <v>0</v>
      </c>
      <c r="AX90" s="24">
        <f t="shared" si="356"/>
        <v>0</v>
      </c>
      <c r="AY90" s="24">
        <f t="shared" si="356"/>
        <v>0</v>
      </c>
      <c r="AZ90" s="24">
        <f t="shared" si="356"/>
        <v>0</v>
      </c>
      <c r="BA90" s="24">
        <f t="shared" si="356"/>
        <v>0</v>
      </c>
      <c r="BB90" s="24">
        <f t="shared" si="356"/>
        <v>0</v>
      </c>
      <c r="BC90" s="24">
        <f t="shared" si="356"/>
        <v>0</v>
      </c>
      <c r="BD90" s="24">
        <f t="shared" si="356"/>
        <v>0</v>
      </c>
      <c r="BE90" s="24">
        <f t="shared" si="356"/>
        <v>0</v>
      </c>
      <c r="BF90" s="24">
        <f t="shared" si="356"/>
        <v>0</v>
      </c>
      <c r="BG90" s="24">
        <f t="shared" si="356"/>
        <v>0</v>
      </c>
      <c r="BH90" s="24">
        <f t="shared" si="356"/>
        <v>0</v>
      </c>
      <c r="BI90" s="24">
        <f t="shared" si="356"/>
        <v>0</v>
      </c>
      <c r="BJ90" s="24">
        <f t="shared" si="356"/>
        <v>0</v>
      </c>
      <c r="BK90" s="24">
        <f t="shared" si="356"/>
        <v>0</v>
      </c>
      <c r="BL90" s="24">
        <f t="shared" si="356"/>
        <v>0</v>
      </c>
      <c r="BM90" s="24">
        <f t="shared" si="356"/>
        <v>0</v>
      </c>
      <c r="BN90" s="24">
        <f t="shared" si="356"/>
        <v>0</v>
      </c>
      <c r="BO90" s="24">
        <f t="shared" si="356"/>
        <v>0</v>
      </c>
      <c r="BP90" s="24">
        <f t="shared" si="356"/>
        <v>0</v>
      </c>
      <c r="BQ90" s="24">
        <f t="shared" si="356"/>
        <v>0</v>
      </c>
      <c r="BR90" s="24">
        <f t="shared" ref="BR90:BX90" si="357">SUM(BR88:BR89)</f>
        <v>0</v>
      </c>
      <c r="BS90" s="24">
        <f t="shared" si="357"/>
        <v>0</v>
      </c>
      <c r="BT90" s="24">
        <f t="shared" si="357"/>
        <v>0</v>
      </c>
      <c r="BU90" s="24">
        <f t="shared" si="357"/>
        <v>0</v>
      </c>
      <c r="BV90" s="24">
        <f t="shared" si="357"/>
        <v>0</v>
      </c>
      <c r="BW90" s="24">
        <f t="shared" si="357"/>
        <v>0</v>
      </c>
      <c r="BX90" s="24">
        <f t="shared" si="357"/>
        <v>0</v>
      </c>
      <c r="BY90" s="24">
        <f t="shared" ref="BY90:CK90" si="358">SUM(BY88:BY89)</f>
        <v>0</v>
      </c>
      <c r="BZ90" s="24">
        <f t="shared" si="358"/>
        <v>0</v>
      </c>
      <c r="CA90" s="24">
        <f t="shared" si="358"/>
        <v>0</v>
      </c>
      <c r="CB90" s="24">
        <f t="shared" si="358"/>
        <v>0</v>
      </c>
      <c r="CC90" s="24">
        <f t="shared" si="358"/>
        <v>0</v>
      </c>
      <c r="CD90" s="24">
        <f t="shared" si="358"/>
        <v>0</v>
      </c>
      <c r="CE90" s="24">
        <f t="shared" si="358"/>
        <v>0</v>
      </c>
      <c r="CF90" s="24">
        <f t="shared" si="358"/>
        <v>0</v>
      </c>
      <c r="CG90" s="24">
        <f t="shared" si="358"/>
        <v>0</v>
      </c>
      <c r="CH90" s="24">
        <f t="shared" si="358"/>
        <v>0</v>
      </c>
      <c r="CI90" s="24">
        <f t="shared" si="358"/>
        <v>0</v>
      </c>
      <c r="CJ90" s="24">
        <f t="shared" si="358"/>
        <v>0</v>
      </c>
      <c r="CK90" s="24">
        <f t="shared" si="358"/>
        <v>0</v>
      </c>
      <c r="CM90" s="24">
        <f t="shared" si="354"/>
        <v>0</v>
      </c>
      <c r="CN90" s="24">
        <f t="shared" si="354"/>
        <v>0</v>
      </c>
      <c r="CO90" s="24">
        <f t="shared" si="354"/>
        <v>0</v>
      </c>
      <c r="CP90" s="24">
        <f t="shared" si="354"/>
        <v>0</v>
      </c>
      <c r="CQ90" s="24">
        <f t="shared" si="354"/>
        <v>0</v>
      </c>
      <c r="CR90" s="24">
        <f t="shared" si="354"/>
        <v>0</v>
      </c>
      <c r="CS90" s="24">
        <f t="shared" si="354"/>
        <v>0</v>
      </c>
    </row>
    <row r="92" spans="2:97" s="27" customFormat="1" x14ac:dyDescent="0.2">
      <c r="B92" s="27" t="s">
        <v>88</v>
      </c>
      <c r="F92" s="28">
        <f t="shared" ref="F92:AK92" si="359">F39/1.2*0.2-F75/1.2*0.2-F90/1.2*0.2</f>
        <v>0</v>
      </c>
      <c r="G92" s="28">
        <f t="shared" si="359"/>
        <v>0</v>
      </c>
      <c r="H92" s="28">
        <f t="shared" si="359"/>
        <v>0</v>
      </c>
      <c r="I92" s="28">
        <f t="shared" si="359"/>
        <v>0</v>
      </c>
      <c r="J92" s="28">
        <f t="shared" si="359"/>
        <v>0</v>
      </c>
      <c r="K92" s="28">
        <f t="shared" si="359"/>
        <v>0</v>
      </c>
      <c r="L92" s="28">
        <f t="shared" si="359"/>
        <v>0</v>
      </c>
      <c r="M92" s="28">
        <f t="shared" si="359"/>
        <v>0</v>
      </c>
      <c r="N92" s="28">
        <f t="shared" si="359"/>
        <v>0</v>
      </c>
      <c r="O92" s="28">
        <f t="shared" si="359"/>
        <v>0</v>
      </c>
      <c r="P92" s="28">
        <f t="shared" si="359"/>
        <v>0</v>
      </c>
      <c r="Q92" s="28">
        <f t="shared" si="359"/>
        <v>0</v>
      </c>
      <c r="R92" s="28">
        <f t="shared" si="359"/>
        <v>-0.18867999999999796</v>
      </c>
      <c r="S92" s="28">
        <f t="shared" si="359"/>
        <v>-0.16077000000000297</v>
      </c>
      <c r="T92" s="28">
        <f t="shared" si="359"/>
        <v>-0.24299666666666475</v>
      </c>
      <c r="U92" s="28">
        <f t="shared" si="359"/>
        <v>-35.292656666666659</v>
      </c>
      <c r="V92" s="28">
        <f t="shared" si="359"/>
        <v>-21.725903500000015</v>
      </c>
      <c r="W92" s="28">
        <f t="shared" si="359"/>
        <v>-17.05433450000001</v>
      </c>
      <c r="X92" s="28">
        <f t="shared" si="359"/>
        <v>33.693485496666668</v>
      </c>
      <c r="Y92" s="28">
        <f t="shared" si="359"/>
        <v>28.042093800000018</v>
      </c>
      <c r="Z92" s="28">
        <f t="shared" si="359"/>
        <v>30.455295813333365</v>
      </c>
      <c r="AA92" s="28">
        <f t="shared" si="359"/>
        <v>39.200290573333334</v>
      </c>
      <c r="AB92" s="28">
        <f t="shared" si="359"/>
        <v>33.725618836666683</v>
      </c>
      <c r="AC92" s="28">
        <f t="shared" si="359"/>
        <v>65.145935229999964</v>
      </c>
      <c r="AD92" s="28">
        <f t="shared" si="359"/>
        <v>21.541144333333357</v>
      </c>
      <c r="AE92" s="28">
        <f t="shared" si="359"/>
        <v>20.136219666666676</v>
      </c>
      <c r="AF92" s="28">
        <f t="shared" si="359"/>
        <v>25.464658333333347</v>
      </c>
      <c r="AG92" s="28">
        <f t="shared" si="359"/>
        <v>25.984128208333345</v>
      </c>
      <c r="AH92" s="28">
        <f t="shared" si="359"/>
        <v>26.511390131458327</v>
      </c>
      <c r="AI92" s="28">
        <f t="shared" si="359"/>
        <v>26.689780415448979</v>
      </c>
      <c r="AJ92" s="28">
        <f t="shared" si="359"/>
        <v>25.202395984192876</v>
      </c>
      <c r="AK92" s="28">
        <f t="shared" si="359"/>
        <v>-4.3048619276420652</v>
      </c>
      <c r="AL92" s="28">
        <f t="shared" ref="AL92:BQ92" si="360">AL39/1.2*0.2-AL75/1.2*0.2-AL90/1.2*0.2</f>
        <v>-54.105552903946958</v>
      </c>
      <c r="AM92" s="28">
        <f t="shared" si="360"/>
        <v>-3.5046361975061444</v>
      </c>
      <c r="AN92" s="28">
        <f t="shared" si="360"/>
        <v>26.663753117907447</v>
      </c>
      <c r="AO92" s="28">
        <f t="shared" si="360"/>
        <v>27.226209414676092</v>
      </c>
      <c r="AP92" s="28">
        <f t="shared" si="360"/>
        <v>27.60680484215618</v>
      </c>
      <c r="AQ92" s="28">
        <f t="shared" si="360"/>
        <v>27.991206223911064</v>
      </c>
      <c r="AR92" s="28">
        <f t="shared" si="360"/>
        <v>28.573574317269717</v>
      </c>
      <c r="AS92" s="28">
        <f t="shared" si="360"/>
        <v>29.164677932028781</v>
      </c>
      <c r="AT92" s="28">
        <f t="shared" si="360"/>
        <v>29.764648101009215</v>
      </c>
      <c r="AU92" s="28">
        <f t="shared" si="360"/>
        <v>30.17062791535264</v>
      </c>
      <c r="AV92" s="28">
        <f t="shared" si="360"/>
        <v>30.580667527839495</v>
      </c>
      <c r="AW92" s="28">
        <f t="shared" si="360"/>
        <v>30.994807536451191</v>
      </c>
      <c r="AX92" s="28">
        <f t="shared" si="360"/>
        <v>31.413088945149056</v>
      </c>
      <c r="AY92" s="28">
        <f t="shared" si="360"/>
        <v>32.046785279326315</v>
      </c>
      <c r="AZ92" s="28">
        <f t="shared" si="360"/>
        <v>32.689987058516181</v>
      </c>
      <c r="BA92" s="28">
        <f t="shared" si="360"/>
        <v>33.342836864393917</v>
      </c>
      <c r="BB92" s="28">
        <f t="shared" si="360"/>
        <v>33.563717715382538</v>
      </c>
      <c r="BC92" s="28">
        <f t="shared" si="360"/>
        <v>33.78570297062609</v>
      </c>
      <c r="BD92" s="28">
        <f t="shared" si="360"/>
        <v>34.454988515185534</v>
      </c>
      <c r="BE92" s="28">
        <f t="shared" si="360"/>
        <v>35.134313342913302</v>
      </c>
      <c r="BF92" s="28">
        <f t="shared" si="360"/>
        <v>35.823828043056992</v>
      </c>
      <c r="BG92" s="28">
        <f t="shared" si="360"/>
        <v>36.057113849938958</v>
      </c>
      <c r="BH92" s="28">
        <f t="shared" si="360"/>
        <v>36.291566085855308</v>
      </c>
      <c r="BI92" s="28">
        <f t="shared" si="360"/>
        <v>36.527190582951249</v>
      </c>
      <c r="BJ92" s="28">
        <f t="shared" si="360"/>
        <v>36.763993202532632</v>
      </c>
      <c r="BK92" s="28">
        <f t="shared" si="360"/>
        <v>37.477953100570602</v>
      </c>
      <c r="BL92" s="28">
        <f t="shared" si="360"/>
        <v>38.202622397079182</v>
      </c>
      <c r="BM92" s="28">
        <f t="shared" si="360"/>
        <v>38.9381617330354</v>
      </c>
      <c r="BN92" s="28">
        <f t="shared" si="360"/>
        <v>39.187019208367246</v>
      </c>
      <c r="BO92" s="28">
        <f t="shared" si="360"/>
        <v>39.437120971075757</v>
      </c>
      <c r="BP92" s="28">
        <f t="shared" si="360"/>
        <v>40.191177785641827</v>
      </c>
      <c r="BQ92" s="28">
        <f t="shared" si="360"/>
        <v>40.956545452426468</v>
      </c>
      <c r="BR92" s="28">
        <f t="shared" ref="BR92:BX92" si="361">BR39/1.2*0.2-BR75/1.2*0.2-BR90/1.2*0.2</f>
        <v>41.733393634212831</v>
      </c>
      <c r="BS92" s="28">
        <f t="shared" si="361"/>
        <v>41.996227269050593</v>
      </c>
      <c r="BT92" s="28">
        <f t="shared" si="361"/>
        <v>42.260375072062544</v>
      </c>
      <c r="BU92" s="28">
        <f t="shared" si="361"/>
        <v>42.525843614089439</v>
      </c>
      <c r="BV92" s="28">
        <f t="shared" si="361"/>
        <v>42.792639498826617</v>
      </c>
      <c r="BW92" s="28">
        <f t="shared" si="361"/>
        <v>43.597029091308997</v>
      </c>
      <c r="BX92" s="28">
        <f t="shared" si="361"/>
        <v>44.413484527678548</v>
      </c>
      <c r="BY92" s="28">
        <f t="shared" ref="BY92:CK92" si="362">BY39/1.2*0.2-BY75/1.2*0.2-BY90/1.2*0.2</f>
        <v>45.242186795593767</v>
      </c>
      <c r="BZ92" s="28">
        <f t="shared" si="362"/>
        <v>46.083319597527662</v>
      </c>
      <c r="CA92" s="28">
        <f t="shared" si="362"/>
        <v>46.93706939149061</v>
      </c>
      <c r="CB92" s="28">
        <f t="shared" si="362"/>
        <v>47.803625432362935</v>
      </c>
      <c r="CC92" s="28">
        <f t="shared" si="362"/>
        <v>48.683179813848369</v>
      </c>
      <c r="CD92" s="28">
        <f t="shared" si="362"/>
        <v>49.575927511056108</v>
      </c>
      <c r="CE92" s="28">
        <f t="shared" si="362"/>
        <v>50.48206642372196</v>
      </c>
      <c r="CF92" s="28">
        <f t="shared" si="362"/>
        <v>51.40179742007777</v>
      </c>
      <c r="CG92" s="28">
        <f t="shared" si="362"/>
        <v>52.335324381378967</v>
      </c>
      <c r="CH92" s="28">
        <f t="shared" si="362"/>
        <v>53.282854247099607</v>
      </c>
      <c r="CI92" s="28">
        <f t="shared" si="362"/>
        <v>54.244597060806058</v>
      </c>
      <c r="CJ92" s="28">
        <f t="shared" si="362"/>
        <v>55.220766016718187</v>
      </c>
      <c r="CK92" s="28">
        <f t="shared" si="362"/>
        <v>56.211577506968922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4">
    <outlinePr summaryBelow="0"/>
  </sheetPr>
  <dimension ref="A2:CU93"/>
  <sheetViews>
    <sheetView showGridLines="0" zoomScale="80" zoomScaleNormal="80" workbookViewId="0">
      <pane xSplit="2" ySplit="3" topLeftCell="BG13" activePane="bottomRight" state="frozen"/>
      <selection activeCell="BB40" sqref="BB40"/>
      <selection pane="topRight" activeCell="BB40" sqref="BB40"/>
      <selection pane="bottomLeft" activeCell="BB40" sqref="BB40"/>
      <selection pane="bottomRight" activeCell="BB40" sqref="BB40"/>
    </sheetView>
  </sheetViews>
  <sheetFormatPr defaultColWidth="8.7109375" defaultRowHeight="12.75" outlineLevelRow="2" outlineLevelCol="1" x14ac:dyDescent="0.2"/>
  <cols>
    <col min="1" max="1" width="8.7109375" style="8"/>
    <col min="2" max="2" width="38.7109375" style="8" customWidth="1"/>
    <col min="3" max="3" width="13.140625" style="8" bestFit="1" customWidth="1"/>
    <col min="4" max="4" width="11.42578125" style="8" customWidth="1"/>
    <col min="5" max="5" width="6.7109375" style="8" bestFit="1" customWidth="1"/>
    <col min="6" max="6" width="6.7109375" style="8" bestFit="1" customWidth="1" outlineLevel="1"/>
    <col min="7" max="8" width="7.140625" style="8" bestFit="1" customWidth="1" outlineLevel="1"/>
    <col min="9" max="9" width="6.7109375" style="8" bestFit="1" customWidth="1" outlineLevel="1"/>
    <col min="10" max="10" width="7.140625" style="8" bestFit="1" customWidth="1" outlineLevel="1"/>
    <col min="11" max="11" width="7.42578125" style="8" bestFit="1" customWidth="1" outlineLevel="1"/>
    <col min="12" max="12" width="9.7109375" style="8" customWidth="1" outlineLevel="1"/>
    <col min="13" max="18" width="8.7109375" style="8" customWidth="1" outlineLevel="1"/>
    <col min="19" max="19" width="10.42578125" style="8" customWidth="1" outlineLevel="1"/>
    <col min="20" max="42" width="8.7109375" style="8" customWidth="1" outlineLevel="1"/>
    <col min="43" max="89" width="9.42578125" style="8" customWidth="1" outlineLevel="1"/>
    <col min="90" max="90" width="8.7109375" style="8" customWidth="1" outlineLevel="1"/>
    <col min="91" max="91" width="8.7109375" style="8"/>
    <col min="92" max="93" width="9.42578125" style="8" bestFit="1" customWidth="1"/>
    <col min="94" max="96" width="9.42578125" style="8" customWidth="1"/>
    <col min="97" max="97" width="10.140625" style="8" bestFit="1" customWidth="1"/>
    <col min="98" max="16384" width="8.7109375" style="8"/>
  </cols>
  <sheetData>
    <row r="2" spans="2:97" x14ac:dyDescent="0.2">
      <c r="B2" s="7" t="s">
        <v>49</v>
      </c>
      <c r="F2" s="5">
        <f t="shared" ref="F2:K2" si="0">YEAR(F3)</f>
        <v>2024</v>
      </c>
      <c r="G2" s="5">
        <f t="shared" si="0"/>
        <v>2024</v>
      </c>
      <c r="H2" s="5">
        <f t="shared" si="0"/>
        <v>2024</v>
      </c>
      <c r="I2" s="5">
        <f t="shared" si="0"/>
        <v>2024</v>
      </c>
      <c r="J2" s="5">
        <f t="shared" si="0"/>
        <v>2024</v>
      </c>
      <c r="K2" s="5">
        <f t="shared" si="0"/>
        <v>2024</v>
      </c>
      <c r="L2" s="5">
        <f>YEAR(L3)</f>
        <v>2024</v>
      </c>
      <c r="M2" s="5">
        <f t="shared" ref="M2:CK2" si="1">YEAR(M3)</f>
        <v>2024</v>
      </c>
      <c r="N2" s="5">
        <f t="shared" si="1"/>
        <v>2024</v>
      </c>
      <c r="O2" s="5">
        <f t="shared" si="1"/>
        <v>2024</v>
      </c>
      <c r="P2" s="5">
        <f t="shared" si="1"/>
        <v>2024</v>
      </c>
      <c r="Q2" s="5">
        <f t="shared" si="1"/>
        <v>2024</v>
      </c>
      <c r="R2" s="5">
        <f t="shared" si="1"/>
        <v>2025</v>
      </c>
      <c r="S2" s="5">
        <f t="shared" si="1"/>
        <v>2025</v>
      </c>
      <c r="T2" s="5">
        <f t="shared" si="1"/>
        <v>2025</v>
      </c>
      <c r="U2" s="5">
        <f t="shared" si="1"/>
        <v>2025</v>
      </c>
      <c r="V2" s="5">
        <f t="shared" si="1"/>
        <v>2025</v>
      </c>
      <c r="W2" s="5">
        <f t="shared" si="1"/>
        <v>2025</v>
      </c>
      <c r="X2" s="5">
        <f t="shared" si="1"/>
        <v>2025</v>
      </c>
      <c r="Y2" s="5">
        <f t="shared" si="1"/>
        <v>2025</v>
      </c>
      <c r="Z2" s="5">
        <f t="shared" si="1"/>
        <v>2025</v>
      </c>
      <c r="AA2" s="5">
        <f t="shared" si="1"/>
        <v>2025</v>
      </c>
      <c r="AB2" s="5">
        <f t="shared" si="1"/>
        <v>2025</v>
      </c>
      <c r="AC2" s="5">
        <f t="shared" si="1"/>
        <v>2025</v>
      </c>
      <c r="AD2" s="5">
        <f t="shared" si="1"/>
        <v>2026</v>
      </c>
      <c r="AE2" s="5">
        <f t="shared" si="1"/>
        <v>2026</v>
      </c>
      <c r="AF2" s="5">
        <f t="shared" si="1"/>
        <v>2026</v>
      </c>
      <c r="AG2" s="5">
        <f t="shared" si="1"/>
        <v>2026</v>
      </c>
      <c r="AH2" s="5">
        <f t="shared" si="1"/>
        <v>2026</v>
      </c>
      <c r="AI2" s="5">
        <f t="shared" si="1"/>
        <v>2026</v>
      </c>
      <c r="AJ2" s="5">
        <f t="shared" si="1"/>
        <v>2026</v>
      </c>
      <c r="AK2" s="5">
        <f t="shared" si="1"/>
        <v>2026</v>
      </c>
      <c r="AL2" s="5">
        <f t="shared" si="1"/>
        <v>2026</v>
      </c>
      <c r="AM2" s="5">
        <f t="shared" si="1"/>
        <v>2026</v>
      </c>
      <c r="AN2" s="5">
        <f t="shared" si="1"/>
        <v>2026</v>
      </c>
      <c r="AO2" s="5">
        <f t="shared" si="1"/>
        <v>2026</v>
      </c>
      <c r="AP2" s="5">
        <f t="shared" si="1"/>
        <v>2027</v>
      </c>
      <c r="AQ2" s="5">
        <f t="shared" si="1"/>
        <v>2027</v>
      </c>
      <c r="AR2" s="5">
        <f t="shared" si="1"/>
        <v>2027</v>
      </c>
      <c r="AS2" s="5">
        <f t="shared" si="1"/>
        <v>2027</v>
      </c>
      <c r="AT2" s="5">
        <f t="shared" si="1"/>
        <v>2027</v>
      </c>
      <c r="AU2" s="5">
        <f t="shared" si="1"/>
        <v>2027</v>
      </c>
      <c r="AV2" s="5">
        <f t="shared" si="1"/>
        <v>2027</v>
      </c>
      <c r="AW2" s="5">
        <f t="shared" si="1"/>
        <v>2027</v>
      </c>
      <c r="AX2" s="5">
        <f t="shared" si="1"/>
        <v>2027</v>
      </c>
      <c r="AY2" s="5">
        <f t="shared" si="1"/>
        <v>2027</v>
      </c>
      <c r="AZ2" s="5">
        <f t="shared" si="1"/>
        <v>2027</v>
      </c>
      <c r="BA2" s="5">
        <f t="shared" si="1"/>
        <v>2027</v>
      </c>
      <c r="BB2" s="5">
        <f t="shared" si="1"/>
        <v>2028</v>
      </c>
      <c r="BC2" s="5">
        <f t="shared" si="1"/>
        <v>2028</v>
      </c>
      <c r="BD2" s="5">
        <f t="shared" si="1"/>
        <v>2028</v>
      </c>
      <c r="BE2" s="5">
        <f t="shared" si="1"/>
        <v>2028</v>
      </c>
      <c r="BF2" s="5">
        <f t="shared" si="1"/>
        <v>2028</v>
      </c>
      <c r="BG2" s="5">
        <f t="shared" si="1"/>
        <v>2028</v>
      </c>
      <c r="BH2" s="5">
        <f t="shared" si="1"/>
        <v>2028</v>
      </c>
      <c r="BI2" s="5">
        <f t="shared" si="1"/>
        <v>2028</v>
      </c>
      <c r="BJ2" s="5">
        <f t="shared" si="1"/>
        <v>2028</v>
      </c>
      <c r="BK2" s="5">
        <f t="shared" si="1"/>
        <v>2028</v>
      </c>
      <c r="BL2" s="5">
        <f t="shared" si="1"/>
        <v>2028</v>
      </c>
      <c r="BM2" s="5">
        <f t="shared" si="1"/>
        <v>2028</v>
      </c>
      <c r="BN2" s="5">
        <f t="shared" si="1"/>
        <v>2029</v>
      </c>
      <c r="BO2" s="5">
        <f t="shared" si="1"/>
        <v>2029</v>
      </c>
      <c r="BP2" s="5">
        <f t="shared" si="1"/>
        <v>2029</v>
      </c>
      <c r="BQ2" s="5">
        <f t="shared" si="1"/>
        <v>2029</v>
      </c>
      <c r="BR2" s="5">
        <f t="shared" si="1"/>
        <v>2029</v>
      </c>
      <c r="BS2" s="5">
        <f t="shared" si="1"/>
        <v>2029</v>
      </c>
      <c r="BT2" s="5">
        <f t="shared" si="1"/>
        <v>2029</v>
      </c>
      <c r="BU2" s="5">
        <f t="shared" si="1"/>
        <v>2029</v>
      </c>
      <c r="BV2" s="5">
        <f t="shared" si="1"/>
        <v>2029</v>
      </c>
      <c r="BW2" s="5">
        <f t="shared" si="1"/>
        <v>2029</v>
      </c>
      <c r="BX2" s="5">
        <f t="shared" si="1"/>
        <v>2029</v>
      </c>
      <c r="BY2" s="5">
        <f t="shared" si="1"/>
        <v>2029</v>
      </c>
      <c r="BZ2" s="5">
        <f t="shared" si="1"/>
        <v>2030</v>
      </c>
      <c r="CA2" s="5">
        <f t="shared" si="1"/>
        <v>2030</v>
      </c>
      <c r="CB2" s="5">
        <f t="shared" si="1"/>
        <v>2030</v>
      </c>
      <c r="CC2" s="5">
        <f t="shared" si="1"/>
        <v>2030</v>
      </c>
      <c r="CD2" s="5">
        <f t="shared" si="1"/>
        <v>2030</v>
      </c>
      <c r="CE2" s="5">
        <f t="shared" si="1"/>
        <v>2030</v>
      </c>
      <c r="CF2" s="5">
        <f t="shared" si="1"/>
        <v>2030</v>
      </c>
      <c r="CG2" s="5">
        <f t="shared" si="1"/>
        <v>2030</v>
      </c>
      <c r="CH2" s="5">
        <f t="shared" si="1"/>
        <v>2030</v>
      </c>
      <c r="CI2" s="5">
        <f t="shared" si="1"/>
        <v>2030</v>
      </c>
      <c r="CJ2" s="5">
        <f t="shared" si="1"/>
        <v>2030</v>
      </c>
      <c r="CK2" s="5">
        <f t="shared" si="1"/>
        <v>2030</v>
      </c>
    </row>
    <row r="3" spans="2:97" x14ac:dyDescent="0.2">
      <c r="B3" s="128" t="s">
        <v>1</v>
      </c>
      <c r="C3" s="128" t="s">
        <v>2</v>
      </c>
      <c r="D3" s="102"/>
      <c r="F3" s="129">
        <f>'Мясная гастрономия'!F3</f>
        <v>45292</v>
      </c>
      <c r="G3" s="129">
        <f>'Мясная гастрономия'!G3</f>
        <v>45323</v>
      </c>
      <c r="H3" s="129">
        <f>'Мясная гастрономия'!H3</f>
        <v>45352</v>
      </c>
      <c r="I3" s="129">
        <f>'Мясная гастрономия'!I3</f>
        <v>45383</v>
      </c>
      <c r="J3" s="129">
        <f>'Мясная гастрономия'!J3</f>
        <v>45413</v>
      </c>
      <c r="K3" s="129">
        <f>'Мясная гастрономия'!K3</f>
        <v>45444</v>
      </c>
      <c r="L3" s="129">
        <f>'Мясная гастрономия'!L3</f>
        <v>45474</v>
      </c>
      <c r="M3" s="129">
        <f>'Мясная гастрономия'!M3</f>
        <v>45505</v>
      </c>
      <c r="N3" s="129">
        <f>'Мясная гастрономия'!N3</f>
        <v>45536</v>
      </c>
      <c r="O3" s="129">
        <f>'Мясная гастрономия'!O3</f>
        <v>45566</v>
      </c>
      <c r="P3" s="129">
        <f>'Мясная гастрономия'!P3</f>
        <v>45597</v>
      </c>
      <c r="Q3" s="129">
        <f>'Мясная гастрономия'!Q3</f>
        <v>45627</v>
      </c>
      <c r="R3" s="129">
        <f>'Мясная гастрономия'!R3</f>
        <v>45658</v>
      </c>
      <c r="S3" s="129">
        <f>'Мясная гастрономия'!S3</f>
        <v>45689</v>
      </c>
      <c r="T3" s="129">
        <f>'Мясная гастрономия'!T3</f>
        <v>45717</v>
      </c>
      <c r="U3" s="129">
        <f>'Мясная гастрономия'!U3</f>
        <v>45748</v>
      </c>
      <c r="V3" s="129">
        <f>'Мясная гастрономия'!V3</f>
        <v>45778</v>
      </c>
      <c r="W3" s="129">
        <f>'Мясная гастрономия'!W3</f>
        <v>45809</v>
      </c>
      <c r="X3" s="129">
        <f>'Мясная гастрономия'!X3</f>
        <v>45839</v>
      </c>
      <c r="Y3" s="129">
        <f>'Мясная гастрономия'!Y3</f>
        <v>45870</v>
      </c>
      <c r="Z3" s="129">
        <f>'Мясная гастрономия'!Z3</f>
        <v>45901</v>
      </c>
      <c r="AA3" s="129">
        <f>'Мясная гастрономия'!AA3</f>
        <v>45931</v>
      </c>
      <c r="AB3" s="129">
        <f>'Мясная гастрономия'!AB3</f>
        <v>45962</v>
      </c>
      <c r="AC3" s="129">
        <f>'Мясная гастрономия'!AC3</f>
        <v>45992</v>
      </c>
      <c r="AD3" s="129">
        <f>'Мясная гастрономия'!AD3</f>
        <v>46023</v>
      </c>
      <c r="AE3" s="129">
        <f>'Мясная гастрономия'!AE3</f>
        <v>46054</v>
      </c>
      <c r="AF3" s="129">
        <f>'Мясная гастрономия'!AF3</f>
        <v>46082</v>
      </c>
      <c r="AG3" s="129">
        <f>'Мясная гастрономия'!AG3</f>
        <v>46113</v>
      </c>
      <c r="AH3" s="129">
        <f>'Мясная гастрономия'!AH3</f>
        <v>46143</v>
      </c>
      <c r="AI3" s="129">
        <f>'Мясная гастрономия'!AI3</f>
        <v>46174</v>
      </c>
      <c r="AJ3" s="129">
        <f>'Мясная гастрономия'!AJ3</f>
        <v>46204</v>
      </c>
      <c r="AK3" s="129">
        <f>'Мясная гастрономия'!AK3</f>
        <v>46235</v>
      </c>
      <c r="AL3" s="129">
        <f>'Мясная гастрономия'!AL3</f>
        <v>46266</v>
      </c>
      <c r="AM3" s="129">
        <f>'Мясная гастрономия'!AM3</f>
        <v>46296</v>
      </c>
      <c r="AN3" s="129">
        <f>'Мясная гастрономия'!AN3</f>
        <v>46327</v>
      </c>
      <c r="AO3" s="129">
        <f>'Мясная гастрономия'!AO3</f>
        <v>46357</v>
      </c>
      <c r="AP3" s="129">
        <f>'Мясная гастрономия'!AP3</f>
        <v>46388</v>
      </c>
      <c r="AQ3" s="129">
        <f>'Мясная гастрономия'!AQ3</f>
        <v>46419</v>
      </c>
      <c r="AR3" s="129">
        <f>'Мясная гастрономия'!AR3</f>
        <v>46447</v>
      </c>
      <c r="AS3" s="129">
        <f>'Мясная гастрономия'!AS3</f>
        <v>46478</v>
      </c>
      <c r="AT3" s="129">
        <f>'Мясная гастрономия'!AT3</f>
        <v>46508</v>
      </c>
      <c r="AU3" s="129">
        <f>'Мясная гастрономия'!AU3</f>
        <v>46539</v>
      </c>
      <c r="AV3" s="129">
        <f>'Мясная гастрономия'!AV3</f>
        <v>46569</v>
      </c>
      <c r="AW3" s="129">
        <f>'Мясная гастрономия'!AW3</f>
        <v>46600</v>
      </c>
      <c r="AX3" s="129">
        <f>'Мясная гастрономия'!AX3</f>
        <v>46631</v>
      </c>
      <c r="AY3" s="129">
        <f>'Мясная гастрономия'!AY3</f>
        <v>46661</v>
      </c>
      <c r="AZ3" s="129">
        <f>'Мясная гастрономия'!AZ3</f>
        <v>46692</v>
      </c>
      <c r="BA3" s="129">
        <f>'Мясная гастрономия'!BA3</f>
        <v>46722</v>
      </c>
      <c r="BB3" s="129">
        <f>'Мясная гастрономия'!BB3</f>
        <v>46753</v>
      </c>
      <c r="BC3" s="129">
        <f>'Мясная гастрономия'!BC3</f>
        <v>46784</v>
      </c>
      <c r="BD3" s="129">
        <f>'Мясная гастрономия'!BD3</f>
        <v>46813</v>
      </c>
      <c r="BE3" s="129">
        <f>'Мясная гастрономия'!BE3</f>
        <v>46844</v>
      </c>
      <c r="BF3" s="129">
        <f>'Мясная гастрономия'!BF3</f>
        <v>46874</v>
      </c>
      <c r="BG3" s="129">
        <f>'Мясная гастрономия'!BG3</f>
        <v>46905</v>
      </c>
      <c r="BH3" s="129">
        <f>'Мясная гастрономия'!BH3</f>
        <v>46935</v>
      </c>
      <c r="BI3" s="129">
        <f>'Мясная гастрономия'!BI3</f>
        <v>46966</v>
      </c>
      <c r="BJ3" s="129">
        <f>'Мясная гастрономия'!BJ3</f>
        <v>46997</v>
      </c>
      <c r="BK3" s="129">
        <f>'Мясная гастрономия'!BK3</f>
        <v>47027</v>
      </c>
      <c r="BL3" s="129">
        <f>'Мясная гастрономия'!BL3</f>
        <v>47058</v>
      </c>
      <c r="BM3" s="129">
        <f>'Мясная гастрономия'!BM3</f>
        <v>47088</v>
      </c>
      <c r="BN3" s="129">
        <f>'Мясная гастрономия'!BN3</f>
        <v>47119</v>
      </c>
      <c r="BO3" s="129">
        <f>'Мясная гастрономия'!BO3</f>
        <v>47150</v>
      </c>
      <c r="BP3" s="129">
        <f>'Мясная гастрономия'!BP3</f>
        <v>47178</v>
      </c>
      <c r="BQ3" s="129">
        <f>'Мясная гастрономия'!BQ3</f>
        <v>47209</v>
      </c>
      <c r="BR3" s="129">
        <f>'Мясная гастрономия'!BR3</f>
        <v>47239</v>
      </c>
      <c r="BS3" s="129">
        <f>'Мясная гастрономия'!BS3</f>
        <v>47270</v>
      </c>
      <c r="BT3" s="129">
        <f>'Мясная гастрономия'!BT3</f>
        <v>47300</v>
      </c>
      <c r="BU3" s="129">
        <f>'Мясная гастрономия'!BU3</f>
        <v>47331</v>
      </c>
      <c r="BV3" s="129">
        <f>'Мясная гастрономия'!BV3</f>
        <v>47362</v>
      </c>
      <c r="BW3" s="129">
        <f>'Мясная гастрономия'!BW3</f>
        <v>47392</v>
      </c>
      <c r="BX3" s="129">
        <f>'Мясная гастрономия'!BX3</f>
        <v>47423</v>
      </c>
      <c r="BY3" s="129">
        <f>'Мясная гастрономия'!BY3</f>
        <v>47453</v>
      </c>
      <c r="BZ3" s="129">
        <f>'Мясная гастрономия'!BZ3</f>
        <v>47484</v>
      </c>
      <c r="CA3" s="129">
        <f>'Мясная гастрономия'!CA3</f>
        <v>47515</v>
      </c>
      <c r="CB3" s="129">
        <f>'Мясная гастрономия'!CB3</f>
        <v>47543</v>
      </c>
      <c r="CC3" s="129">
        <f>'Мясная гастрономия'!CC3</f>
        <v>47574</v>
      </c>
      <c r="CD3" s="129">
        <f>'Мясная гастрономия'!CD3</f>
        <v>47604</v>
      </c>
      <c r="CE3" s="129">
        <f>'Мясная гастрономия'!CE3</f>
        <v>47635</v>
      </c>
      <c r="CF3" s="129">
        <f>'Мясная гастрономия'!CF3</f>
        <v>47665</v>
      </c>
      <c r="CG3" s="129">
        <f>'Мясная гастрономия'!CG3</f>
        <v>47696</v>
      </c>
      <c r="CH3" s="129">
        <f>'Мясная гастрономия'!CH3</f>
        <v>47727</v>
      </c>
      <c r="CI3" s="129">
        <f>'Мясная гастрономия'!CI3</f>
        <v>47757</v>
      </c>
      <c r="CJ3" s="129">
        <f>'Мясная гастрономия'!CJ3</f>
        <v>47788</v>
      </c>
      <c r="CK3" s="129">
        <f>'Мясная гастрономия'!CK3</f>
        <v>47818</v>
      </c>
      <c r="CM3" s="130">
        <v>2024</v>
      </c>
      <c r="CN3" s="130">
        <f>CM3+1</f>
        <v>2025</v>
      </c>
      <c r="CO3" s="130">
        <f t="shared" ref="CO3" si="2">CN3+1</f>
        <v>2026</v>
      </c>
      <c r="CP3" s="130">
        <f t="shared" ref="CP3" si="3">CO3+1</f>
        <v>2027</v>
      </c>
      <c r="CQ3" s="130">
        <f t="shared" ref="CQ3" si="4">CP3+1</f>
        <v>2028</v>
      </c>
      <c r="CR3" s="130">
        <f t="shared" ref="CR3" si="5">CQ3+1</f>
        <v>2029</v>
      </c>
      <c r="CS3" s="130">
        <f t="shared" ref="CS3" si="6">CR3+1</f>
        <v>2030</v>
      </c>
    </row>
    <row r="4" spans="2:97" x14ac:dyDescent="0.2">
      <c r="B4" s="90" t="s">
        <v>0</v>
      </c>
      <c r="C4" s="91" t="s">
        <v>4</v>
      </c>
      <c r="D4" s="9"/>
      <c r="F4" s="10">
        <f t="shared" ref="F4:K4" si="7">F39/1.2</f>
        <v>0</v>
      </c>
      <c r="G4" s="10">
        <f t="shared" si="7"/>
        <v>0</v>
      </c>
      <c r="H4" s="10">
        <f t="shared" si="7"/>
        <v>0</v>
      </c>
      <c r="I4" s="10">
        <f t="shared" si="7"/>
        <v>0</v>
      </c>
      <c r="J4" s="10">
        <f t="shared" si="7"/>
        <v>0</v>
      </c>
      <c r="K4" s="10">
        <f t="shared" si="7"/>
        <v>0</v>
      </c>
      <c r="L4" s="10">
        <f>L39/1.2</f>
        <v>0</v>
      </c>
      <c r="M4" s="10">
        <f t="shared" ref="M4:AW4" si="8">M39/1.2</f>
        <v>0</v>
      </c>
      <c r="N4" s="10">
        <f t="shared" si="8"/>
        <v>0</v>
      </c>
      <c r="O4" s="10">
        <f t="shared" si="8"/>
        <v>0</v>
      </c>
      <c r="P4" s="10">
        <f t="shared" si="8"/>
        <v>0</v>
      </c>
      <c r="Q4" s="10">
        <f t="shared" si="8"/>
        <v>0</v>
      </c>
      <c r="R4" s="10">
        <f t="shared" si="8"/>
        <v>0</v>
      </c>
      <c r="S4" s="10">
        <f t="shared" si="8"/>
        <v>0</v>
      </c>
      <c r="T4" s="10">
        <f t="shared" si="8"/>
        <v>39.332433333333334</v>
      </c>
      <c r="U4" s="10">
        <f t="shared" si="8"/>
        <v>55.829208333333327</v>
      </c>
      <c r="V4" s="10">
        <f t="shared" si="8"/>
        <v>53.033600000000007</v>
      </c>
      <c r="W4" s="10">
        <f t="shared" si="8"/>
        <v>298.33333333333337</v>
      </c>
      <c r="X4" s="10">
        <f t="shared" si="8"/>
        <v>772.2727583333334</v>
      </c>
      <c r="Y4" s="10">
        <f t="shared" si="8"/>
        <v>482.0943666666667</v>
      </c>
      <c r="Z4" s="10">
        <f t="shared" si="8"/>
        <v>256.06590833333337</v>
      </c>
      <c r="AA4" s="10">
        <f t="shared" si="8"/>
        <v>219.19390833333335</v>
      </c>
      <c r="AB4" s="10">
        <f t="shared" si="8"/>
        <v>21.423166666666667</v>
      </c>
      <c r="AC4" s="10">
        <f t="shared" si="8"/>
        <v>25.084825000000002</v>
      </c>
      <c r="AD4" s="10">
        <f t="shared" si="8"/>
        <v>0</v>
      </c>
      <c r="AE4" s="10">
        <f t="shared" si="8"/>
        <v>0</v>
      </c>
      <c r="AF4" s="10">
        <f t="shared" si="8"/>
        <v>0</v>
      </c>
      <c r="AG4" s="10">
        <f t="shared" si="8"/>
        <v>0</v>
      </c>
      <c r="AH4" s="10">
        <f t="shared" si="8"/>
        <v>26.339066250000002</v>
      </c>
      <c r="AI4" s="10">
        <f t="shared" si="8"/>
        <v>27.656019562500003</v>
      </c>
      <c r="AJ4" s="10">
        <f t="shared" si="8"/>
        <v>29.038820540625004</v>
      </c>
      <c r="AK4" s="10">
        <f t="shared" si="8"/>
        <v>30.490761567656257</v>
      </c>
      <c r="AL4" s="10">
        <f t="shared" si="8"/>
        <v>32.015299646039068</v>
      </c>
      <c r="AM4" s="10">
        <f t="shared" si="8"/>
        <v>33.616064628341029</v>
      </c>
      <c r="AN4" s="10">
        <f t="shared" si="8"/>
        <v>35.29686785975808</v>
      </c>
      <c r="AO4" s="10">
        <f t="shared" si="8"/>
        <v>37.061711252745987</v>
      </c>
      <c r="AP4" s="10">
        <f t="shared" si="8"/>
        <v>37.802945477800904</v>
      </c>
      <c r="AQ4" s="10">
        <f t="shared" si="8"/>
        <v>38.559004387356929</v>
      </c>
      <c r="AR4" s="10">
        <f t="shared" si="8"/>
        <v>39.330184475104062</v>
      </c>
      <c r="AS4" s="10">
        <f t="shared" si="8"/>
        <v>40.116788164606149</v>
      </c>
      <c r="AT4" s="10">
        <f t="shared" si="8"/>
        <v>40.919123927898262</v>
      </c>
      <c r="AU4" s="10">
        <f t="shared" si="8"/>
        <v>41.737506406456234</v>
      </c>
      <c r="AV4" s="10">
        <f t="shared" si="8"/>
        <v>42.572256534585364</v>
      </c>
      <c r="AW4" s="10">
        <f t="shared" si="8"/>
        <v>43.423701665277072</v>
      </c>
      <c r="AX4" s="10">
        <f t="shared" ref="AX4:BU4" si="9">AX39/1.2</f>
        <v>44.292175698582611</v>
      </c>
      <c r="AY4" s="10">
        <f t="shared" si="9"/>
        <v>45.178019212554254</v>
      </c>
      <c r="AZ4" s="10">
        <f t="shared" si="9"/>
        <v>46.081579596805348</v>
      </c>
      <c r="BA4" s="10">
        <f t="shared" si="9"/>
        <v>47.00321118874146</v>
      </c>
      <c r="BB4" s="10">
        <f t="shared" si="9"/>
        <v>47.943275412516286</v>
      </c>
      <c r="BC4" s="10">
        <f t="shared" si="9"/>
        <v>48.902140920766605</v>
      </c>
      <c r="BD4" s="10">
        <f t="shared" si="9"/>
        <v>49.880183739181938</v>
      </c>
      <c r="BE4" s="10">
        <f t="shared" si="9"/>
        <v>50.877787413965578</v>
      </c>
      <c r="BF4" s="10">
        <f t="shared" si="9"/>
        <v>51.895343162244899</v>
      </c>
      <c r="BG4" s="10">
        <f t="shared" si="9"/>
        <v>52.933250025489791</v>
      </c>
      <c r="BH4" s="10">
        <f t="shared" si="9"/>
        <v>53.991915025999596</v>
      </c>
      <c r="BI4" s="10">
        <f t="shared" si="9"/>
        <v>55.071753326519591</v>
      </c>
      <c r="BJ4" s="10">
        <f t="shared" si="9"/>
        <v>56.17318839304999</v>
      </c>
      <c r="BK4" s="10">
        <f t="shared" si="9"/>
        <v>57.296652160910988</v>
      </c>
      <c r="BL4" s="10">
        <f t="shared" si="9"/>
        <v>58.442585204129209</v>
      </c>
      <c r="BM4" s="10">
        <f t="shared" si="9"/>
        <v>59.611436908211793</v>
      </c>
      <c r="BN4" s="10">
        <f t="shared" si="9"/>
        <v>60.803665646376032</v>
      </c>
      <c r="BO4" s="10">
        <f t="shared" si="9"/>
        <v>62.019738959303545</v>
      </c>
      <c r="BP4" s="10">
        <f t="shared" si="9"/>
        <v>63.260133738489614</v>
      </c>
      <c r="BQ4" s="10">
        <f t="shared" si="9"/>
        <v>64.52533641325941</v>
      </c>
      <c r="BR4" s="10">
        <f t="shared" si="9"/>
        <v>65.815843141524596</v>
      </c>
      <c r="BS4" s="10">
        <f t="shared" si="9"/>
        <v>67.132160004355086</v>
      </c>
      <c r="BT4" s="10">
        <f t="shared" si="9"/>
        <v>68.474803204442182</v>
      </c>
      <c r="BU4" s="10">
        <f t="shared" si="9"/>
        <v>69.844299268531032</v>
      </c>
      <c r="BV4" s="10">
        <f t="shared" ref="BV4:BX4" si="10">BV39/1.2</f>
        <v>71.241185253901662</v>
      </c>
      <c r="BW4" s="10">
        <f t="shared" si="10"/>
        <v>72.666008958979702</v>
      </c>
      <c r="BX4" s="10">
        <f t="shared" si="10"/>
        <v>74.119329138159301</v>
      </c>
      <c r="BY4" s="10">
        <f t="shared" ref="BY4:CK4" si="11">BY39/1.2</f>
        <v>75.601715720922485</v>
      </c>
      <c r="BZ4" s="10">
        <f t="shared" si="11"/>
        <v>77.113750035340928</v>
      </c>
      <c r="CA4" s="10">
        <f t="shared" si="11"/>
        <v>78.656025036047751</v>
      </c>
      <c r="CB4" s="10">
        <f t="shared" si="11"/>
        <v>80.229145536768698</v>
      </c>
      <c r="CC4" s="10">
        <f t="shared" si="11"/>
        <v>81.833728447504072</v>
      </c>
      <c r="CD4" s="10">
        <f t="shared" si="11"/>
        <v>83.470403016454156</v>
      </c>
      <c r="CE4" s="10">
        <f t="shared" si="11"/>
        <v>85.139811076783246</v>
      </c>
      <c r="CF4" s="10">
        <f t="shared" si="11"/>
        <v>86.842607298318896</v>
      </c>
      <c r="CG4" s="10">
        <f t="shared" si="11"/>
        <v>88.579459444285291</v>
      </c>
      <c r="CH4" s="10">
        <f t="shared" si="11"/>
        <v>90.351048633171004</v>
      </c>
      <c r="CI4" s="10">
        <f t="shared" si="11"/>
        <v>92.158069605834413</v>
      </c>
      <c r="CJ4" s="10">
        <f t="shared" si="11"/>
        <v>94.001230997951112</v>
      </c>
      <c r="CK4" s="10">
        <f t="shared" si="11"/>
        <v>95.881255617910128</v>
      </c>
      <c r="CM4" s="10">
        <f t="shared" ref="CM4:CQ5" si="12">SUMIF($L$2:$CK$2,CM$3,$L4:$CK4)</f>
        <v>0</v>
      </c>
      <c r="CN4" s="10">
        <f t="shared" si="12"/>
        <v>2222.6635083333331</v>
      </c>
      <c r="CO4" s="10">
        <f t="shared" si="12"/>
        <v>251.51461130766543</v>
      </c>
      <c r="CP4" s="10">
        <f t="shared" si="12"/>
        <v>507.01649673576867</v>
      </c>
      <c r="CQ4" s="10">
        <f t="shared" si="12"/>
        <v>643.01951169298616</v>
      </c>
      <c r="CR4" s="10">
        <f t="shared" ref="CR4:CS5" si="13">SUMIF($L$2:$CK$2,CR$3,$L4:$CK4)</f>
        <v>815.50421944824461</v>
      </c>
      <c r="CS4" s="10">
        <f t="shared" si="13"/>
        <v>1034.2565347463694</v>
      </c>
    </row>
    <row r="5" spans="2:97" x14ac:dyDescent="0.2">
      <c r="B5" s="90" t="s">
        <v>50</v>
      </c>
      <c r="C5" s="91" t="s">
        <v>4</v>
      </c>
      <c r="D5" s="9"/>
      <c r="F5" s="11">
        <f t="shared" ref="F5:K5" si="14">-F44/1.2-F80</f>
        <v>0</v>
      </c>
      <c r="G5" s="11">
        <f t="shared" si="14"/>
        <v>0</v>
      </c>
      <c r="H5" s="11">
        <f t="shared" si="14"/>
        <v>0</v>
      </c>
      <c r="I5" s="11">
        <f t="shared" si="14"/>
        <v>0</v>
      </c>
      <c r="J5" s="11">
        <f t="shared" si="14"/>
        <v>0</v>
      </c>
      <c r="K5" s="11">
        <f t="shared" si="14"/>
        <v>0</v>
      </c>
      <c r="L5" s="11">
        <f t="shared" ref="L5:AQ5" si="15">-L44/1.2-L80</f>
        <v>0</v>
      </c>
      <c r="M5" s="11">
        <f t="shared" si="15"/>
        <v>0</v>
      </c>
      <c r="N5" s="11">
        <f t="shared" si="15"/>
        <v>0</v>
      </c>
      <c r="O5" s="11">
        <f t="shared" si="15"/>
        <v>0</v>
      </c>
      <c r="P5" s="11">
        <f t="shared" si="15"/>
        <v>0</v>
      </c>
      <c r="Q5" s="11">
        <f t="shared" si="15"/>
        <v>0</v>
      </c>
      <c r="R5" s="11">
        <f t="shared" si="15"/>
        <v>0</v>
      </c>
      <c r="S5" s="11">
        <f t="shared" si="15"/>
        <v>0</v>
      </c>
      <c r="T5" s="11">
        <f t="shared" si="15"/>
        <v>-36.416666666666671</v>
      </c>
      <c r="U5" s="11">
        <f t="shared" si="15"/>
        <v>-54.750000000000007</v>
      </c>
      <c r="V5" s="11">
        <f t="shared" si="15"/>
        <v>-50.166666666666671</v>
      </c>
      <c r="W5" s="11">
        <f t="shared" si="15"/>
        <v>-252.00000000000003</v>
      </c>
      <c r="X5" s="11">
        <f t="shared" si="15"/>
        <v>-475.86365499999999</v>
      </c>
      <c r="Y5" s="11">
        <f t="shared" si="15"/>
        <v>-301.75662</v>
      </c>
      <c r="Z5" s="11">
        <f t="shared" si="15"/>
        <v>-166.13954500000003</v>
      </c>
      <c r="AA5" s="11">
        <f t="shared" si="15"/>
        <v>-144.016345</v>
      </c>
      <c r="AB5" s="11">
        <f t="shared" si="15"/>
        <v>-25.353899999999999</v>
      </c>
      <c r="AC5" s="11">
        <f t="shared" si="15"/>
        <v>-27.550895000000004</v>
      </c>
      <c r="AD5" s="11">
        <f t="shared" si="15"/>
        <v>-12.5</v>
      </c>
      <c r="AE5" s="11">
        <f t="shared" si="15"/>
        <v>-12.5</v>
      </c>
      <c r="AF5" s="11">
        <f t="shared" si="15"/>
        <v>-12.5</v>
      </c>
      <c r="AG5" s="11">
        <f t="shared" si="15"/>
        <v>-12.5</v>
      </c>
      <c r="AH5" s="11">
        <f t="shared" si="15"/>
        <v>-28.303439749999999</v>
      </c>
      <c r="AI5" s="11">
        <f t="shared" si="15"/>
        <v>-29.093611737499998</v>
      </c>
      <c r="AJ5" s="11">
        <f t="shared" si="15"/>
        <v>-29.923292324375002</v>
      </c>
      <c r="AK5" s="11">
        <f t="shared" si="15"/>
        <v>-30.794456940593758</v>
      </c>
      <c r="AL5" s="11">
        <f t="shared" si="15"/>
        <v>-31.709179787623441</v>
      </c>
      <c r="AM5" s="11">
        <f t="shared" si="15"/>
        <v>-32.669638777004614</v>
      </c>
      <c r="AN5" s="11">
        <f t="shared" si="15"/>
        <v>-33.678120715854845</v>
      </c>
      <c r="AO5" s="11">
        <f t="shared" si="15"/>
        <v>-34.737026751647591</v>
      </c>
      <c r="AP5" s="11">
        <f t="shared" si="15"/>
        <v>-35.18176728668054</v>
      </c>
      <c r="AQ5" s="11">
        <f t="shared" si="15"/>
        <v>-35.635402632414156</v>
      </c>
      <c r="AR5" s="11">
        <f t="shared" ref="AR5:BU5" si="16">-AR44/1.2-AR80</f>
        <v>-36.098110685062437</v>
      </c>
      <c r="AS5" s="11">
        <f t="shared" si="16"/>
        <v>-36.570072898763684</v>
      </c>
      <c r="AT5" s="11">
        <f t="shared" si="16"/>
        <v>-37.051474356738964</v>
      </c>
      <c r="AU5" s="11">
        <f t="shared" si="16"/>
        <v>-37.542503843873739</v>
      </c>
      <c r="AV5" s="11">
        <f t="shared" si="16"/>
        <v>-38.043353920751215</v>
      </c>
      <c r="AW5" s="11">
        <f t="shared" si="16"/>
        <v>-38.55422099916624</v>
      </c>
      <c r="AX5" s="11">
        <f t="shared" si="16"/>
        <v>-39.075305419149565</v>
      </c>
      <c r="AY5" s="11">
        <f t="shared" si="16"/>
        <v>-39.606811527532557</v>
      </c>
      <c r="AZ5" s="11">
        <f t="shared" si="16"/>
        <v>-40.14894775808321</v>
      </c>
      <c r="BA5" s="11">
        <f t="shared" si="16"/>
        <v>-40.701926713244873</v>
      </c>
      <c r="BB5" s="11">
        <f t="shared" si="16"/>
        <v>-41.265965247509769</v>
      </c>
      <c r="BC5" s="11">
        <f t="shared" si="16"/>
        <v>-41.84128455245996</v>
      </c>
      <c r="BD5" s="11">
        <f t="shared" si="16"/>
        <v>-42.428110243509167</v>
      </c>
      <c r="BE5" s="11">
        <f t="shared" si="16"/>
        <v>-43.026672448379344</v>
      </c>
      <c r="BF5" s="11">
        <f t="shared" si="16"/>
        <v>-43.637205897346938</v>
      </c>
      <c r="BG5" s="11">
        <f t="shared" si="16"/>
        <v>-44.259950015293875</v>
      </c>
      <c r="BH5" s="11">
        <f t="shared" si="16"/>
        <v>-44.895149015599756</v>
      </c>
      <c r="BI5" s="11">
        <f t="shared" si="16"/>
        <v>-45.543051995911753</v>
      </c>
      <c r="BJ5" s="11">
        <f t="shared" si="16"/>
        <v>-46.203913035829991</v>
      </c>
      <c r="BK5" s="11">
        <f t="shared" si="16"/>
        <v>-46.87799129654659</v>
      </c>
      <c r="BL5" s="11">
        <f t="shared" si="16"/>
        <v>-47.565551122477522</v>
      </c>
      <c r="BM5" s="11">
        <f t="shared" si="16"/>
        <v>-48.266862144927074</v>
      </c>
      <c r="BN5" s="11">
        <f t="shared" si="16"/>
        <v>-48.982199387825617</v>
      </c>
      <c r="BO5" s="11">
        <f t="shared" si="16"/>
        <v>-49.711843375582127</v>
      </c>
      <c r="BP5" s="11">
        <f t="shared" si="16"/>
        <v>-50.456080243093766</v>
      </c>
      <c r="BQ5" s="11">
        <f t="shared" si="16"/>
        <v>-51.21520184795564</v>
      </c>
      <c r="BR5" s="11">
        <f t="shared" si="16"/>
        <v>-51.989505884914756</v>
      </c>
      <c r="BS5" s="11">
        <f t="shared" si="16"/>
        <v>-52.779296002613052</v>
      </c>
      <c r="BT5" s="11">
        <f t="shared" si="16"/>
        <v>-53.584881922665311</v>
      </c>
      <c r="BU5" s="11">
        <f t="shared" si="16"/>
        <v>-54.406579561118612</v>
      </c>
      <c r="BV5" s="11">
        <f t="shared" ref="BV5:BX5" si="17">-BV44/1.2-BV80</f>
        <v>-55.244711152340997</v>
      </c>
      <c r="BW5" s="11">
        <f t="shared" si="17"/>
        <v>-56.099605375387824</v>
      </c>
      <c r="BX5" s="11">
        <f t="shared" si="17"/>
        <v>-56.971597482895575</v>
      </c>
      <c r="BY5" s="11">
        <f t="shared" ref="BY5:CK5" si="18">-BY44/1.2-BY80</f>
        <v>-57.861029432553487</v>
      </c>
      <c r="BZ5" s="11">
        <f t="shared" si="18"/>
        <v>-58.768250021204551</v>
      </c>
      <c r="CA5" s="11">
        <f t="shared" si="18"/>
        <v>-59.693615021628645</v>
      </c>
      <c r="CB5" s="11">
        <f t="shared" si="18"/>
        <v>-60.637487322061219</v>
      </c>
      <c r="CC5" s="11">
        <f t="shared" si="18"/>
        <v>-61.600237068502445</v>
      </c>
      <c r="CD5" s="11">
        <f t="shared" si="18"/>
        <v>-62.582241809872485</v>
      </c>
      <c r="CE5" s="11">
        <f t="shared" si="18"/>
        <v>-63.583886646069942</v>
      </c>
      <c r="CF5" s="11">
        <f t="shared" si="18"/>
        <v>-64.605564378991346</v>
      </c>
      <c r="CG5" s="11">
        <f t="shared" si="18"/>
        <v>-65.647675666571175</v>
      </c>
      <c r="CH5" s="11">
        <f t="shared" si="18"/>
        <v>-66.710629179902597</v>
      </c>
      <c r="CI5" s="11">
        <f t="shared" si="18"/>
        <v>-67.794841763500656</v>
      </c>
      <c r="CJ5" s="11">
        <f t="shared" si="18"/>
        <v>-68.900738598770673</v>
      </c>
      <c r="CK5" s="11">
        <f t="shared" si="18"/>
        <v>-70.028753370746074</v>
      </c>
      <c r="CM5" s="11">
        <f t="shared" si="12"/>
        <v>0</v>
      </c>
      <c r="CN5" s="11">
        <f t="shared" si="12"/>
        <v>-1534.0142933333334</v>
      </c>
      <c r="CO5" s="11">
        <f t="shared" si="12"/>
        <v>-300.90876678459927</v>
      </c>
      <c r="CP5" s="11">
        <f t="shared" si="12"/>
        <v>-454.20989804146114</v>
      </c>
      <c r="CQ5" s="11">
        <f t="shared" si="12"/>
        <v>-535.81170701579185</v>
      </c>
      <c r="CR5" s="11">
        <f t="shared" si="13"/>
        <v>-639.3025316689467</v>
      </c>
      <c r="CS5" s="11">
        <f t="shared" si="13"/>
        <v>-770.55392084782193</v>
      </c>
    </row>
    <row r="6" spans="2:97" x14ac:dyDescent="0.2">
      <c r="B6" s="92"/>
      <c r="C6" s="91"/>
      <c r="D6" s="9"/>
    </row>
    <row r="7" spans="2:97" s="12" customFormat="1" x14ac:dyDescent="0.2">
      <c r="B7" s="88" t="s">
        <v>51</v>
      </c>
      <c r="C7" s="89" t="s">
        <v>4</v>
      </c>
      <c r="D7" s="13"/>
      <c r="E7" s="8"/>
      <c r="F7" s="14">
        <f t="shared" ref="F7:K7" si="19">SUM(F4:F5)</f>
        <v>0</v>
      </c>
      <c r="G7" s="14">
        <f t="shared" si="19"/>
        <v>0</v>
      </c>
      <c r="H7" s="14">
        <f t="shared" si="19"/>
        <v>0</v>
      </c>
      <c r="I7" s="14">
        <f t="shared" si="19"/>
        <v>0</v>
      </c>
      <c r="J7" s="14">
        <f t="shared" si="19"/>
        <v>0</v>
      </c>
      <c r="K7" s="14">
        <f t="shared" si="19"/>
        <v>0</v>
      </c>
      <c r="L7" s="14">
        <f>SUM(L4:L5)</f>
        <v>0</v>
      </c>
      <c r="M7" s="14">
        <f t="shared" ref="M7:AW7" si="20">SUM(M4:M5)</f>
        <v>0</v>
      </c>
      <c r="N7" s="14">
        <f t="shared" si="20"/>
        <v>0</v>
      </c>
      <c r="O7" s="14">
        <f t="shared" si="20"/>
        <v>0</v>
      </c>
      <c r="P7" s="14">
        <f t="shared" si="20"/>
        <v>0</v>
      </c>
      <c r="Q7" s="14">
        <f t="shared" si="20"/>
        <v>0</v>
      </c>
      <c r="R7" s="14">
        <f t="shared" si="20"/>
        <v>0</v>
      </c>
      <c r="S7" s="14">
        <f t="shared" si="20"/>
        <v>0</v>
      </c>
      <c r="T7" s="14">
        <f t="shared" si="20"/>
        <v>2.9157666666666628</v>
      </c>
      <c r="U7" s="14">
        <f t="shared" si="20"/>
        <v>1.0792083333333196</v>
      </c>
      <c r="V7" s="14">
        <f t="shared" si="20"/>
        <v>2.8669333333333356</v>
      </c>
      <c r="W7" s="14">
        <f t="shared" si="20"/>
        <v>46.333333333333343</v>
      </c>
      <c r="X7" s="14">
        <f t="shared" si="20"/>
        <v>296.40910333333341</v>
      </c>
      <c r="Y7" s="14">
        <f t="shared" si="20"/>
        <v>180.3377466666667</v>
      </c>
      <c r="Z7" s="14">
        <f t="shared" si="20"/>
        <v>89.926363333333342</v>
      </c>
      <c r="AA7" s="14">
        <f t="shared" si="20"/>
        <v>75.177563333333353</v>
      </c>
      <c r="AB7" s="14">
        <f t="shared" si="20"/>
        <v>-3.9307333333333325</v>
      </c>
      <c r="AC7" s="14">
        <f t="shared" si="20"/>
        <v>-2.466070000000002</v>
      </c>
      <c r="AD7" s="14">
        <f t="shared" si="20"/>
        <v>-12.5</v>
      </c>
      <c r="AE7" s="14">
        <f t="shared" si="20"/>
        <v>-12.5</v>
      </c>
      <c r="AF7" s="14">
        <f t="shared" si="20"/>
        <v>-12.5</v>
      </c>
      <c r="AG7" s="14">
        <f t="shared" si="20"/>
        <v>-12.5</v>
      </c>
      <c r="AH7" s="14">
        <f t="shared" si="20"/>
        <v>-1.9643734999999971</v>
      </c>
      <c r="AI7" s="14">
        <f t="shared" si="20"/>
        <v>-1.4375921749999954</v>
      </c>
      <c r="AJ7" s="14">
        <f t="shared" si="20"/>
        <v>-0.8844717837499978</v>
      </c>
      <c r="AK7" s="14">
        <f t="shared" si="20"/>
        <v>-0.30369537293750071</v>
      </c>
      <c r="AL7" s="14">
        <f t="shared" si="20"/>
        <v>0.30611985841562728</v>
      </c>
      <c r="AM7" s="14">
        <f t="shared" si="20"/>
        <v>0.94642585133641433</v>
      </c>
      <c r="AN7" s="14">
        <f t="shared" si="20"/>
        <v>1.618747143903235</v>
      </c>
      <c r="AO7" s="14">
        <f t="shared" si="20"/>
        <v>2.3246845010983961</v>
      </c>
      <c r="AP7" s="14">
        <f t="shared" si="20"/>
        <v>2.6211781911203644</v>
      </c>
      <c r="AQ7" s="14">
        <f t="shared" si="20"/>
        <v>2.9236017549427729</v>
      </c>
      <c r="AR7" s="14">
        <f t="shared" si="20"/>
        <v>3.2320737900416248</v>
      </c>
      <c r="AS7" s="14">
        <f t="shared" si="20"/>
        <v>3.5467152658424652</v>
      </c>
      <c r="AT7" s="14">
        <f t="shared" si="20"/>
        <v>3.8676495711592978</v>
      </c>
      <c r="AU7" s="14">
        <f t="shared" si="20"/>
        <v>4.1950025625824949</v>
      </c>
      <c r="AV7" s="14">
        <f t="shared" si="20"/>
        <v>4.5289026138341484</v>
      </c>
      <c r="AW7" s="14">
        <f t="shared" si="20"/>
        <v>4.8694806661108316</v>
      </c>
      <c r="AX7" s="14">
        <f t="shared" ref="AX7:BU7" si="21">SUM(AX4:AX5)</f>
        <v>5.2168702794330457</v>
      </c>
      <c r="AY7" s="14">
        <f t="shared" si="21"/>
        <v>5.5712076850216974</v>
      </c>
      <c r="AZ7" s="14">
        <f t="shared" si="21"/>
        <v>5.9326318387221377</v>
      </c>
      <c r="BA7" s="14">
        <f t="shared" si="21"/>
        <v>6.3012844754965869</v>
      </c>
      <c r="BB7" s="14">
        <f t="shared" si="21"/>
        <v>6.6773101650065172</v>
      </c>
      <c r="BC7" s="14">
        <f t="shared" si="21"/>
        <v>7.060856368306645</v>
      </c>
      <c r="BD7" s="14">
        <f t="shared" si="21"/>
        <v>7.4520734956727708</v>
      </c>
      <c r="BE7" s="14">
        <f t="shared" si="21"/>
        <v>7.851114965586234</v>
      </c>
      <c r="BF7" s="14">
        <f t="shared" si="21"/>
        <v>8.258137264897961</v>
      </c>
      <c r="BG7" s="14">
        <f t="shared" si="21"/>
        <v>8.6733000101959163</v>
      </c>
      <c r="BH7" s="14">
        <f t="shared" si="21"/>
        <v>9.0967660103998398</v>
      </c>
      <c r="BI7" s="14">
        <f t="shared" si="21"/>
        <v>9.5287013306078379</v>
      </c>
      <c r="BJ7" s="14">
        <f t="shared" si="21"/>
        <v>9.969275357219999</v>
      </c>
      <c r="BK7" s="14">
        <f t="shared" si="21"/>
        <v>10.418660864364398</v>
      </c>
      <c r="BL7" s="14">
        <f t="shared" si="21"/>
        <v>10.877034081651686</v>
      </c>
      <c r="BM7" s="14">
        <f t="shared" si="21"/>
        <v>11.344574763284719</v>
      </c>
      <c r="BN7" s="14">
        <f t="shared" si="21"/>
        <v>11.821466258550416</v>
      </c>
      <c r="BO7" s="14">
        <f t="shared" si="21"/>
        <v>12.307895583721418</v>
      </c>
      <c r="BP7" s="14">
        <f t="shared" si="21"/>
        <v>12.804053495395848</v>
      </c>
      <c r="BQ7" s="14">
        <f t="shared" si="21"/>
        <v>13.31013456530377</v>
      </c>
      <c r="BR7" s="14">
        <f t="shared" si="21"/>
        <v>13.82633725660984</v>
      </c>
      <c r="BS7" s="14">
        <f t="shared" si="21"/>
        <v>14.352864001742034</v>
      </c>
      <c r="BT7" s="14">
        <f t="shared" si="21"/>
        <v>14.889921281776871</v>
      </c>
      <c r="BU7" s="14">
        <f t="shared" si="21"/>
        <v>15.43771970741242</v>
      </c>
      <c r="BV7" s="14">
        <f t="shared" ref="BV7:BX7" si="22">SUM(BV4:BV5)</f>
        <v>15.996474101560665</v>
      </c>
      <c r="BW7" s="14">
        <f t="shared" si="22"/>
        <v>16.566403583591878</v>
      </c>
      <c r="BX7" s="14">
        <f t="shared" si="22"/>
        <v>17.147731655263726</v>
      </c>
      <c r="BY7" s="14">
        <f t="shared" ref="BY7:CK7" si="23">SUM(BY4:BY5)</f>
        <v>17.740686288368998</v>
      </c>
      <c r="BZ7" s="14">
        <f t="shared" si="23"/>
        <v>18.345500014136377</v>
      </c>
      <c r="CA7" s="14">
        <f t="shared" si="23"/>
        <v>18.962410014419106</v>
      </c>
      <c r="CB7" s="14">
        <f t="shared" si="23"/>
        <v>19.591658214707479</v>
      </c>
      <c r="CC7" s="14">
        <f t="shared" si="23"/>
        <v>20.233491379001627</v>
      </c>
      <c r="CD7" s="14">
        <f t="shared" si="23"/>
        <v>20.888161206581671</v>
      </c>
      <c r="CE7" s="14">
        <f t="shared" si="23"/>
        <v>21.555924430713304</v>
      </c>
      <c r="CF7" s="14">
        <f t="shared" si="23"/>
        <v>22.23704291932755</v>
      </c>
      <c r="CG7" s="14">
        <f t="shared" si="23"/>
        <v>22.931783777714116</v>
      </c>
      <c r="CH7" s="14">
        <f t="shared" si="23"/>
        <v>23.640419453268407</v>
      </c>
      <c r="CI7" s="14">
        <f t="shared" si="23"/>
        <v>24.363227842333757</v>
      </c>
      <c r="CJ7" s="14">
        <f t="shared" si="23"/>
        <v>25.100492399180439</v>
      </c>
      <c r="CK7" s="14">
        <f t="shared" si="23"/>
        <v>25.852502247164054</v>
      </c>
      <c r="CM7" s="14">
        <f t="shared" ref="CM7:CO7" si="24">SUM(CM4:CM5)</f>
        <v>0</v>
      </c>
      <c r="CN7" s="14">
        <f t="shared" si="24"/>
        <v>688.64921499999969</v>
      </c>
      <c r="CO7" s="14">
        <f t="shared" si="24"/>
        <v>-49.394155476933832</v>
      </c>
      <c r="CP7" s="14">
        <f t="shared" ref="CP7:CQ7" si="25">SUM(CP4:CP5)</f>
        <v>52.806598694307525</v>
      </c>
      <c r="CQ7" s="14">
        <f t="shared" si="25"/>
        <v>107.2078046771943</v>
      </c>
      <c r="CR7" s="14">
        <f t="shared" ref="CR7:CS7" si="26">SUM(CR4:CR5)</f>
        <v>176.20168777929791</v>
      </c>
      <c r="CS7" s="14">
        <f t="shared" si="26"/>
        <v>263.7026138985475</v>
      </c>
    </row>
    <row r="8" spans="2:97" s="5" customFormat="1" x14ac:dyDescent="0.2">
      <c r="B8" s="191" t="s">
        <v>58</v>
      </c>
      <c r="C8" s="192" t="s">
        <v>59</v>
      </c>
      <c r="D8" s="15"/>
      <c r="E8" s="8"/>
      <c r="F8" s="16" t="str">
        <f t="shared" ref="F8:K8" si="27">IFERROR(F7/F4,"")</f>
        <v/>
      </c>
      <c r="G8" s="16" t="str">
        <f t="shared" si="27"/>
        <v/>
      </c>
      <c r="H8" s="16" t="str">
        <f t="shared" si="27"/>
        <v/>
      </c>
      <c r="I8" s="16" t="str">
        <f t="shared" si="27"/>
        <v/>
      </c>
      <c r="J8" s="16" t="str">
        <f t="shared" si="27"/>
        <v/>
      </c>
      <c r="K8" s="16" t="str">
        <f t="shared" si="27"/>
        <v/>
      </c>
      <c r="L8" s="16" t="str">
        <f>IFERROR(L7/L4,"")</f>
        <v/>
      </c>
      <c r="M8" s="16" t="str">
        <f t="shared" ref="M8:AW8" si="28">IFERROR(M7/M4,"")</f>
        <v/>
      </c>
      <c r="N8" s="16" t="str">
        <f t="shared" si="28"/>
        <v/>
      </c>
      <c r="O8" s="16" t="str">
        <f t="shared" si="28"/>
        <v/>
      </c>
      <c r="P8" s="16" t="str">
        <f t="shared" si="28"/>
        <v/>
      </c>
      <c r="Q8" s="16" t="str">
        <f t="shared" si="28"/>
        <v/>
      </c>
      <c r="R8" s="16" t="str">
        <f t="shared" si="28"/>
        <v/>
      </c>
      <c r="S8" s="16" t="str">
        <f t="shared" si="28"/>
        <v/>
      </c>
      <c r="T8" s="16">
        <f t="shared" si="28"/>
        <v>7.413135724291986E-2</v>
      </c>
      <c r="U8" s="16">
        <f t="shared" si="28"/>
        <v>1.9330532628902934E-2</v>
      </c>
      <c r="V8" s="16">
        <f t="shared" si="28"/>
        <v>5.4058810515094868E-2</v>
      </c>
      <c r="W8" s="16">
        <f t="shared" si="28"/>
        <v>0.1553072625698324</v>
      </c>
      <c r="X8" s="16">
        <f t="shared" si="28"/>
        <v>0.38381400889113765</v>
      </c>
      <c r="Y8" s="16">
        <f t="shared" si="28"/>
        <v>0.37407146636782251</v>
      </c>
      <c r="Z8" s="16">
        <f t="shared" si="28"/>
        <v>0.3511844427813165</v>
      </c>
      <c r="AA8" s="16">
        <f t="shared" si="28"/>
        <v>0.34297286774507008</v>
      </c>
      <c r="AB8" s="16">
        <f t="shared" si="28"/>
        <v>-0.18348050008168723</v>
      </c>
      <c r="AC8" s="16">
        <f t="shared" si="28"/>
        <v>-9.8309236759674498E-2</v>
      </c>
      <c r="AD8" s="16" t="str">
        <f t="shared" si="28"/>
        <v/>
      </c>
      <c r="AE8" s="16" t="str">
        <f t="shared" si="28"/>
        <v/>
      </c>
      <c r="AF8" s="16" t="str">
        <f t="shared" si="28"/>
        <v/>
      </c>
      <c r="AG8" s="16" t="str">
        <f t="shared" si="28"/>
        <v/>
      </c>
      <c r="AH8" s="16">
        <f t="shared" si="28"/>
        <v>-7.4580225485404092E-2</v>
      </c>
      <c r="AI8" s="16">
        <f t="shared" si="28"/>
        <v>-5.1981167128956222E-2</v>
      </c>
      <c r="AJ8" s="16">
        <f t="shared" si="28"/>
        <v>-3.0458254408529818E-2</v>
      </c>
      <c r="AK8" s="16">
        <f t="shared" si="28"/>
        <v>-9.960242293838021E-3</v>
      </c>
      <c r="AL8" s="16">
        <f t="shared" si="28"/>
        <v>9.5616740058686416E-3</v>
      </c>
      <c r="AM8" s="16">
        <f t="shared" si="28"/>
        <v>2.8153975243684584E-2</v>
      </c>
      <c r="AN8" s="16">
        <f t="shared" si="28"/>
        <v>4.5860928803509129E-2</v>
      </c>
      <c r="AO8" s="16">
        <f t="shared" si="28"/>
        <v>6.27246940985801E-2</v>
      </c>
      <c r="AP8" s="16">
        <f t="shared" si="28"/>
        <v>6.9337935390764827E-2</v>
      </c>
      <c r="AQ8" s="16">
        <f t="shared" si="28"/>
        <v>7.5821505285063567E-2</v>
      </c>
      <c r="AR8" s="16">
        <f t="shared" si="28"/>
        <v>8.2177946357905388E-2</v>
      </c>
      <c r="AS8" s="16">
        <f t="shared" si="28"/>
        <v>8.840975133127997E-2</v>
      </c>
      <c r="AT8" s="16">
        <f t="shared" si="28"/>
        <v>9.4519364050274099E-2</v>
      </c>
      <c r="AU8" s="16">
        <f t="shared" si="28"/>
        <v>0.10050918044144545</v>
      </c>
      <c r="AV8" s="16">
        <f t="shared" si="28"/>
        <v>0.10638154945239757</v>
      </c>
      <c r="AW8" s="16">
        <f t="shared" si="28"/>
        <v>0.1121387739729388</v>
      </c>
      <c r="AX8" s="16">
        <f t="shared" ref="AX8:BU8" si="29">IFERROR(AX7/AX4,"")</f>
        <v>0.11778311173817524</v>
      </c>
      <c r="AY8" s="16">
        <f t="shared" si="29"/>
        <v>0.12331677621389711</v>
      </c>
      <c r="AZ8" s="16">
        <f t="shared" si="29"/>
        <v>0.12874193746460513</v>
      </c>
      <c r="BA8" s="16">
        <f t="shared" si="29"/>
        <v>0.13406072300451496</v>
      </c>
      <c r="BB8" s="16">
        <f t="shared" si="29"/>
        <v>0.13927521863187739</v>
      </c>
      <c r="BC8" s="16">
        <f t="shared" si="29"/>
        <v>0.14438746924693857</v>
      </c>
      <c r="BD8" s="16">
        <f t="shared" si="29"/>
        <v>0.14939947965386122</v>
      </c>
      <c r="BE8" s="16">
        <f t="shared" si="29"/>
        <v>0.15431321534692291</v>
      </c>
      <c r="BF8" s="16">
        <f t="shared" si="29"/>
        <v>0.159130603281297</v>
      </c>
      <c r="BG8" s="16">
        <f t="shared" si="29"/>
        <v>0.16385353262872249</v>
      </c>
      <c r="BH8" s="16">
        <f t="shared" si="29"/>
        <v>0.16848385551835543</v>
      </c>
      <c r="BI8" s="16">
        <f t="shared" si="29"/>
        <v>0.17302338776309359</v>
      </c>
      <c r="BJ8" s="16">
        <f t="shared" si="29"/>
        <v>0.17747390957166043</v>
      </c>
      <c r="BK8" s="16">
        <f t="shared" si="29"/>
        <v>0.18183716624672588</v>
      </c>
      <c r="BL8" s="16">
        <f t="shared" si="29"/>
        <v>0.18611486886933912</v>
      </c>
      <c r="BM8" s="16">
        <f t="shared" si="29"/>
        <v>0.1903086949699403</v>
      </c>
      <c r="BN8" s="16">
        <f t="shared" si="29"/>
        <v>0.19442028918621601</v>
      </c>
      <c r="BO8" s="16">
        <f t="shared" si="29"/>
        <v>0.19845126390805484</v>
      </c>
      <c r="BP8" s="16">
        <f t="shared" si="29"/>
        <v>0.20240319990985772</v>
      </c>
      <c r="BQ8" s="16">
        <f t="shared" si="29"/>
        <v>0.20627764697044881</v>
      </c>
      <c r="BR8" s="16">
        <f t="shared" si="29"/>
        <v>0.2100761244808321</v>
      </c>
      <c r="BS8" s="16">
        <f t="shared" si="29"/>
        <v>0.21380012204003143</v>
      </c>
      <c r="BT8" s="16">
        <f t="shared" si="29"/>
        <v>0.21745110003924648</v>
      </c>
      <c r="BU8" s="16">
        <f t="shared" si="29"/>
        <v>0.22103049023455548</v>
      </c>
      <c r="BV8" s="16">
        <f t="shared" ref="BV8:BX8" si="30">IFERROR(BV7/BV4,"")</f>
        <v>0.22453969630838766</v>
      </c>
      <c r="BW8" s="16">
        <f t="shared" si="30"/>
        <v>0.22798009441998787</v>
      </c>
      <c r="BX8" s="16">
        <f t="shared" si="30"/>
        <v>0.23135303374508628</v>
      </c>
      <c r="BY8" s="16">
        <f t="shared" ref="BY8:CK8" si="31">IFERROR(BY7/BY4,"")</f>
        <v>0.23465983700498652</v>
      </c>
      <c r="BZ8" s="16">
        <f t="shared" si="31"/>
        <v>0.23790180098528091</v>
      </c>
      <c r="CA8" s="16">
        <f t="shared" si="31"/>
        <v>0.24108019704439307</v>
      </c>
      <c r="CB8" s="16">
        <f t="shared" si="31"/>
        <v>0.24419627161214999</v>
      </c>
      <c r="CC8" s="16">
        <f t="shared" si="31"/>
        <v>0.2472512466785784</v>
      </c>
      <c r="CD8" s="16">
        <f t="shared" si="31"/>
        <v>0.25024632027311622</v>
      </c>
      <c r="CE8" s="16">
        <f t="shared" si="31"/>
        <v>0.25318266693442765</v>
      </c>
      <c r="CF8" s="16">
        <f t="shared" si="31"/>
        <v>0.25606143817100729</v>
      </c>
      <c r="CG8" s="16">
        <f t="shared" si="31"/>
        <v>0.25888376291275234</v>
      </c>
      <c r="CH8" s="16">
        <f t="shared" si="31"/>
        <v>0.26165074795367887</v>
      </c>
      <c r="CI8" s="16">
        <f t="shared" si="31"/>
        <v>0.26436347838595947</v>
      </c>
      <c r="CJ8" s="16">
        <f t="shared" si="31"/>
        <v>0.26702301802545053</v>
      </c>
      <c r="CK8" s="16">
        <f t="shared" si="31"/>
        <v>0.26963040982887315</v>
      </c>
      <c r="CM8" s="16" t="str">
        <f>IFERROR(CM7/CM4,"")</f>
        <v/>
      </c>
      <c r="CN8" s="16">
        <f t="shared" ref="CN8:CO8" si="32">CN7/CN4</f>
        <v>0.30983062097257541</v>
      </c>
      <c r="CO8" s="16">
        <f t="shared" si="32"/>
        <v>-0.19638682309598465</v>
      </c>
      <c r="CP8" s="16">
        <f t="shared" ref="CP8:CQ8" si="33">CP7/CP4</f>
        <v>0.10415163813067733</v>
      </c>
      <c r="CQ8" s="16">
        <f t="shared" si="33"/>
        <v>0.16672558565902643</v>
      </c>
      <c r="CR8" s="16">
        <f t="shared" ref="CR8:CS8" si="34">CR7/CR4</f>
        <v>0.21606471625433499</v>
      </c>
      <c r="CS8" s="16">
        <f t="shared" si="34"/>
        <v>0.25496828401786725</v>
      </c>
    </row>
    <row r="9" spans="2:97" x14ac:dyDescent="0.2">
      <c r="B9" s="92"/>
      <c r="C9" s="91"/>
      <c r="D9" s="9"/>
    </row>
    <row r="10" spans="2:97" x14ac:dyDescent="0.2">
      <c r="B10" s="90" t="s">
        <v>52</v>
      </c>
      <c r="C10" s="91" t="s">
        <v>4</v>
      </c>
      <c r="D10" s="9"/>
      <c r="F10" s="11">
        <f t="shared" ref="F10:K10" si="35">-F54/1.2-F83</f>
        <v>0</v>
      </c>
      <c r="G10" s="11">
        <f t="shared" si="35"/>
        <v>0</v>
      </c>
      <c r="H10" s="11">
        <f t="shared" si="35"/>
        <v>0</v>
      </c>
      <c r="I10" s="11">
        <f t="shared" si="35"/>
        <v>0</v>
      </c>
      <c r="J10" s="11">
        <f t="shared" si="35"/>
        <v>0</v>
      </c>
      <c r="K10" s="11">
        <f t="shared" si="35"/>
        <v>0</v>
      </c>
      <c r="L10" s="11">
        <f t="shared" ref="L10:AW10" si="36">-L54/1.2-L83</f>
        <v>0</v>
      </c>
      <c r="M10" s="11">
        <f t="shared" si="36"/>
        <v>0</v>
      </c>
      <c r="N10" s="11">
        <f t="shared" si="36"/>
        <v>0</v>
      </c>
      <c r="O10" s="11">
        <f t="shared" si="36"/>
        <v>0</v>
      </c>
      <c r="P10" s="11">
        <f t="shared" si="36"/>
        <v>0</v>
      </c>
      <c r="Q10" s="11">
        <f t="shared" si="36"/>
        <v>0</v>
      </c>
      <c r="R10" s="11">
        <f t="shared" si="36"/>
        <v>0</v>
      </c>
      <c r="S10" s="11">
        <f t="shared" si="36"/>
        <v>0</v>
      </c>
      <c r="T10" s="11">
        <f t="shared" si="36"/>
        <v>-0.78664866666666666</v>
      </c>
      <c r="U10" s="11">
        <f t="shared" si="36"/>
        <v>-6.9499174999999997</v>
      </c>
      <c r="V10" s="11">
        <f t="shared" si="36"/>
        <v>-6.0606720000000003</v>
      </c>
      <c r="W10" s="11">
        <f t="shared" si="36"/>
        <v>-20.883333333333336</v>
      </c>
      <c r="X10" s="11">
        <f t="shared" si="36"/>
        <v>-95.761822033333345</v>
      </c>
      <c r="Y10" s="11">
        <f t="shared" si="36"/>
        <v>-59.779701466666666</v>
      </c>
      <c r="Z10" s="11">
        <f t="shared" si="36"/>
        <v>-31.752172633333338</v>
      </c>
      <c r="AA10" s="11">
        <f t="shared" si="36"/>
        <v>-27.180044633333335</v>
      </c>
      <c r="AB10" s="11">
        <f t="shared" si="36"/>
        <v>-2.6564726666666667</v>
      </c>
      <c r="AC10" s="11">
        <f t="shared" si="36"/>
        <v>-3.1105183000000007</v>
      </c>
      <c r="AD10" s="11">
        <f t="shared" si="36"/>
        <v>0</v>
      </c>
      <c r="AE10" s="11">
        <f t="shared" si="36"/>
        <v>0</v>
      </c>
      <c r="AF10" s="11">
        <f t="shared" si="36"/>
        <v>0</v>
      </c>
      <c r="AG10" s="11">
        <f t="shared" si="36"/>
        <v>0</v>
      </c>
      <c r="AH10" s="11">
        <f t="shared" si="36"/>
        <v>-3.266044215</v>
      </c>
      <c r="AI10" s="11">
        <f t="shared" si="36"/>
        <v>-3.4293464257499999</v>
      </c>
      <c r="AJ10" s="11">
        <f t="shared" si="36"/>
        <v>-3.6008137470374999</v>
      </c>
      <c r="AK10" s="11">
        <f t="shared" si="36"/>
        <v>-3.7808544343893757</v>
      </c>
      <c r="AL10" s="11">
        <f t="shared" si="36"/>
        <v>-3.9698971561088445</v>
      </c>
      <c r="AM10" s="11">
        <f t="shared" si="36"/>
        <v>-4.1683920139142874</v>
      </c>
      <c r="AN10" s="11">
        <f t="shared" si="36"/>
        <v>-4.3768116146100011</v>
      </c>
      <c r="AO10" s="11">
        <f t="shared" si="36"/>
        <v>-4.5956521953405023</v>
      </c>
      <c r="AP10" s="11">
        <f t="shared" si="36"/>
        <v>-4.6875652392473111</v>
      </c>
      <c r="AQ10" s="11">
        <f t="shared" si="36"/>
        <v>-4.7813165440322587</v>
      </c>
      <c r="AR10" s="11">
        <f t="shared" si="36"/>
        <v>-4.8769428749129045</v>
      </c>
      <c r="AS10" s="11">
        <f t="shared" si="36"/>
        <v>-4.9744817324111619</v>
      </c>
      <c r="AT10" s="11">
        <f t="shared" si="36"/>
        <v>-5.073971367059384</v>
      </c>
      <c r="AU10" s="11">
        <f t="shared" si="36"/>
        <v>-5.1754507944005734</v>
      </c>
      <c r="AV10" s="11">
        <f t="shared" si="36"/>
        <v>-5.2789598102885851</v>
      </c>
      <c r="AW10" s="11">
        <f t="shared" si="36"/>
        <v>-5.3845390064943564</v>
      </c>
      <c r="AX10" s="11">
        <f t="shared" ref="AX10:BU10" si="37">-AX54/1.2-AX83</f>
        <v>-5.4922297866242431</v>
      </c>
      <c r="AY10" s="11">
        <f t="shared" si="37"/>
        <v>-5.6020743823567276</v>
      </c>
      <c r="AZ10" s="11">
        <f t="shared" si="37"/>
        <v>-5.7141158700038623</v>
      </c>
      <c r="BA10" s="11">
        <f t="shared" si="37"/>
        <v>-5.8283981874039412</v>
      </c>
      <c r="BB10" s="11">
        <f t="shared" si="37"/>
        <v>-4.9861006429016932</v>
      </c>
      <c r="BC10" s="11">
        <f t="shared" si="37"/>
        <v>-5.0858226557597268</v>
      </c>
      <c r="BD10" s="11">
        <f t="shared" si="37"/>
        <v>-5.1875391088749208</v>
      </c>
      <c r="BE10" s="11">
        <f t="shared" si="37"/>
        <v>-5.2912898910524202</v>
      </c>
      <c r="BF10" s="11">
        <f t="shared" si="37"/>
        <v>-5.3971156888734688</v>
      </c>
      <c r="BG10" s="11">
        <f t="shared" si="37"/>
        <v>-5.5050580026509381</v>
      </c>
      <c r="BH10" s="11">
        <f t="shared" si="37"/>
        <v>-5.6151591627039581</v>
      </c>
      <c r="BI10" s="11">
        <f t="shared" si="37"/>
        <v>-5.7274623459580365</v>
      </c>
      <c r="BJ10" s="11">
        <f t="shared" si="37"/>
        <v>-5.8420115928771983</v>
      </c>
      <c r="BK10" s="11">
        <f t="shared" si="37"/>
        <v>-5.958851824734742</v>
      </c>
      <c r="BL10" s="11">
        <f t="shared" si="37"/>
        <v>-6.0780288612294378</v>
      </c>
      <c r="BM10" s="11">
        <f t="shared" si="37"/>
        <v>-6.1995894384540264</v>
      </c>
      <c r="BN10" s="11">
        <f t="shared" si="37"/>
        <v>-6.3235812272231069</v>
      </c>
      <c r="BO10" s="11">
        <f t="shared" si="37"/>
        <v>-6.4500528517675688</v>
      </c>
      <c r="BP10" s="11">
        <f t="shared" si="37"/>
        <v>-6.5790539088029192</v>
      </c>
      <c r="BQ10" s="11">
        <f t="shared" si="37"/>
        <v>-6.7106349869789774</v>
      </c>
      <c r="BR10" s="11">
        <f t="shared" si="37"/>
        <v>-6.8448476867185573</v>
      </c>
      <c r="BS10" s="11">
        <f t="shared" si="37"/>
        <v>-6.9817446404529289</v>
      </c>
      <c r="BT10" s="11">
        <f t="shared" si="37"/>
        <v>-7.1213795332619867</v>
      </c>
      <c r="BU10" s="11">
        <f t="shared" si="37"/>
        <v>-7.2638071239272275</v>
      </c>
      <c r="BV10" s="11">
        <f t="shared" ref="BV10:BX10" si="38">-BV54/1.2-BV83</f>
        <v>-7.4090832664057729</v>
      </c>
      <c r="BW10" s="11">
        <f t="shared" si="38"/>
        <v>-7.5572649317338882</v>
      </c>
      <c r="BX10" s="11">
        <f t="shared" si="38"/>
        <v>-7.7084102303685667</v>
      </c>
      <c r="BY10" s="11">
        <f t="shared" ref="BY10:CK10" si="39">-BY54/1.2-BY83</f>
        <v>-7.8625784349759371</v>
      </c>
      <c r="BZ10" s="11">
        <f t="shared" si="39"/>
        <v>-8.0198300036754553</v>
      </c>
      <c r="CA10" s="11">
        <f t="shared" si="39"/>
        <v>-8.1802266037489666</v>
      </c>
      <c r="CB10" s="11">
        <f t="shared" si="39"/>
        <v>-8.3438311358239439</v>
      </c>
      <c r="CC10" s="11">
        <f t="shared" si="39"/>
        <v>-8.5107077585404234</v>
      </c>
      <c r="CD10" s="11">
        <f t="shared" si="39"/>
        <v>-8.6809219137112326</v>
      </c>
      <c r="CE10" s="11">
        <f t="shared" si="39"/>
        <v>-8.854540351985456</v>
      </c>
      <c r="CF10" s="11">
        <f t="shared" si="39"/>
        <v>-9.0316311590251637</v>
      </c>
      <c r="CG10" s="11">
        <f t="shared" si="39"/>
        <v>-9.212263782205671</v>
      </c>
      <c r="CH10" s="11">
        <f t="shared" si="39"/>
        <v>-9.3965090578497836</v>
      </c>
      <c r="CI10" s="11">
        <f t="shared" si="39"/>
        <v>-9.5844392390067803</v>
      </c>
      <c r="CJ10" s="11">
        <f t="shared" si="39"/>
        <v>-9.7761280237869155</v>
      </c>
      <c r="CK10" s="11">
        <f t="shared" si="39"/>
        <v>-9.9716505842626511</v>
      </c>
      <c r="CM10" s="11">
        <f t="shared" ref="CM10:CQ12" si="40">SUMIF($L$2:$CK$2,CM$3,$L10:$CK10)</f>
        <v>0</v>
      </c>
      <c r="CN10" s="11">
        <f t="shared" si="40"/>
        <v>-254.92130323333336</v>
      </c>
      <c r="CO10" s="11">
        <f t="shared" si="40"/>
        <v>-31.187811802150513</v>
      </c>
      <c r="CP10" s="11">
        <f t="shared" si="40"/>
        <v>-62.870045595235304</v>
      </c>
      <c r="CQ10" s="11">
        <f t="shared" si="40"/>
        <v>-66.874029216070568</v>
      </c>
      <c r="CR10" s="11">
        <f t="shared" ref="CR10:CS12" si="41">SUMIF($L$2:$CK$2,CR$3,$L10:$CK10)</f>
        <v>-84.812438822617452</v>
      </c>
      <c r="CS10" s="11">
        <f t="shared" si="41"/>
        <v>-107.56267961362244</v>
      </c>
    </row>
    <row r="11" spans="2:97" x14ac:dyDescent="0.2">
      <c r="B11" s="90" t="s">
        <v>53</v>
      </c>
      <c r="C11" s="91" t="s">
        <v>4</v>
      </c>
      <c r="D11" s="9"/>
      <c r="F11" s="11">
        <f t="shared" ref="F11:K11" si="42">-F48/1.2-F51/1.2-F81-F82</f>
        <v>0</v>
      </c>
      <c r="G11" s="11">
        <f t="shared" si="42"/>
        <v>0</v>
      </c>
      <c r="H11" s="11">
        <f t="shared" si="42"/>
        <v>0</v>
      </c>
      <c r="I11" s="11">
        <f t="shared" si="42"/>
        <v>0</v>
      </c>
      <c r="J11" s="11">
        <f t="shared" si="42"/>
        <v>0</v>
      </c>
      <c r="K11" s="11">
        <f t="shared" si="42"/>
        <v>0</v>
      </c>
      <c r="L11" s="11">
        <f t="shared" ref="L11:AQ11" si="43">-L48/1.2-L51/1.2-L81-L82</f>
        <v>0</v>
      </c>
      <c r="M11" s="11">
        <f t="shared" si="43"/>
        <v>0</v>
      </c>
      <c r="N11" s="11">
        <f t="shared" si="43"/>
        <v>0</v>
      </c>
      <c r="O11" s="11">
        <f t="shared" si="43"/>
        <v>0</v>
      </c>
      <c r="P11" s="11">
        <f t="shared" si="43"/>
        <v>0</v>
      </c>
      <c r="Q11" s="11">
        <f t="shared" si="43"/>
        <v>0</v>
      </c>
      <c r="R11" s="11">
        <f t="shared" si="43"/>
        <v>0</v>
      </c>
      <c r="S11" s="11">
        <f t="shared" si="43"/>
        <v>0</v>
      </c>
      <c r="T11" s="11">
        <f t="shared" si="43"/>
        <v>-0.39332433333333333</v>
      </c>
      <c r="U11" s="11">
        <f t="shared" si="43"/>
        <v>-2.7914604166666663</v>
      </c>
      <c r="V11" s="11">
        <f t="shared" si="43"/>
        <v>-2.6516800000000003</v>
      </c>
      <c r="W11" s="11">
        <f t="shared" si="43"/>
        <v>-27.416666666666664</v>
      </c>
      <c r="X11" s="11">
        <f t="shared" si="43"/>
        <v>-89.454183706666669</v>
      </c>
      <c r="Y11" s="11">
        <f t="shared" si="43"/>
        <v>-71.81133749333334</v>
      </c>
      <c r="Z11" s="11">
        <f t="shared" si="43"/>
        <v>-71.402140560000007</v>
      </c>
      <c r="AA11" s="11">
        <f t="shared" si="43"/>
        <v>-69.160322960000002</v>
      </c>
      <c r="AB11" s="11">
        <f t="shared" si="43"/>
        <v>-57.135861866666673</v>
      </c>
      <c r="AC11" s="11">
        <f t="shared" si="43"/>
        <v>-57.358490693333337</v>
      </c>
      <c r="AD11" s="11">
        <f t="shared" si="43"/>
        <v>-55.833333333333336</v>
      </c>
      <c r="AE11" s="11">
        <f t="shared" si="43"/>
        <v>-70.833333333333343</v>
      </c>
      <c r="AF11" s="11">
        <f t="shared" si="43"/>
        <v>-70.833333333333343</v>
      </c>
      <c r="AG11" s="11">
        <f t="shared" si="43"/>
        <v>-70.833333333333343</v>
      </c>
      <c r="AH11" s="11">
        <f t="shared" si="43"/>
        <v>-72.434748561333336</v>
      </c>
      <c r="AI11" s="11">
        <f t="shared" si="43"/>
        <v>-72.514819322733331</v>
      </c>
      <c r="AJ11" s="11">
        <f t="shared" si="43"/>
        <v>-62.598893622203335</v>
      </c>
      <c r="AK11" s="11">
        <f t="shared" si="43"/>
        <v>-62.687171636646838</v>
      </c>
      <c r="AL11" s="11">
        <f t="shared" si="43"/>
        <v>-62.779863551812511</v>
      </c>
      <c r="AM11" s="11">
        <f t="shared" si="43"/>
        <v>-62.877190062736467</v>
      </c>
      <c r="AN11" s="11">
        <f t="shared" si="43"/>
        <v>-62.979382899206627</v>
      </c>
      <c r="AO11" s="11">
        <f t="shared" si="43"/>
        <v>-63.086685377500288</v>
      </c>
      <c r="AP11" s="11">
        <f t="shared" si="43"/>
        <v>-63.131752418383627</v>
      </c>
      <c r="AQ11" s="11">
        <f t="shared" si="43"/>
        <v>-63.177720800084643</v>
      </c>
      <c r="AR11" s="11">
        <f t="shared" ref="AR11:BU11" si="44">-AR48/1.2-AR51/1.2-AR81-AR82</f>
        <v>-63.224608549419663</v>
      </c>
      <c r="AS11" s="11">
        <f t="shared" si="44"/>
        <v>-63.272434053741392</v>
      </c>
      <c r="AT11" s="11">
        <f t="shared" si="44"/>
        <v>-63.321216068149546</v>
      </c>
      <c r="AU11" s="11">
        <f t="shared" si="44"/>
        <v>-63.370973722845875</v>
      </c>
      <c r="AV11" s="11">
        <f t="shared" si="44"/>
        <v>-63.421726530636121</v>
      </c>
      <c r="AW11" s="11">
        <f t="shared" si="44"/>
        <v>-63.473494394582183</v>
      </c>
      <c r="AX11" s="11">
        <f t="shared" si="44"/>
        <v>-68.526297615807167</v>
      </c>
      <c r="AY11" s="11">
        <f t="shared" si="44"/>
        <v>-68.580156901456633</v>
      </c>
      <c r="AZ11" s="11">
        <f t="shared" si="44"/>
        <v>-68.635093372819099</v>
      </c>
      <c r="BA11" s="11">
        <f t="shared" si="44"/>
        <v>-68.691128573608808</v>
      </c>
      <c r="BB11" s="11">
        <f t="shared" si="44"/>
        <v>-68.748284478414334</v>
      </c>
      <c r="BC11" s="11">
        <f t="shared" si="44"/>
        <v>-68.806583501315941</v>
      </c>
      <c r="BD11" s="11">
        <f t="shared" si="44"/>
        <v>-68.866048504675604</v>
      </c>
      <c r="BE11" s="11">
        <f t="shared" si="44"/>
        <v>-68.926702808102448</v>
      </c>
      <c r="BF11" s="11">
        <f t="shared" si="44"/>
        <v>-68.988570197597824</v>
      </c>
      <c r="BG11" s="11">
        <f t="shared" si="44"/>
        <v>-69.05167493488311</v>
      </c>
      <c r="BH11" s="11">
        <f t="shared" si="44"/>
        <v>-69.116041766914108</v>
      </c>
      <c r="BI11" s="11">
        <f t="shared" si="44"/>
        <v>-69.181695935585722</v>
      </c>
      <c r="BJ11" s="11">
        <f t="shared" si="44"/>
        <v>-69.248663187630768</v>
      </c>
      <c r="BK11" s="11">
        <f t="shared" si="44"/>
        <v>-69.316969784716733</v>
      </c>
      <c r="BL11" s="11">
        <f t="shared" si="44"/>
        <v>-69.386642513744391</v>
      </c>
      <c r="BM11" s="11">
        <f t="shared" si="44"/>
        <v>-69.457708697352615</v>
      </c>
      <c r="BN11" s="11">
        <f t="shared" si="44"/>
        <v>-69.530196204633</v>
      </c>
      <c r="BO11" s="11">
        <f t="shared" si="44"/>
        <v>-69.604133462058996</v>
      </c>
      <c r="BP11" s="11">
        <f t="shared" si="44"/>
        <v>-69.67954946463351</v>
      </c>
      <c r="BQ11" s="11">
        <f t="shared" si="44"/>
        <v>-69.756473787259509</v>
      </c>
      <c r="BR11" s="11">
        <f t="shared" si="44"/>
        <v>-69.834936596338039</v>
      </c>
      <c r="BS11" s="11">
        <f t="shared" si="44"/>
        <v>-69.914968661598124</v>
      </c>
      <c r="BT11" s="11">
        <f t="shared" si="44"/>
        <v>-69.996601368163425</v>
      </c>
      <c r="BU11" s="11">
        <f t="shared" si="44"/>
        <v>-70.079866728860026</v>
      </c>
      <c r="BV11" s="11">
        <f t="shared" ref="BV11:BX11" si="45">-BV48/1.2-BV51/1.2-BV81-BV82</f>
        <v>-70.164797396770552</v>
      </c>
      <c r="BW11" s="11">
        <f t="shared" si="45"/>
        <v>-70.251426678039309</v>
      </c>
      <c r="BX11" s="11">
        <f t="shared" si="45"/>
        <v>-70.339788544933427</v>
      </c>
      <c r="BY11" s="11">
        <f t="shared" ref="BY11:CK11" si="46">-BY48/1.2-BY51/1.2-BY81-BY82</f>
        <v>-70.429917649165418</v>
      </c>
      <c r="BZ11" s="11">
        <f t="shared" si="46"/>
        <v>-70.521849335482059</v>
      </c>
      <c r="CA11" s="11">
        <f t="shared" si="46"/>
        <v>-70.615619655525038</v>
      </c>
      <c r="CB11" s="11">
        <f t="shared" si="46"/>
        <v>-70.711265381968872</v>
      </c>
      <c r="CC11" s="11">
        <f t="shared" si="46"/>
        <v>-70.808824022941593</v>
      </c>
      <c r="CD11" s="11">
        <f t="shared" si="46"/>
        <v>-70.908333836733746</v>
      </c>
      <c r="CE11" s="11">
        <f t="shared" si="46"/>
        <v>-71.009833846801754</v>
      </c>
      <c r="CF11" s="11">
        <f t="shared" si="46"/>
        <v>-71.113363857071121</v>
      </c>
      <c r="CG11" s="11">
        <f t="shared" si="46"/>
        <v>-71.218964467545874</v>
      </c>
      <c r="CH11" s="11">
        <f t="shared" si="46"/>
        <v>-71.326677090230135</v>
      </c>
      <c r="CI11" s="11">
        <f t="shared" si="46"/>
        <v>-71.43654396536806</v>
      </c>
      <c r="CJ11" s="11">
        <f t="shared" si="46"/>
        <v>-71.548608178008763</v>
      </c>
      <c r="CK11" s="11">
        <f t="shared" si="46"/>
        <v>-71.662913674902271</v>
      </c>
      <c r="CM11" s="11">
        <f t="shared" si="40"/>
        <v>0</v>
      </c>
      <c r="CN11" s="11">
        <f t="shared" si="40"/>
        <v>-449.57546869666669</v>
      </c>
      <c r="CO11" s="11">
        <f t="shared" si="40"/>
        <v>-790.29208836750593</v>
      </c>
      <c r="CP11" s="11">
        <f t="shared" si="40"/>
        <v>-780.82660300153475</v>
      </c>
      <c r="CQ11" s="11">
        <f t="shared" si="40"/>
        <v>-829.09558631093364</v>
      </c>
      <c r="CR11" s="11">
        <f t="shared" si="41"/>
        <v>-839.58265654245326</v>
      </c>
      <c r="CS11" s="11">
        <f t="shared" si="41"/>
        <v>-852.88279731257921</v>
      </c>
    </row>
    <row r="12" spans="2:97" x14ac:dyDescent="0.2">
      <c r="B12" s="90" t="s">
        <v>56</v>
      </c>
      <c r="C12" s="91" t="s">
        <v>4</v>
      </c>
      <c r="D12" s="9"/>
      <c r="F12" s="11">
        <f t="shared" ref="F12:K12" si="47">-F84*0.3</f>
        <v>0</v>
      </c>
      <c r="G12" s="11">
        <f t="shared" si="47"/>
        <v>0</v>
      </c>
      <c r="H12" s="11">
        <f t="shared" si="47"/>
        <v>0</v>
      </c>
      <c r="I12" s="11">
        <f t="shared" si="47"/>
        <v>0</v>
      </c>
      <c r="J12" s="11">
        <f t="shared" si="47"/>
        <v>0</v>
      </c>
      <c r="K12" s="11">
        <f t="shared" si="47"/>
        <v>0</v>
      </c>
      <c r="L12" s="11">
        <f t="shared" ref="L12:AW12" si="48">-L84*0.3</f>
        <v>0</v>
      </c>
      <c r="M12" s="11">
        <f t="shared" si="48"/>
        <v>0</v>
      </c>
      <c r="N12" s="11">
        <f t="shared" si="48"/>
        <v>0</v>
      </c>
      <c r="O12" s="11">
        <f t="shared" si="48"/>
        <v>0</v>
      </c>
      <c r="P12" s="11">
        <f t="shared" si="48"/>
        <v>0</v>
      </c>
      <c r="Q12" s="11">
        <f t="shared" si="48"/>
        <v>0</v>
      </c>
      <c r="R12" s="11">
        <f>-R84*0.3</f>
        <v>0</v>
      </c>
      <c r="S12" s="11">
        <f t="shared" si="48"/>
        <v>0</v>
      </c>
      <c r="T12" s="11">
        <f t="shared" si="48"/>
        <v>0</v>
      </c>
      <c r="U12" s="11">
        <f t="shared" si="48"/>
        <v>-2.4</v>
      </c>
      <c r="V12" s="11">
        <f t="shared" si="48"/>
        <v>-1.7999999999999998</v>
      </c>
      <c r="W12" s="11">
        <f t="shared" si="48"/>
        <v>-11.4</v>
      </c>
      <c r="X12" s="11">
        <f t="shared" si="48"/>
        <v>-24.012982422</v>
      </c>
      <c r="Y12" s="11">
        <f t="shared" si="48"/>
        <v>-18.371914487999998</v>
      </c>
      <c r="Z12" s="11">
        <f t="shared" si="48"/>
        <v>-15.477921257999999</v>
      </c>
      <c r="AA12" s="11">
        <f t="shared" si="48"/>
        <v>-14.761129577999998</v>
      </c>
      <c r="AB12" s="11">
        <f t="shared" si="48"/>
        <v>-10.916466360000001</v>
      </c>
      <c r="AC12" s="11">
        <f t="shared" si="48"/>
        <v>-10.987648998000001</v>
      </c>
      <c r="AD12" s="11">
        <f t="shared" si="48"/>
        <v>-10.5</v>
      </c>
      <c r="AE12" s="11">
        <f t="shared" si="48"/>
        <v>-15</v>
      </c>
      <c r="AF12" s="11">
        <f t="shared" si="48"/>
        <v>-15</v>
      </c>
      <c r="AG12" s="11">
        <f t="shared" si="48"/>
        <v>-15</v>
      </c>
      <c r="AH12" s="11">
        <f t="shared" si="48"/>
        <v>-15.5120314479</v>
      </c>
      <c r="AI12" s="11">
        <f t="shared" si="48"/>
        <v>-15.537633020294999</v>
      </c>
      <c r="AJ12" s="11">
        <f t="shared" si="48"/>
        <v>-12.56451467130975</v>
      </c>
      <c r="AK12" s="11">
        <f t="shared" si="48"/>
        <v>-12.592740404875238</v>
      </c>
      <c r="AL12" s="11">
        <f t="shared" si="48"/>
        <v>-12.622377425119</v>
      </c>
      <c r="AM12" s="11">
        <f t="shared" si="48"/>
        <v>-12.653496296374948</v>
      </c>
      <c r="AN12" s="11">
        <f t="shared" si="48"/>
        <v>-12.686171111193696</v>
      </c>
      <c r="AO12" s="11">
        <f t="shared" si="48"/>
        <v>-12.720479666753382</v>
      </c>
      <c r="AP12" s="11">
        <f t="shared" si="48"/>
        <v>-12.734889260088449</v>
      </c>
      <c r="AQ12" s="11">
        <f t="shared" si="48"/>
        <v>-12.749587045290218</v>
      </c>
      <c r="AR12" s="11">
        <f t="shared" si="48"/>
        <v>-12.764578786196022</v>
      </c>
      <c r="AS12" s="11">
        <f t="shared" si="48"/>
        <v>-12.779870361919945</v>
      </c>
      <c r="AT12" s="11">
        <f t="shared" si="48"/>
        <v>-12.795467769158341</v>
      </c>
      <c r="AU12" s="11">
        <f t="shared" si="48"/>
        <v>-12.811377124541508</v>
      </c>
      <c r="AV12" s="11">
        <f t="shared" si="48"/>
        <v>-12.827604667032338</v>
      </c>
      <c r="AW12" s="11">
        <f t="shared" si="48"/>
        <v>-12.844156760372984</v>
      </c>
      <c r="AX12" s="11">
        <f t="shared" ref="AX12:BU12" si="49">-AX84*0.3</f>
        <v>-14.361039895580445</v>
      </c>
      <c r="AY12" s="11">
        <f t="shared" si="49"/>
        <v>-14.378260693492054</v>
      </c>
      <c r="AZ12" s="11">
        <f t="shared" si="49"/>
        <v>-14.395825907361896</v>
      </c>
      <c r="BA12" s="11">
        <f t="shared" si="49"/>
        <v>-14.413742425509133</v>
      </c>
      <c r="BB12" s="11">
        <f t="shared" si="49"/>
        <v>-14.432017274019316</v>
      </c>
      <c r="BC12" s="11">
        <f t="shared" si="49"/>
        <v>-14.450657619499703</v>
      </c>
      <c r="BD12" s="11">
        <f t="shared" si="49"/>
        <v>-14.469670771889696</v>
      </c>
      <c r="BE12" s="11">
        <f t="shared" si="49"/>
        <v>-14.489064187327491</v>
      </c>
      <c r="BF12" s="11">
        <f t="shared" si="49"/>
        <v>-14.508845471074039</v>
      </c>
      <c r="BG12" s="11">
        <f t="shared" si="49"/>
        <v>-14.529022380495521</v>
      </c>
      <c r="BH12" s="11">
        <f t="shared" si="49"/>
        <v>-14.549602828105433</v>
      </c>
      <c r="BI12" s="11">
        <f t="shared" si="49"/>
        <v>-14.570594884667541</v>
      </c>
      <c r="BJ12" s="11">
        <f t="shared" si="49"/>
        <v>-14.59200678236089</v>
      </c>
      <c r="BK12" s="11">
        <f t="shared" si="49"/>
        <v>-14.613846918008107</v>
      </c>
      <c r="BL12" s="11">
        <f t="shared" si="49"/>
        <v>-14.63612385636827</v>
      </c>
      <c r="BM12" s="11">
        <f t="shared" si="49"/>
        <v>-14.658846333495637</v>
      </c>
      <c r="BN12" s="11">
        <f t="shared" si="49"/>
        <v>-14.68202326016555</v>
      </c>
      <c r="BO12" s="11">
        <f t="shared" si="49"/>
        <v>-14.70566372536886</v>
      </c>
      <c r="BP12" s="11">
        <f t="shared" si="49"/>
        <v>-14.729776999876236</v>
      </c>
      <c r="BQ12" s="11">
        <f t="shared" si="49"/>
        <v>-14.754372539873764</v>
      </c>
      <c r="BR12" s="11">
        <f t="shared" si="49"/>
        <v>-14.779459990671237</v>
      </c>
      <c r="BS12" s="11">
        <f t="shared" si="49"/>
        <v>-14.805049190484663</v>
      </c>
      <c r="BT12" s="11">
        <f t="shared" si="49"/>
        <v>-14.831150174294354</v>
      </c>
      <c r="BU12" s="11">
        <f t="shared" si="49"/>
        <v>-14.857773177780242</v>
      </c>
      <c r="BV12" s="11">
        <f t="shared" ref="BV12:BX12" si="50">-BV84*0.3</f>
        <v>-14.884928641335847</v>
      </c>
      <c r="BW12" s="11">
        <f t="shared" si="50"/>
        <v>-14.912627214162564</v>
      </c>
      <c r="BX12" s="11">
        <f t="shared" si="50"/>
        <v>-14.940879758445817</v>
      </c>
      <c r="BY12" s="11">
        <f t="shared" ref="BY12:CK12" si="51">-BY84*0.3</f>
        <v>-14.969697353614732</v>
      </c>
      <c r="BZ12" s="11">
        <f t="shared" si="51"/>
        <v>-14.999091300687025</v>
      </c>
      <c r="CA12" s="11">
        <f t="shared" si="51"/>
        <v>-15.029073126700768</v>
      </c>
      <c r="CB12" s="11">
        <f t="shared" si="51"/>
        <v>-15.059654589234784</v>
      </c>
      <c r="CC12" s="11">
        <f t="shared" si="51"/>
        <v>-15.090847681019479</v>
      </c>
      <c r="CD12" s="11">
        <f t="shared" si="51"/>
        <v>-15.12266463463987</v>
      </c>
      <c r="CE12" s="11">
        <f t="shared" si="51"/>
        <v>-15.155117927332666</v>
      </c>
      <c r="CF12" s="11">
        <f t="shared" si="51"/>
        <v>-15.18822028587932</v>
      </c>
      <c r="CG12" s="11">
        <f t="shared" si="51"/>
        <v>-15.221984691596907</v>
      </c>
      <c r="CH12" s="11">
        <f t="shared" si="51"/>
        <v>-15.256424385428843</v>
      </c>
      <c r="CI12" s="11">
        <f t="shared" si="51"/>
        <v>-15.291552873137421</v>
      </c>
      <c r="CJ12" s="11">
        <f t="shared" si="51"/>
        <v>-15.32738393060017</v>
      </c>
      <c r="CK12" s="11">
        <f t="shared" si="51"/>
        <v>-15.363931609212171</v>
      </c>
      <c r="CM12" s="11">
        <f t="shared" si="40"/>
        <v>0</v>
      </c>
      <c r="CN12" s="11">
        <f t="shared" si="40"/>
        <v>-110.12806310399999</v>
      </c>
      <c r="CO12" s="11">
        <f t="shared" si="40"/>
        <v>-162.38944404382102</v>
      </c>
      <c r="CP12" s="11">
        <f t="shared" si="40"/>
        <v>-159.85640069654332</v>
      </c>
      <c r="CQ12" s="11">
        <f t="shared" si="40"/>
        <v>-174.50029930731165</v>
      </c>
      <c r="CR12" s="11">
        <f t="shared" si="41"/>
        <v>-177.85340202607387</v>
      </c>
      <c r="CS12" s="11">
        <f t="shared" si="41"/>
        <v>-182.10594703546943</v>
      </c>
    </row>
    <row r="13" spans="2:97" x14ac:dyDescent="0.2">
      <c r="B13" s="92"/>
      <c r="C13" s="91"/>
      <c r="D13" s="9"/>
    </row>
    <row r="14" spans="2:97" s="12" customFormat="1" x14ac:dyDescent="0.2">
      <c r="B14" s="88" t="s">
        <v>54</v>
      </c>
      <c r="C14" s="89" t="s">
        <v>4</v>
      </c>
      <c r="D14" s="13"/>
      <c r="E14" s="8"/>
      <c r="F14" s="14">
        <f t="shared" ref="F14:K14" si="52">SUM(F7,F10:F12)</f>
        <v>0</v>
      </c>
      <c r="G14" s="14">
        <f t="shared" si="52"/>
        <v>0</v>
      </c>
      <c r="H14" s="14">
        <f t="shared" si="52"/>
        <v>0</v>
      </c>
      <c r="I14" s="14">
        <f t="shared" si="52"/>
        <v>0</v>
      </c>
      <c r="J14" s="14">
        <f t="shared" si="52"/>
        <v>0</v>
      </c>
      <c r="K14" s="14">
        <f t="shared" si="52"/>
        <v>0</v>
      </c>
      <c r="L14" s="14">
        <f>SUM(L7,L10:L12)</f>
        <v>0</v>
      </c>
      <c r="M14" s="14">
        <f t="shared" ref="M14:CO14" si="53">SUM(M7,M10:M12)</f>
        <v>0</v>
      </c>
      <c r="N14" s="14">
        <f t="shared" si="53"/>
        <v>0</v>
      </c>
      <c r="O14" s="14">
        <f t="shared" si="53"/>
        <v>0</v>
      </c>
      <c r="P14" s="14">
        <f t="shared" si="53"/>
        <v>0</v>
      </c>
      <c r="Q14" s="14">
        <f t="shared" si="53"/>
        <v>0</v>
      </c>
      <c r="R14" s="14">
        <f t="shared" si="53"/>
        <v>0</v>
      </c>
      <c r="S14" s="14">
        <f t="shared" si="53"/>
        <v>0</v>
      </c>
      <c r="T14" s="14">
        <f t="shared" si="53"/>
        <v>1.7357936666666627</v>
      </c>
      <c r="U14" s="14">
        <f t="shared" si="53"/>
        <v>-11.062169583333347</v>
      </c>
      <c r="V14" s="14">
        <f t="shared" si="53"/>
        <v>-7.6454186666666653</v>
      </c>
      <c r="W14" s="14">
        <f t="shared" si="53"/>
        <v>-13.366666666666658</v>
      </c>
      <c r="X14" s="14">
        <f t="shared" si="53"/>
        <v>87.180115171333398</v>
      </c>
      <c r="Y14" s="14">
        <f t="shared" si="53"/>
        <v>30.374793218666699</v>
      </c>
      <c r="Z14" s="14">
        <f t="shared" si="53"/>
        <v>-28.705871118000001</v>
      </c>
      <c r="AA14" s="14">
        <f t="shared" si="53"/>
        <v>-35.923933837999982</v>
      </c>
      <c r="AB14" s="14">
        <f t="shared" si="53"/>
        <v>-74.639534226666683</v>
      </c>
      <c r="AC14" s="14">
        <f t="shared" si="53"/>
        <v>-73.922727991333346</v>
      </c>
      <c r="AD14" s="14">
        <f t="shared" si="53"/>
        <v>-78.833333333333343</v>
      </c>
      <c r="AE14" s="14">
        <f t="shared" si="53"/>
        <v>-98.333333333333343</v>
      </c>
      <c r="AF14" s="14">
        <f t="shared" si="53"/>
        <v>-98.333333333333343</v>
      </c>
      <c r="AG14" s="14">
        <f t="shared" si="53"/>
        <v>-98.333333333333343</v>
      </c>
      <c r="AH14" s="14">
        <f t="shared" si="53"/>
        <v>-93.177197724233338</v>
      </c>
      <c r="AI14" s="14">
        <f t="shared" si="53"/>
        <v>-92.919390943778325</v>
      </c>
      <c r="AJ14" s="14">
        <f t="shared" si="53"/>
        <v>-79.64869382430058</v>
      </c>
      <c r="AK14" s="14">
        <f t="shared" si="53"/>
        <v>-79.364461848848961</v>
      </c>
      <c r="AL14" s="14">
        <f t="shared" si="53"/>
        <v>-79.066018274624724</v>
      </c>
      <c r="AM14" s="14">
        <f t="shared" si="53"/>
        <v>-78.752652521689299</v>
      </c>
      <c r="AN14" s="14">
        <f t="shared" si="53"/>
        <v>-78.423618481107098</v>
      </c>
      <c r="AO14" s="14">
        <f t="shared" si="53"/>
        <v>-78.078132738495768</v>
      </c>
      <c r="AP14" s="14">
        <f t="shared" si="53"/>
        <v>-77.933028726599019</v>
      </c>
      <c r="AQ14" s="14">
        <f t="shared" si="53"/>
        <v>-77.78502263446434</v>
      </c>
      <c r="AR14" s="14">
        <f t="shared" si="53"/>
        <v>-77.634056420486971</v>
      </c>
      <c r="AS14" s="14">
        <f t="shared" si="53"/>
        <v>-77.480070882230038</v>
      </c>
      <c r="AT14" s="14">
        <f t="shared" si="53"/>
        <v>-77.32300563320797</v>
      </c>
      <c r="AU14" s="14">
        <f t="shared" si="53"/>
        <v>-77.162799079205456</v>
      </c>
      <c r="AV14" s="14">
        <f t="shared" si="53"/>
        <v>-76.999388394122889</v>
      </c>
      <c r="AW14" s="14">
        <f t="shared" si="53"/>
        <v>-76.83270949533869</v>
      </c>
      <c r="AX14" s="14">
        <f t="shared" ref="AX14:BU14" si="54">SUM(AX7,AX10:AX12)</f>
        <v>-83.162697018578811</v>
      </c>
      <c r="AY14" s="14">
        <f t="shared" si="54"/>
        <v>-82.989284292283713</v>
      </c>
      <c r="AZ14" s="14">
        <f t="shared" si="54"/>
        <v>-82.812403311462717</v>
      </c>
      <c r="BA14" s="14">
        <f t="shared" si="54"/>
        <v>-82.631984711025297</v>
      </c>
      <c r="BB14" s="14">
        <f t="shared" si="54"/>
        <v>-81.489092230328822</v>
      </c>
      <c r="BC14" s="14">
        <f t="shared" si="54"/>
        <v>-81.282207408268732</v>
      </c>
      <c r="BD14" s="14">
        <f t="shared" si="54"/>
        <v>-81.071184889767451</v>
      </c>
      <c r="BE14" s="14">
        <f t="shared" si="54"/>
        <v>-80.855941920896115</v>
      </c>
      <c r="BF14" s="14">
        <f t="shared" si="54"/>
        <v>-80.636394092647365</v>
      </c>
      <c r="BG14" s="14">
        <f t="shared" si="54"/>
        <v>-80.412455307833653</v>
      </c>
      <c r="BH14" s="14">
        <f t="shared" si="54"/>
        <v>-80.184037747323657</v>
      </c>
      <c r="BI14" s="14">
        <f t="shared" si="54"/>
        <v>-79.951051835603465</v>
      </c>
      <c r="BJ14" s="14">
        <f t="shared" si="54"/>
        <v>-79.713406205648852</v>
      </c>
      <c r="BK14" s="14">
        <f t="shared" si="54"/>
        <v>-79.471007663095179</v>
      </c>
      <c r="BL14" s="14">
        <f t="shared" si="54"/>
        <v>-79.223761149690418</v>
      </c>
      <c r="BM14" s="14">
        <f t="shared" si="54"/>
        <v>-78.971569706017561</v>
      </c>
      <c r="BN14" s="14">
        <f t="shared" si="54"/>
        <v>-78.714334433471237</v>
      </c>
      <c r="BO14" s="14">
        <f t="shared" si="54"/>
        <v>-78.451954455474009</v>
      </c>
      <c r="BP14" s="14">
        <f t="shared" si="54"/>
        <v>-78.184326877916817</v>
      </c>
      <c r="BQ14" s="14">
        <f t="shared" si="54"/>
        <v>-77.911346748808484</v>
      </c>
      <c r="BR14" s="14">
        <f t="shared" si="54"/>
        <v>-77.632907017118001</v>
      </c>
      <c r="BS14" s="14">
        <f t="shared" si="54"/>
        <v>-77.348898490793687</v>
      </c>
      <c r="BT14" s="14">
        <f t="shared" si="54"/>
        <v>-77.059209793942898</v>
      </c>
      <c r="BU14" s="14">
        <f t="shared" si="54"/>
        <v>-76.763727323155081</v>
      </c>
      <c r="BV14" s="14">
        <f t="shared" ref="BV14:BX14" si="55">SUM(BV7,BV10:BV12)</f>
        <v>-76.462335202951508</v>
      </c>
      <c r="BW14" s="14">
        <f t="shared" si="55"/>
        <v>-76.154915240343882</v>
      </c>
      <c r="BX14" s="14">
        <f t="shared" si="55"/>
        <v>-75.841346878484089</v>
      </c>
      <c r="BY14" s="14">
        <f t="shared" ref="BY14:CK14" si="56">SUM(BY7,BY10:BY12)</f>
        <v>-75.521507149387091</v>
      </c>
      <c r="BZ14" s="14">
        <f t="shared" si="56"/>
        <v>-75.195270625708162</v>
      </c>
      <c r="CA14" s="14">
        <f t="shared" si="56"/>
        <v>-74.86250937155566</v>
      </c>
      <c r="CB14" s="14">
        <f t="shared" si="56"/>
        <v>-74.523092892320122</v>
      </c>
      <c r="CC14" s="14">
        <f t="shared" si="56"/>
        <v>-74.176888083499875</v>
      </c>
      <c r="CD14" s="14">
        <f t="shared" si="56"/>
        <v>-73.823759178503181</v>
      </c>
      <c r="CE14" s="14">
        <f t="shared" si="56"/>
        <v>-73.463567695406567</v>
      </c>
      <c r="CF14" s="14">
        <f t="shared" si="56"/>
        <v>-73.096172382648064</v>
      </c>
      <c r="CG14" s="14">
        <f t="shared" si="56"/>
        <v>-72.721429163634326</v>
      </c>
      <c r="CH14" s="14">
        <f t="shared" si="56"/>
        <v>-72.339191080240354</v>
      </c>
      <c r="CI14" s="14">
        <f t="shared" si="56"/>
        <v>-71.949308235178506</v>
      </c>
      <c r="CJ14" s="14">
        <f t="shared" si="56"/>
        <v>-71.551627733215412</v>
      </c>
      <c r="CK14" s="14">
        <f t="shared" si="56"/>
        <v>-71.145993621213037</v>
      </c>
      <c r="CM14" s="14">
        <f t="shared" si="53"/>
        <v>0</v>
      </c>
      <c r="CN14" s="14">
        <f t="shared" si="53"/>
        <v>-125.97562003400033</v>
      </c>
      <c r="CO14" s="14">
        <f t="shared" si="53"/>
        <v>-1033.2634996904112</v>
      </c>
      <c r="CP14" s="14">
        <f t="shared" ref="CP14:CQ14" si="57">SUM(CP7,CP10:CP12)</f>
        <v>-950.74645059900593</v>
      </c>
      <c r="CQ14" s="14">
        <f t="shared" si="57"/>
        <v>-963.26211015712147</v>
      </c>
      <c r="CR14" s="14">
        <f t="shared" ref="CR14:CS14" si="58">SUM(CR7,CR10:CR12)</f>
        <v>-926.04680961184658</v>
      </c>
      <c r="CS14" s="14">
        <f t="shared" si="58"/>
        <v>-878.84881006312355</v>
      </c>
    </row>
    <row r="15" spans="2:97" x14ac:dyDescent="0.2">
      <c r="B15" s="92"/>
      <c r="C15" s="91"/>
      <c r="D15" s="9"/>
    </row>
    <row r="16" spans="2:97" hidden="1" x14ac:dyDescent="0.2">
      <c r="B16" s="224" t="s">
        <v>55</v>
      </c>
      <c r="C16" s="91" t="s">
        <v>4</v>
      </c>
      <c r="D16" s="9"/>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M16" s="11">
        <f>SUMIF($L$2:$CK$2,CM$3,$L16:$CK16)</f>
        <v>0</v>
      </c>
      <c r="CN16" s="11">
        <f>SUMIF($L$2:$CK$2,CN$3,$L16:$CK16)</f>
        <v>0</v>
      </c>
      <c r="CO16" s="11">
        <f>SUMIF($L$2:$CK$2,CO$3,$L16:$CK16)</f>
        <v>0</v>
      </c>
      <c r="CP16" s="11">
        <f>SUMIF($L$2:$CK$2,CP$3,$L16:$CK16)</f>
        <v>0</v>
      </c>
      <c r="CQ16" s="11">
        <f>SUMIF($L$2:$CK$2,CQ$3,$L16:$CK16)</f>
        <v>0</v>
      </c>
      <c r="CR16" s="11">
        <f t="shared" ref="CR16:CS16" si="59">SUMIF($L$2:$CK$2,CR$3,$L16:$CK16)</f>
        <v>0</v>
      </c>
      <c r="CS16" s="11">
        <f t="shared" si="59"/>
        <v>0</v>
      </c>
    </row>
    <row r="17" spans="1:97" hidden="1" x14ac:dyDescent="0.2">
      <c r="B17" s="92"/>
      <c r="C17" s="91"/>
      <c r="D17" s="9"/>
    </row>
    <row r="18" spans="1:97" s="12" customFormat="1" x14ac:dyDescent="0.2">
      <c r="B18" s="88" t="s">
        <v>61</v>
      </c>
      <c r="C18" s="89" t="s">
        <v>4</v>
      </c>
      <c r="D18" s="13"/>
      <c r="E18" s="8"/>
      <c r="F18" s="14">
        <f t="shared" ref="F18:K18" si="60">SUM(F14,F16)</f>
        <v>0</v>
      </c>
      <c r="G18" s="14">
        <f t="shared" si="60"/>
        <v>0</v>
      </c>
      <c r="H18" s="14">
        <f t="shared" si="60"/>
        <v>0</v>
      </c>
      <c r="I18" s="14">
        <f t="shared" si="60"/>
        <v>0</v>
      </c>
      <c r="J18" s="14">
        <f t="shared" si="60"/>
        <v>0</v>
      </c>
      <c r="K18" s="14">
        <f t="shared" si="60"/>
        <v>0</v>
      </c>
      <c r="L18" s="14">
        <f>SUM(L14,L16)</f>
        <v>0</v>
      </c>
      <c r="M18" s="14">
        <f t="shared" ref="M18:AW18" si="61">SUM(M14,M16)</f>
        <v>0</v>
      </c>
      <c r="N18" s="14">
        <f t="shared" si="61"/>
        <v>0</v>
      </c>
      <c r="O18" s="14">
        <f t="shared" si="61"/>
        <v>0</v>
      </c>
      <c r="P18" s="14">
        <f t="shared" si="61"/>
        <v>0</v>
      </c>
      <c r="Q18" s="14">
        <f t="shared" si="61"/>
        <v>0</v>
      </c>
      <c r="R18" s="14">
        <f t="shared" si="61"/>
        <v>0</v>
      </c>
      <c r="S18" s="14">
        <f t="shared" si="61"/>
        <v>0</v>
      </c>
      <c r="T18" s="14">
        <f t="shared" si="61"/>
        <v>1.7357936666666627</v>
      </c>
      <c r="U18" s="14">
        <f t="shared" si="61"/>
        <v>-11.062169583333347</v>
      </c>
      <c r="V18" s="14">
        <f t="shared" si="61"/>
        <v>-7.6454186666666653</v>
      </c>
      <c r="W18" s="14">
        <f t="shared" si="61"/>
        <v>-13.366666666666658</v>
      </c>
      <c r="X18" s="14">
        <f t="shared" si="61"/>
        <v>87.180115171333398</v>
      </c>
      <c r="Y18" s="14">
        <f t="shared" si="61"/>
        <v>30.374793218666699</v>
      </c>
      <c r="Z18" s="14">
        <f t="shared" si="61"/>
        <v>-28.705871118000001</v>
      </c>
      <c r="AA18" s="14">
        <f t="shared" si="61"/>
        <v>-35.923933837999982</v>
      </c>
      <c r="AB18" s="14">
        <f t="shared" si="61"/>
        <v>-74.639534226666683</v>
      </c>
      <c r="AC18" s="14">
        <f t="shared" si="61"/>
        <v>-73.922727991333346</v>
      </c>
      <c r="AD18" s="14">
        <f t="shared" si="61"/>
        <v>-78.833333333333343</v>
      </c>
      <c r="AE18" s="14">
        <f t="shared" si="61"/>
        <v>-98.333333333333343</v>
      </c>
      <c r="AF18" s="14">
        <f t="shared" si="61"/>
        <v>-98.333333333333343</v>
      </c>
      <c r="AG18" s="14">
        <f t="shared" si="61"/>
        <v>-98.333333333333343</v>
      </c>
      <c r="AH18" s="14">
        <f t="shared" si="61"/>
        <v>-93.177197724233338</v>
      </c>
      <c r="AI18" s="14">
        <f t="shared" si="61"/>
        <v>-92.919390943778325</v>
      </c>
      <c r="AJ18" s="14">
        <f t="shared" si="61"/>
        <v>-79.64869382430058</v>
      </c>
      <c r="AK18" s="14">
        <f t="shared" si="61"/>
        <v>-79.364461848848961</v>
      </c>
      <c r="AL18" s="14">
        <f t="shared" si="61"/>
        <v>-79.066018274624724</v>
      </c>
      <c r="AM18" s="14">
        <f t="shared" si="61"/>
        <v>-78.752652521689299</v>
      </c>
      <c r="AN18" s="14">
        <f t="shared" si="61"/>
        <v>-78.423618481107098</v>
      </c>
      <c r="AO18" s="14">
        <f t="shared" si="61"/>
        <v>-78.078132738495768</v>
      </c>
      <c r="AP18" s="14">
        <f t="shared" si="61"/>
        <v>-77.933028726599019</v>
      </c>
      <c r="AQ18" s="14">
        <f t="shared" si="61"/>
        <v>-77.78502263446434</v>
      </c>
      <c r="AR18" s="14">
        <f t="shared" si="61"/>
        <v>-77.634056420486971</v>
      </c>
      <c r="AS18" s="14">
        <f t="shared" si="61"/>
        <v>-77.480070882230038</v>
      </c>
      <c r="AT18" s="14">
        <f t="shared" si="61"/>
        <v>-77.32300563320797</v>
      </c>
      <c r="AU18" s="14">
        <f t="shared" si="61"/>
        <v>-77.162799079205456</v>
      </c>
      <c r="AV18" s="14">
        <f t="shared" si="61"/>
        <v>-76.999388394122889</v>
      </c>
      <c r="AW18" s="14">
        <f t="shared" si="61"/>
        <v>-76.83270949533869</v>
      </c>
      <c r="AX18" s="14">
        <f t="shared" ref="AX18:BU18" si="62">SUM(AX14,AX16)</f>
        <v>-83.162697018578811</v>
      </c>
      <c r="AY18" s="14">
        <f t="shared" si="62"/>
        <v>-82.989284292283713</v>
      </c>
      <c r="AZ18" s="14">
        <f t="shared" si="62"/>
        <v>-82.812403311462717</v>
      </c>
      <c r="BA18" s="14">
        <f t="shared" si="62"/>
        <v>-82.631984711025297</v>
      </c>
      <c r="BB18" s="14">
        <f t="shared" si="62"/>
        <v>-81.489092230328822</v>
      </c>
      <c r="BC18" s="14">
        <f t="shared" si="62"/>
        <v>-81.282207408268732</v>
      </c>
      <c r="BD18" s="14">
        <f t="shared" si="62"/>
        <v>-81.071184889767451</v>
      </c>
      <c r="BE18" s="14">
        <f t="shared" si="62"/>
        <v>-80.855941920896115</v>
      </c>
      <c r="BF18" s="14">
        <f t="shared" si="62"/>
        <v>-80.636394092647365</v>
      </c>
      <c r="BG18" s="14">
        <f t="shared" si="62"/>
        <v>-80.412455307833653</v>
      </c>
      <c r="BH18" s="14">
        <f t="shared" si="62"/>
        <v>-80.184037747323657</v>
      </c>
      <c r="BI18" s="14">
        <f t="shared" si="62"/>
        <v>-79.951051835603465</v>
      </c>
      <c r="BJ18" s="14">
        <f t="shared" si="62"/>
        <v>-79.713406205648852</v>
      </c>
      <c r="BK18" s="14">
        <f t="shared" si="62"/>
        <v>-79.471007663095179</v>
      </c>
      <c r="BL18" s="14">
        <f t="shared" si="62"/>
        <v>-79.223761149690418</v>
      </c>
      <c r="BM18" s="14">
        <f t="shared" si="62"/>
        <v>-78.971569706017561</v>
      </c>
      <c r="BN18" s="14">
        <f t="shared" si="62"/>
        <v>-78.714334433471237</v>
      </c>
      <c r="BO18" s="14">
        <f t="shared" si="62"/>
        <v>-78.451954455474009</v>
      </c>
      <c r="BP18" s="14">
        <f t="shared" si="62"/>
        <v>-78.184326877916817</v>
      </c>
      <c r="BQ18" s="14">
        <f t="shared" si="62"/>
        <v>-77.911346748808484</v>
      </c>
      <c r="BR18" s="14">
        <f t="shared" si="62"/>
        <v>-77.632907017118001</v>
      </c>
      <c r="BS18" s="14">
        <f t="shared" si="62"/>
        <v>-77.348898490793687</v>
      </c>
      <c r="BT18" s="14">
        <f t="shared" si="62"/>
        <v>-77.059209793942898</v>
      </c>
      <c r="BU18" s="14">
        <f t="shared" si="62"/>
        <v>-76.763727323155081</v>
      </c>
      <c r="BV18" s="14">
        <f t="shared" ref="BV18:BX18" si="63">SUM(BV14,BV16)</f>
        <v>-76.462335202951508</v>
      </c>
      <c r="BW18" s="14">
        <f t="shared" si="63"/>
        <v>-76.154915240343882</v>
      </c>
      <c r="BX18" s="14">
        <f t="shared" si="63"/>
        <v>-75.841346878484089</v>
      </c>
      <c r="BY18" s="14">
        <f t="shared" ref="BY18:CK18" si="64">SUM(BY14,BY16)</f>
        <v>-75.521507149387091</v>
      </c>
      <c r="BZ18" s="14">
        <f t="shared" si="64"/>
        <v>-75.195270625708162</v>
      </c>
      <c r="CA18" s="14">
        <f t="shared" si="64"/>
        <v>-74.86250937155566</v>
      </c>
      <c r="CB18" s="14">
        <f t="shared" si="64"/>
        <v>-74.523092892320122</v>
      </c>
      <c r="CC18" s="14">
        <f t="shared" si="64"/>
        <v>-74.176888083499875</v>
      </c>
      <c r="CD18" s="14">
        <f t="shared" si="64"/>
        <v>-73.823759178503181</v>
      </c>
      <c r="CE18" s="14">
        <f t="shared" si="64"/>
        <v>-73.463567695406567</v>
      </c>
      <c r="CF18" s="14">
        <f t="shared" si="64"/>
        <v>-73.096172382648064</v>
      </c>
      <c r="CG18" s="14">
        <f t="shared" si="64"/>
        <v>-72.721429163634326</v>
      </c>
      <c r="CH18" s="14">
        <f t="shared" si="64"/>
        <v>-72.339191080240354</v>
      </c>
      <c r="CI18" s="14">
        <f t="shared" si="64"/>
        <v>-71.949308235178506</v>
      </c>
      <c r="CJ18" s="14">
        <f t="shared" si="64"/>
        <v>-71.551627733215412</v>
      </c>
      <c r="CK18" s="14">
        <f t="shared" si="64"/>
        <v>-71.145993621213037</v>
      </c>
      <c r="CM18" s="14">
        <f>SUM(CM14,CM16)</f>
        <v>0</v>
      </c>
      <c r="CN18" s="14">
        <f t="shared" ref="CN18:CO18" si="65">SUM(CN14,CN16)</f>
        <v>-125.97562003400033</v>
      </c>
      <c r="CO18" s="14">
        <f t="shared" si="65"/>
        <v>-1033.2634996904112</v>
      </c>
      <c r="CP18" s="14">
        <f t="shared" ref="CP18:CQ18" si="66">SUM(CP14,CP16)</f>
        <v>-950.74645059900593</v>
      </c>
      <c r="CQ18" s="14">
        <f t="shared" si="66"/>
        <v>-963.26211015712147</v>
      </c>
      <c r="CR18" s="14">
        <f t="shared" ref="CR18:CS18" si="67">SUM(CR14,CR16)</f>
        <v>-926.04680961184658</v>
      </c>
      <c r="CS18" s="14">
        <f t="shared" si="67"/>
        <v>-878.84881006312355</v>
      </c>
    </row>
    <row r="19" spans="1:97" x14ac:dyDescent="0.2">
      <c r="B19" s="92"/>
      <c r="C19" s="91"/>
      <c r="D19" s="9"/>
    </row>
    <row r="20" spans="1:97" x14ac:dyDescent="0.2">
      <c r="B20" s="90" t="s">
        <v>63</v>
      </c>
      <c r="C20" s="91" t="s">
        <v>4</v>
      </c>
      <c r="D20" s="9"/>
    </row>
    <row r="21" spans="1:97" x14ac:dyDescent="0.2">
      <c r="B21" s="92"/>
      <c r="C21" s="91"/>
      <c r="D21" s="9"/>
    </row>
    <row r="22" spans="1:97" s="12" customFormat="1" x14ac:dyDescent="0.2">
      <c r="B22" s="88" t="s">
        <v>62</v>
      </c>
      <c r="C22" s="89" t="s">
        <v>4</v>
      </c>
      <c r="D22" s="13"/>
      <c r="E22" s="8"/>
      <c r="F22" s="14">
        <f t="shared" ref="F22:K22" si="68">F18+F20</f>
        <v>0</v>
      </c>
      <c r="G22" s="14">
        <f t="shared" si="68"/>
        <v>0</v>
      </c>
      <c r="H22" s="14">
        <f t="shared" si="68"/>
        <v>0</v>
      </c>
      <c r="I22" s="14">
        <f t="shared" si="68"/>
        <v>0</v>
      </c>
      <c r="J22" s="14">
        <f t="shared" si="68"/>
        <v>0</v>
      </c>
      <c r="K22" s="14">
        <f t="shared" si="68"/>
        <v>0</v>
      </c>
      <c r="L22" s="14">
        <f>L18+L20</f>
        <v>0</v>
      </c>
      <c r="M22" s="14">
        <f t="shared" ref="M22:AW22" si="69">M18+M20</f>
        <v>0</v>
      </c>
      <c r="N22" s="14">
        <f t="shared" si="69"/>
        <v>0</v>
      </c>
      <c r="O22" s="14">
        <f t="shared" si="69"/>
        <v>0</v>
      </c>
      <c r="P22" s="14">
        <f t="shared" si="69"/>
        <v>0</v>
      </c>
      <c r="Q22" s="14">
        <f t="shared" si="69"/>
        <v>0</v>
      </c>
      <c r="R22" s="14">
        <f t="shared" si="69"/>
        <v>0</v>
      </c>
      <c r="S22" s="14">
        <f t="shared" si="69"/>
        <v>0</v>
      </c>
      <c r="T22" s="14">
        <f t="shared" si="69"/>
        <v>1.7357936666666627</v>
      </c>
      <c r="U22" s="14">
        <f t="shared" si="69"/>
        <v>-11.062169583333347</v>
      </c>
      <c r="V22" s="14">
        <f t="shared" si="69"/>
        <v>-7.6454186666666653</v>
      </c>
      <c r="W22" s="14">
        <f t="shared" si="69"/>
        <v>-13.366666666666658</v>
      </c>
      <c r="X22" s="14">
        <f t="shared" si="69"/>
        <v>87.180115171333398</v>
      </c>
      <c r="Y22" s="14">
        <f t="shared" si="69"/>
        <v>30.374793218666699</v>
      </c>
      <c r="Z22" s="14">
        <f t="shared" si="69"/>
        <v>-28.705871118000001</v>
      </c>
      <c r="AA22" s="14">
        <f t="shared" si="69"/>
        <v>-35.923933837999982</v>
      </c>
      <c r="AB22" s="14">
        <f t="shared" si="69"/>
        <v>-74.639534226666683</v>
      </c>
      <c r="AC22" s="14">
        <f t="shared" si="69"/>
        <v>-73.922727991333346</v>
      </c>
      <c r="AD22" s="14">
        <f t="shared" si="69"/>
        <v>-78.833333333333343</v>
      </c>
      <c r="AE22" s="14">
        <f t="shared" si="69"/>
        <v>-98.333333333333343</v>
      </c>
      <c r="AF22" s="14">
        <f t="shared" si="69"/>
        <v>-98.333333333333343</v>
      </c>
      <c r="AG22" s="14">
        <f t="shared" si="69"/>
        <v>-98.333333333333343</v>
      </c>
      <c r="AH22" s="14">
        <f t="shared" si="69"/>
        <v>-93.177197724233338</v>
      </c>
      <c r="AI22" s="14">
        <f t="shared" si="69"/>
        <v>-92.919390943778325</v>
      </c>
      <c r="AJ22" s="14">
        <f t="shared" si="69"/>
        <v>-79.64869382430058</v>
      </c>
      <c r="AK22" s="14">
        <f t="shared" si="69"/>
        <v>-79.364461848848961</v>
      </c>
      <c r="AL22" s="14">
        <f t="shared" si="69"/>
        <v>-79.066018274624724</v>
      </c>
      <c r="AM22" s="14">
        <f t="shared" si="69"/>
        <v>-78.752652521689299</v>
      </c>
      <c r="AN22" s="14">
        <f t="shared" si="69"/>
        <v>-78.423618481107098</v>
      </c>
      <c r="AO22" s="14">
        <f t="shared" si="69"/>
        <v>-78.078132738495768</v>
      </c>
      <c r="AP22" s="14">
        <f t="shared" si="69"/>
        <v>-77.933028726599019</v>
      </c>
      <c r="AQ22" s="14">
        <f t="shared" si="69"/>
        <v>-77.78502263446434</v>
      </c>
      <c r="AR22" s="14">
        <f t="shared" si="69"/>
        <v>-77.634056420486971</v>
      </c>
      <c r="AS22" s="14">
        <f t="shared" si="69"/>
        <v>-77.480070882230038</v>
      </c>
      <c r="AT22" s="14">
        <f t="shared" si="69"/>
        <v>-77.32300563320797</v>
      </c>
      <c r="AU22" s="14">
        <f t="shared" si="69"/>
        <v>-77.162799079205456</v>
      </c>
      <c r="AV22" s="14">
        <f t="shared" si="69"/>
        <v>-76.999388394122889</v>
      </c>
      <c r="AW22" s="14">
        <f t="shared" si="69"/>
        <v>-76.83270949533869</v>
      </c>
      <c r="AX22" s="14">
        <f t="shared" ref="AX22:BU22" si="70">AX18+AX20</f>
        <v>-83.162697018578811</v>
      </c>
      <c r="AY22" s="14">
        <f t="shared" si="70"/>
        <v>-82.989284292283713</v>
      </c>
      <c r="AZ22" s="14">
        <f t="shared" si="70"/>
        <v>-82.812403311462717</v>
      </c>
      <c r="BA22" s="14">
        <f t="shared" si="70"/>
        <v>-82.631984711025297</v>
      </c>
      <c r="BB22" s="14">
        <f t="shared" si="70"/>
        <v>-81.489092230328822</v>
      </c>
      <c r="BC22" s="14">
        <f t="shared" si="70"/>
        <v>-81.282207408268732</v>
      </c>
      <c r="BD22" s="14">
        <f t="shared" si="70"/>
        <v>-81.071184889767451</v>
      </c>
      <c r="BE22" s="14">
        <f t="shared" si="70"/>
        <v>-80.855941920896115</v>
      </c>
      <c r="BF22" s="14">
        <f t="shared" si="70"/>
        <v>-80.636394092647365</v>
      </c>
      <c r="BG22" s="14">
        <f t="shared" si="70"/>
        <v>-80.412455307833653</v>
      </c>
      <c r="BH22" s="14">
        <f t="shared" si="70"/>
        <v>-80.184037747323657</v>
      </c>
      <c r="BI22" s="14">
        <f t="shared" si="70"/>
        <v>-79.951051835603465</v>
      </c>
      <c r="BJ22" s="14">
        <f t="shared" si="70"/>
        <v>-79.713406205648852</v>
      </c>
      <c r="BK22" s="14">
        <f t="shared" si="70"/>
        <v>-79.471007663095179</v>
      </c>
      <c r="BL22" s="14">
        <f t="shared" si="70"/>
        <v>-79.223761149690418</v>
      </c>
      <c r="BM22" s="14">
        <f t="shared" si="70"/>
        <v>-78.971569706017561</v>
      </c>
      <c r="BN22" s="14">
        <f t="shared" si="70"/>
        <v>-78.714334433471237</v>
      </c>
      <c r="BO22" s="14">
        <f t="shared" si="70"/>
        <v>-78.451954455474009</v>
      </c>
      <c r="BP22" s="14">
        <f t="shared" si="70"/>
        <v>-78.184326877916817</v>
      </c>
      <c r="BQ22" s="14">
        <f t="shared" si="70"/>
        <v>-77.911346748808484</v>
      </c>
      <c r="BR22" s="14">
        <f t="shared" si="70"/>
        <v>-77.632907017118001</v>
      </c>
      <c r="BS22" s="14">
        <f t="shared" si="70"/>
        <v>-77.348898490793687</v>
      </c>
      <c r="BT22" s="14">
        <f t="shared" si="70"/>
        <v>-77.059209793942898</v>
      </c>
      <c r="BU22" s="14">
        <f t="shared" si="70"/>
        <v>-76.763727323155081</v>
      </c>
      <c r="BV22" s="14">
        <f t="shared" ref="BV22:BX22" si="71">BV18+BV20</f>
        <v>-76.462335202951508</v>
      </c>
      <c r="BW22" s="14">
        <f t="shared" si="71"/>
        <v>-76.154915240343882</v>
      </c>
      <c r="BX22" s="14">
        <f t="shared" si="71"/>
        <v>-75.841346878484089</v>
      </c>
      <c r="BY22" s="14">
        <f t="shared" ref="BY22:CK22" si="72">BY18+BY20</f>
        <v>-75.521507149387091</v>
      </c>
      <c r="BZ22" s="14">
        <f t="shared" si="72"/>
        <v>-75.195270625708162</v>
      </c>
      <c r="CA22" s="14">
        <f t="shared" si="72"/>
        <v>-74.86250937155566</v>
      </c>
      <c r="CB22" s="14">
        <f t="shared" si="72"/>
        <v>-74.523092892320122</v>
      </c>
      <c r="CC22" s="14">
        <f t="shared" si="72"/>
        <v>-74.176888083499875</v>
      </c>
      <c r="CD22" s="14">
        <f t="shared" si="72"/>
        <v>-73.823759178503181</v>
      </c>
      <c r="CE22" s="14">
        <f t="shared" si="72"/>
        <v>-73.463567695406567</v>
      </c>
      <c r="CF22" s="14">
        <f t="shared" si="72"/>
        <v>-73.096172382648064</v>
      </c>
      <c r="CG22" s="14">
        <f t="shared" si="72"/>
        <v>-72.721429163634326</v>
      </c>
      <c r="CH22" s="14">
        <f t="shared" si="72"/>
        <v>-72.339191080240354</v>
      </c>
      <c r="CI22" s="14">
        <f t="shared" si="72"/>
        <v>-71.949308235178506</v>
      </c>
      <c r="CJ22" s="14">
        <f t="shared" si="72"/>
        <v>-71.551627733215412</v>
      </c>
      <c r="CK22" s="14">
        <f t="shared" si="72"/>
        <v>-71.145993621213037</v>
      </c>
      <c r="CM22" s="14">
        <f>SUM(CM18,CM20)</f>
        <v>0</v>
      </c>
      <c r="CN22" s="14">
        <f t="shared" ref="CN22:CO22" si="73">SUM(CN18,CN20)</f>
        <v>-125.97562003400033</v>
      </c>
      <c r="CO22" s="14">
        <f t="shared" si="73"/>
        <v>-1033.2634996904112</v>
      </c>
      <c r="CP22" s="14">
        <f t="shared" ref="CP22:CQ22" si="74">SUM(CP18,CP20)</f>
        <v>-950.74645059900593</v>
      </c>
      <c r="CQ22" s="14">
        <f t="shared" si="74"/>
        <v>-963.26211015712147</v>
      </c>
      <c r="CR22" s="14">
        <f t="shared" ref="CR22:CS22" si="75">SUM(CR18,CR20)</f>
        <v>-926.04680961184658</v>
      </c>
      <c r="CS22" s="14">
        <f t="shared" si="75"/>
        <v>-878.84881006312355</v>
      </c>
    </row>
    <row r="23" spans="1:97" x14ac:dyDescent="0.2">
      <c r="B23" s="92"/>
      <c r="C23" s="91"/>
      <c r="D23" s="9" t="s">
        <v>322</v>
      </c>
    </row>
    <row r="24" spans="1:97" x14ac:dyDescent="0.2">
      <c r="B24" s="90" t="s">
        <v>60</v>
      </c>
      <c r="C24" s="91" t="s">
        <v>4</v>
      </c>
      <c r="D24" s="234">
        <v>0.25</v>
      </c>
      <c r="F24" s="11">
        <f t="shared" ref="F24:K24" si="76">IF(F22&lt;0,0,-F22*0.2)</f>
        <v>0</v>
      </c>
      <c r="G24" s="11">
        <f t="shared" si="76"/>
        <v>0</v>
      </c>
      <c r="H24" s="11">
        <f t="shared" si="76"/>
        <v>0</v>
      </c>
      <c r="I24" s="11">
        <f t="shared" si="76"/>
        <v>0</v>
      </c>
      <c r="J24" s="11">
        <f t="shared" si="76"/>
        <v>0</v>
      </c>
      <c r="K24" s="11">
        <f t="shared" si="76"/>
        <v>0</v>
      </c>
      <c r="L24" s="11">
        <f>IF(L22&lt;0,0,-L22*0.2)</f>
        <v>0</v>
      </c>
      <c r="M24" s="11">
        <f t="shared" ref="M24:Q24" si="77">IF(M22&lt;0,0,-M22*0.2)</f>
        <v>0</v>
      </c>
      <c r="N24" s="11">
        <f t="shared" si="77"/>
        <v>0</v>
      </c>
      <c r="O24" s="11">
        <f t="shared" si="77"/>
        <v>0</v>
      </c>
      <c r="P24" s="11">
        <f t="shared" si="77"/>
        <v>0</v>
      </c>
      <c r="Q24" s="11">
        <f t="shared" si="77"/>
        <v>0</v>
      </c>
      <c r="R24" s="11">
        <f>IF(R22&lt;0,0,-R22*$D24)</f>
        <v>0</v>
      </c>
      <c r="S24" s="11">
        <f t="shared" ref="S24:BX24" si="78">IF(S22&lt;0,0,-S22*$D24)</f>
        <v>0</v>
      </c>
      <c r="T24" s="11">
        <f t="shared" si="78"/>
        <v>-0.43394841666666567</v>
      </c>
      <c r="U24" s="11">
        <f t="shared" si="78"/>
        <v>0</v>
      </c>
      <c r="V24" s="11">
        <f t="shared" si="78"/>
        <v>0</v>
      </c>
      <c r="W24" s="11">
        <f t="shared" si="78"/>
        <v>0</v>
      </c>
      <c r="X24" s="11">
        <f t="shared" si="78"/>
        <v>-21.795028792833349</v>
      </c>
      <c r="Y24" s="11">
        <f t="shared" si="78"/>
        <v>-7.5936983046666748</v>
      </c>
      <c r="Z24" s="11">
        <f t="shared" si="78"/>
        <v>0</v>
      </c>
      <c r="AA24" s="11">
        <f t="shared" si="78"/>
        <v>0</v>
      </c>
      <c r="AB24" s="11">
        <f t="shared" si="78"/>
        <v>0</v>
      </c>
      <c r="AC24" s="11">
        <f t="shared" si="78"/>
        <v>0</v>
      </c>
      <c r="AD24" s="11">
        <f t="shared" si="78"/>
        <v>0</v>
      </c>
      <c r="AE24" s="11">
        <f t="shared" si="78"/>
        <v>0</v>
      </c>
      <c r="AF24" s="11">
        <f t="shared" si="78"/>
        <v>0</v>
      </c>
      <c r="AG24" s="11">
        <f t="shared" si="78"/>
        <v>0</v>
      </c>
      <c r="AH24" s="11">
        <f t="shared" si="78"/>
        <v>0</v>
      </c>
      <c r="AI24" s="11">
        <f t="shared" si="78"/>
        <v>0</v>
      </c>
      <c r="AJ24" s="11">
        <f t="shared" si="78"/>
        <v>0</v>
      </c>
      <c r="AK24" s="11">
        <f t="shared" si="78"/>
        <v>0</v>
      </c>
      <c r="AL24" s="11">
        <f t="shared" si="78"/>
        <v>0</v>
      </c>
      <c r="AM24" s="11">
        <f t="shared" si="78"/>
        <v>0</v>
      </c>
      <c r="AN24" s="11">
        <f t="shared" si="78"/>
        <v>0</v>
      </c>
      <c r="AO24" s="11">
        <f t="shared" si="78"/>
        <v>0</v>
      </c>
      <c r="AP24" s="11">
        <f t="shared" si="78"/>
        <v>0</v>
      </c>
      <c r="AQ24" s="11">
        <f t="shared" si="78"/>
        <v>0</v>
      </c>
      <c r="AR24" s="11">
        <f t="shared" si="78"/>
        <v>0</v>
      </c>
      <c r="AS24" s="11">
        <f t="shared" si="78"/>
        <v>0</v>
      </c>
      <c r="AT24" s="11">
        <f t="shared" si="78"/>
        <v>0</v>
      </c>
      <c r="AU24" s="11">
        <f t="shared" si="78"/>
        <v>0</v>
      </c>
      <c r="AV24" s="11">
        <f t="shared" si="78"/>
        <v>0</v>
      </c>
      <c r="AW24" s="11">
        <f t="shared" si="78"/>
        <v>0</v>
      </c>
      <c r="AX24" s="11">
        <f t="shared" si="78"/>
        <v>0</v>
      </c>
      <c r="AY24" s="11">
        <f t="shared" si="78"/>
        <v>0</v>
      </c>
      <c r="AZ24" s="11">
        <f t="shared" si="78"/>
        <v>0</v>
      </c>
      <c r="BA24" s="11">
        <f t="shared" si="78"/>
        <v>0</v>
      </c>
      <c r="BB24" s="11">
        <f t="shared" si="78"/>
        <v>0</v>
      </c>
      <c r="BC24" s="11">
        <f t="shared" si="78"/>
        <v>0</v>
      </c>
      <c r="BD24" s="11">
        <f t="shared" si="78"/>
        <v>0</v>
      </c>
      <c r="BE24" s="11">
        <f t="shared" si="78"/>
        <v>0</v>
      </c>
      <c r="BF24" s="11">
        <f t="shared" si="78"/>
        <v>0</v>
      </c>
      <c r="BG24" s="11">
        <f t="shared" si="78"/>
        <v>0</v>
      </c>
      <c r="BH24" s="11">
        <f t="shared" si="78"/>
        <v>0</v>
      </c>
      <c r="BI24" s="11">
        <f t="shared" si="78"/>
        <v>0</v>
      </c>
      <c r="BJ24" s="11">
        <f t="shared" si="78"/>
        <v>0</v>
      </c>
      <c r="BK24" s="11">
        <f t="shared" si="78"/>
        <v>0</v>
      </c>
      <c r="BL24" s="11">
        <f t="shared" si="78"/>
        <v>0</v>
      </c>
      <c r="BM24" s="11">
        <f t="shared" si="78"/>
        <v>0</v>
      </c>
      <c r="BN24" s="11">
        <f t="shared" si="78"/>
        <v>0</v>
      </c>
      <c r="BO24" s="11">
        <f t="shared" si="78"/>
        <v>0</v>
      </c>
      <c r="BP24" s="11">
        <f t="shared" si="78"/>
        <v>0</v>
      </c>
      <c r="BQ24" s="11">
        <f t="shared" si="78"/>
        <v>0</v>
      </c>
      <c r="BR24" s="11">
        <f t="shared" si="78"/>
        <v>0</v>
      </c>
      <c r="BS24" s="11">
        <f t="shared" si="78"/>
        <v>0</v>
      </c>
      <c r="BT24" s="11">
        <f t="shared" si="78"/>
        <v>0</v>
      </c>
      <c r="BU24" s="11">
        <f t="shared" si="78"/>
        <v>0</v>
      </c>
      <c r="BV24" s="11">
        <f t="shared" si="78"/>
        <v>0</v>
      </c>
      <c r="BW24" s="11">
        <f t="shared" si="78"/>
        <v>0</v>
      </c>
      <c r="BX24" s="11">
        <f t="shared" si="78"/>
        <v>0</v>
      </c>
      <c r="BY24" s="11">
        <f t="shared" ref="BY24:CK24" si="79">IF(BY22&lt;0,0,-BY22*$D24)</f>
        <v>0</v>
      </c>
      <c r="BZ24" s="11">
        <f t="shared" si="79"/>
        <v>0</v>
      </c>
      <c r="CA24" s="11">
        <f t="shared" si="79"/>
        <v>0</v>
      </c>
      <c r="CB24" s="11">
        <f t="shared" si="79"/>
        <v>0</v>
      </c>
      <c r="CC24" s="11">
        <f t="shared" si="79"/>
        <v>0</v>
      </c>
      <c r="CD24" s="11">
        <f t="shared" si="79"/>
        <v>0</v>
      </c>
      <c r="CE24" s="11">
        <f t="shared" si="79"/>
        <v>0</v>
      </c>
      <c r="CF24" s="11">
        <f t="shared" si="79"/>
        <v>0</v>
      </c>
      <c r="CG24" s="11">
        <f t="shared" si="79"/>
        <v>0</v>
      </c>
      <c r="CH24" s="11">
        <f t="shared" si="79"/>
        <v>0</v>
      </c>
      <c r="CI24" s="11">
        <f t="shared" si="79"/>
        <v>0</v>
      </c>
      <c r="CJ24" s="11">
        <f t="shared" si="79"/>
        <v>0</v>
      </c>
      <c r="CK24" s="11">
        <f t="shared" si="79"/>
        <v>0</v>
      </c>
      <c r="CM24" s="11">
        <f>SUMIF($L$2:$CK$2,CM$3,$L24:$CK24)</f>
        <v>0</v>
      </c>
      <c r="CN24" s="11">
        <f>SUMIF($L$2:$CK$2,CN$3,$L24:$CK24)</f>
        <v>-29.82267551416669</v>
      </c>
      <c r="CO24" s="11">
        <f>SUMIF($L$2:$CK$2,CO$3,$L24:$CK24)</f>
        <v>0</v>
      </c>
      <c r="CP24" s="11">
        <f>SUMIF($L$2:$CK$2,CP$3,$L24:$CK24)</f>
        <v>0</v>
      </c>
      <c r="CQ24" s="11">
        <f>SUMIF($L$2:$CK$2,CQ$3,$L24:$CK24)</f>
        <v>0</v>
      </c>
      <c r="CR24" s="11">
        <f t="shared" ref="CR24:CS24" si="80">SUMIF($L$2:$CK$2,CR$3,$L24:$CK24)</f>
        <v>0</v>
      </c>
      <c r="CS24" s="11">
        <f t="shared" si="80"/>
        <v>0</v>
      </c>
    </row>
    <row r="25" spans="1:97" x14ac:dyDescent="0.2">
      <c r="B25" s="92"/>
      <c r="C25" s="91"/>
      <c r="D25" s="9"/>
    </row>
    <row r="26" spans="1:97" s="12" customFormat="1" x14ac:dyDescent="0.2">
      <c r="B26" s="88" t="s">
        <v>57</v>
      </c>
      <c r="C26" s="89" t="s">
        <v>4</v>
      </c>
      <c r="D26" s="13"/>
      <c r="E26" s="8"/>
      <c r="F26" s="94">
        <f t="shared" ref="F26:K26" si="81">F22+F24</f>
        <v>0</v>
      </c>
      <c r="G26" s="94">
        <f t="shared" si="81"/>
        <v>0</v>
      </c>
      <c r="H26" s="94">
        <f t="shared" si="81"/>
        <v>0</v>
      </c>
      <c r="I26" s="94">
        <f t="shared" si="81"/>
        <v>0</v>
      </c>
      <c r="J26" s="94">
        <f t="shared" si="81"/>
        <v>0</v>
      </c>
      <c r="K26" s="94">
        <f t="shared" si="81"/>
        <v>0</v>
      </c>
      <c r="L26" s="94">
        <f>L22+L24</f>
        <v>0</v>
      </c>
      <c r="M26" s="93">
        <f t="shared" ref="M26:AW26" si="82">M22+M24</f>
        <v>0</v>
      </c>
      <c r="N26" s="93">
        <f t="shared" si="82"/>
        <v>0</v>
      </c>
      <c r="O26" s="93">
        <f t="shared" si="82"/>
        <v>0</v>
      </c>
      <c r="P26" s="93">
        <f t="shared" si="82"/>
        <v>0</v>
      </c>
      <c r="Q26" s="93">
        <f t="shared" si="82"/>
        <v>0</v>
      </c>
      <c r="R26" s="93">
        <f t="shared" si="82"/>
        <v>0</v>
      </c>
      <c r="S26" s="93">
        <f t="shared" si="82"/>
        <v>0</v>
      </c>
      <c r="T26" s="94">
        <f t="shared" si="82"/>
        <v>1.3018452499999971</v>
      </c>
      <c r="U26" s="94">
        <f t="shared" si="82"/>
        <v>-11.062169583333347</v>
      </c>
      <c r="V26" s="94">
        <f t="shared" si="82"/>
        <v>-7.6454186666666653</v>
      </c>
      <c r="W26" s="94">
        <f t="shared" si="82"/>
        <v>-13.366666666666658</v>
      </c>
      <c r="X26" s="94">
        <f t="shared" si="82"/>
        <v>65.385086378500048</v>
      </c>
      <c r="Y26" s="94">
        <f t="shared" si="82"/>
        <v>22.781094914000025</v>
      </c>
      <c r="Z26" s="94">
        <f t="shared" si="82"/>
        <v>-28.705871118000001</v>
      </c>
      <c r="AA26" s="94">
        <f t="shared" si="82"/>
        <v>-35.923933837999982</v>
      </c>
      <c r="AB26" s="94">
        <f t="shared" si="82"/>
        <v>-74.639534226666683</v>
      </c>
      <c r="AC26" s="94">
        <f t="shared" si="82"/>
        <v>-73.922727991333346</v>
      </c>
      <c r="AD26" s="94">
        <f t="shared" si="82"/>
        <v>-78.833333333333343</v>
      </c>
      <c r="AE26" s="94">
        <f t="shared" si="82"/>
        <v>-98.333333333333343</v>
      </c>
      <c r="AF26" s="94">
        <f t="shared" si="82"/>
        <v>-98.333333333333343</v>
      </c>
      <c r="AG26" s="94">
        <f t="shared" si="82"/>
        <v>-98.333333333333343</v>
      </c>
      <c r="AH26" s="94">
        <f t="shared" si="82"/>
        <v>-93.177197724233338</v>
      </c>
      <c r="AI26" s="94">
        <f t="shared" si="82"/>
        <v>-92.919390943778325</v>
      </c>
      <c r="AJ26" s="94">
        <f t="shared" si="82"/>
        <v>-79.64869382430058</v>
      </c>
      <c r="AK26" s="94">
        <f t="shared" si="82"/>
        <v>-79.364461848848961</v>
      </c>
      <c r="AL26" s="94">
        <f t="shared" si="82"/>
        <v>-79.066018274624724</v>
      </c>
      <c r="AM26" s="94">
        <f t="shared" si="82"/>
        <v>-78.752652521689299</v>
      </c>
      <c r="AN26" s="94">
        <f t="shared" si="82"/>
        <v>-78.423618481107098</v>
      </c>
      <c r="AO26" s="94">
        <f t="shared" si="82"/>
        <v>-78.078132738495768</v>
      </c>
      <c r="AP26" s="94">
        <f t="shared" si="82"/>
        <v>-77.933028726599019</v>
      </c>
      <c r="AQ26" s="94">
        <f t="shared" si="82"/>
        <v>-77.78502263446434</v>
      </c>
      <c r="AR26" s="94">
        <f t="shared" si="82"/>
        <v>-77.634056420486971</v>
      </c>
      <c r="AS26" s="94">
        <f t="shared" si="82"/>
        <v>-77.480070882230038</v>
      </c>
      <c r="AT26" s="94">
        <f t="shared" si="82"/>
        <v>-77.32300563320797</v>
      </c>
      <c r="AU26" s="94">
        <f t="shared" si="82"/>
        <v>-77.162799079205456</v>
      </c>
      <c r="AV26" s="94">
        <f t="shared" si="82"/>
        <v>-76.999388394122889</v>
      </c>
      <c r="AW26" s="94">
        <f t="shared" si="82"/>
        <v>-76.83270949533869</v>
      </c>
      <c r="AX26" s="94">
        <f t="shared" ref="AX26:BU26" si="83">AX22+AX24</f>
        <v>-83.162697018578811</v>
      </c>
      <c r="AY26" s="94">
        <f t="shared" si="83"/>
        <v>-82.989284292283713</v>
      </c>
      <c r="AZ26" s="94">
        <f t="shared" si="83"/>
        <v>-82.812403311462717</v>
      </c>
      <c r="BA26" s="94">
        <f t="shared" si="83"/>
        <v>-82.631984711025297</v>
      </c>
      <c r="BB26" s="94">
        <f t="shared" si="83"/>
        <v>-81.489092230328822</v>
      </c>
      <c r="BC26" s="94">
        <f t="shared" si="83"/>
        <v>-81.282207408268732</v>
      </c>
      <c r="BD26" s="94">
        <f t="shared" si="83"/>
        <v>-81.071184889767451</v>
      </c>
      <c r="BE26" s="94">
        <f t="shared" si="83"/>
        <v>-80.855941920896115</v>
      </c>
      <c r="BF26" s="94">
        <f t="shared" si="83"/>
        <v>-80.636394092647365</v>
      </c>
      <c r="BG26" s="94">
        <f t="shared" si="83"/>
        <v>-80.412455307833653</v>
      </c>
      <c r="BH26" s="94">
        <f t="shared" si="83"/>
        <v>-80.184037747323657</v>
      </c>
      <c r="BI26" s="94">
        <f t="shared" si="83"/>
        <v>-79.951051835603465</v>
      </c>
      <c r="BJ26" s="94">
        <f t="shared" si="83"/>
        <v>-79.713406205648852</v>
      </c>
      <c r="BK26" s="94">
        <f t="shared" si="83"/>
        <v>-79.471007663095179</v>
      </c>
      <c r="BL26" s="94">
        <f t="shared" si="83"/>
        <v>-79.223761149690418</v>
      </c>
      <c r="BM26" s="94">
        <f t="shared" si="83"/>
        <v>-78.971569706017561</v>
      </c>
      <c r="BN26" s="94">
        <f t="shared" si="83"/>
        <v>-78.714334433471237</v>
      </c>
      <c r="BO26" s="94">
        <f t="shared" si="83"/>
        <v>-78.451954455474009</v>
      </c>
      <c r="BP26" s="94">
        <f t="shared" si="83"/>
        <v>-78.184326877916817</v>
      </c>
      <c r="BQ26" s="94">
        <f t="shared" si="83"/>
        <v>-77.911346748808484</v>
      </c>
      <c r="BR26" s="94">
        <f t="shared" si="83"/>
        <v>-77.632907017118001</v>
      </c>
      <c r="BS26" s="94">
        <f t="shared" si="83"/>
        <v>-77.348898490793687</v>
      </c>
      <c r="BT26" s="94">
        <f t="shared" si="83"/>
        <v>-77.059209793942898</v>
      </c>
      <c r="BU26" s="94">
        <f t="shared" si="83"/>
        <v>-76.763727323155081</v>
      </c>
      <c r="BV26" s="94">
        <f t="shared" ref="BV26:BX26" si="84">BV22+BV24</f>
        <v>-76.462335202951508</v>
      </c>
      <c r="BW26" s="94">
        <f t="shared" si="84"/>
        <v>-76.154915240343882</v>
      </c>
      <c r="BX26" s="94">
        <f t="shared" si="84"/>
        <v>-75.841346878484089</v>
      </c>
      <c r="BY26" s="94">
        <f t="shared" ref="BY26:CK26" si="85">BY22+BY24</f>
        <v>-75.521507149387091</v>
      </c>
      <c r="BZ26" s="94">
        <f t="shared" si="85"/>
        <v>-75.195270625708162</v>
      </c>
      <c r="CA26" s="94">
        <f t="shared" si="85"/>
        <v>-74.86250937155566</v>
      </c>
      <c r="CB26" s="94">
        <f t="shared" si="85"/>
        <v>-74.523092892320122</v>
      </c>
      <c r="CC26" s="94">
        <f t="shared" si="85"/>
        <v>-74.176888083499875</v>
      </c>
      <c r="CD26" s="94">
        <f t="shared" si="85"/>
        <v>-73.823759178503181</v>
      </c>
      <c r="CE26" s="94">
        <f t="shared" si="85"/>
        <v>-73.463567695406567</v>
      </c>
      <c r="CF26" s="94">
        <f t="shared" si="85"/>
        <v>-73.096172382648064</v>
      </c>
      <c r="CG26" s="94">
        <f t="shared" si="85"/>
        <v>-72.721429163634326</v>
      </c>
      <c r="CH26" s="94">
        <f t="shared" si="85"/>
        <v>-72.339191080240354</v>
      </c>
      <c r="CI26" s="94">
        <f t="shared" si="85"/>
        <v>-71.949308235178506</v>
      </c>
      <c r="CJ26" s="94">
        <f t="shared" si="85"/>
        <v>-71.551627733215412</v>
      </c>
      <c r="CK26" s="94">
        <f t="shared" si="85"/>
        <v>-71.145993621213037</v>
      </c>
      <c r="CM26" s="94">
        <f>CM22+CM24</f>
        <v>0</v>
      </c>
      <c r="CN26" s="94">
        <f t="shared" ref="CN26:CO26" si="86">CN22+CN24</f>
        <v>-155.798295548167</v>
      </c>
      <c r="CO26" s="94">
        <f t="shared" si="86"/>
        <v>-1033.2634996904112</v>
      </c>
      <c r="CP26" s="94">
        <f t="shared" ref="CP26:CQ26" si="87">CP22+CP24</f>
        <v>-950.74645059900593</v>
      </c>
      <c r="CQ26" s="94">
        <f t="shared" si="87"/>
        <v>-963.26211015712147</v>
      </c>
      <c r="CR26" s="94">
        <f t="shared" ref="CR26:CS26" si="88">CR22+CR24</f>
        <v>-926.04680961184658</v>
      </c>
      <c r="CS26" s="94">
        <f t="shared" si="88"/>
        <v>-878.84881006312355</v>
      </c>
    </row>
    <row r="27" spans="1:97" s="5" customFormat="1" x14ac:dyDescent="0.2">
      <c r="B27" s="5" t="s">
        <v>64</v>
      </c>
      <c r="C27" s="15" t="s">
        <v>59</v>
      </c>
      <c r="E27" s="8"/>
      <c r="L27" s="16" t="str">
        <f>IFERROR(L26/L4,"")</f>
        <v/>
      </c>
      <c r="M27" s="16" t="str">
        <f t="shared" ref="M27:AW27" si="89">IFERROR(M26/M4,"")</f>
        <v/>
      </c>
      <c r="N27" s="16" t="str">
        <f t="shared" si="89"/>
        <v/>
      </c>
      <c r="O27" s="16" t="str">
        <f t="shared" si="89"/>
        <v/>
      </c>
      <c r="P27" s="16" t="str">
        <f t="shared" si="89"/>
        <v/>
      </c>
      <c r="Q27" s="16" t="str">
        <f t="shared" si="89"/>
        <v/>
      </c>
      <c r="R27" s="16" t="str">
        <f t="shared" si="89"/>
        <v/>
      </c>
      <c r="S27" s="16" t="str">
        <f t="shared" si="89"/>
        <v/>
      </c>
      <c r="T27" s="16">
        <f t="shared" si="89"/>
        <v>3.3098517932189896E-2</v>
      </c>
      <c r="U27" s="16">
        <f t="shared" si="89"/>
        <v>-0.19814304937454361</v>
      </c>
      <c r="V27" s="16">
        <f t="shared" si="89"/>
        <v>-0.14416178925561651</v>
      </c>
      <c r="W27" s="16">
        <f t="shared" si="89"/>
        <v>-4.4804469273742986E-2</v>
      </c>
      <c r="X27" s="16">
        <f t="shared" si="89"/>
        <v>8.4665794141968315E-2</v>
      </c>
      <c r="Y27" s="16">
        <f t="shared" si="89"/>
        <v>4.7254430852438273E-2</v>
      </c>
      <c r="Z27" s="16">
        <f t="shared" si="89"/>
        <v>-0.11210344752583067</v>
      </c>
      <c r="AA27" s="16">
        <f t="shared" si="89"/>
        <v>-0.16389111408775836</v>
      </c>
      <c r="AB27" s="16">
        <f t="shared" si="89"/>
        <v>-3.4840570205151753</v>
      </c>
      <c r="AC27" s="16">
        <f t="shared" si="89"/>
        <v>-2.9469102531643472</v>
      </c>
      <c r="AD27" s="16" t="str">
        <f t="shared" si="89"/>
        <v/>
      </c>
      <c r="AE27" s="16" t="str">
        <f t="shared" si="89"/>
        <v/>
      </c>
      <c r="AF27" s="16" t="str">
        <f t="shared" si="89"/>
        <v/>
      </c>
      <c r="AG27" s="16" t="str">
        <f t="shared" si="89"/>
        <v/>
      </c>
      <c r="AH27" s="16">
        <f t="shared" si="89"/>
        <v>-3.5376044404851799</v>
      </c>
      <c r="AI27" s="16">
        <f t="shared" si="89"/>
        <v>-3.3598251814144562</v>
      </c>
      <c r="AJ27" s="16">
        <f t="shared" si="89"/>
        <v>-2.7428350167622302</v>
      </c>
      <c r="AK27" s="16">
        <f t="shared" si="89"/>
        <v>-2.6029019207259338</v>
      </c>
      <c r="AL27" s="16">
        <f t="shared" si="89"/>
        <v>-2.4696323054532701</v>
      </c>
      <c r="AM27" s="16">
        <f t="shared" si="89"/>
        <v>-2.3427088623364472</v>
      </c>
      <c r="AN27" s="16">
        <f t="shared" si="89"/>
        <v>-2.2218293927013786</v>
      </c>
      <c r="AO27" s="16">
        <f t="shared" si="89"/>
        <v>-2.1067060882870265</v>
      </c>
      <c r="AP27" s="16">
        <f t="shared" si="89"/>
        <v>-2.0615596943990457</v>
      </c>
      <c r="AQ27" s="16">
        <f t="shared" si="89"/>
        <v>-2.0172985239206329</v>
      </c>
      <c r="AR27" s="16">
        <f t="shared" si="89"/>
        <v>-1.9739052195300328</v>
      </c>
      <c r="AS27" s="16">
        <f t="shared" si="89"/>
        <v>-1.9313627642451299</v>
      </c>
      <c r="AT27" s="16">
        <f t="shared" si="89"/>
        <v>-1.8896544747501276</v>
      </c>
      <c r="AU27" s="16">
        <f t="shared" si="89"/>
        <v>-1.8487639948530659</v>
      </c>
      <c r="AV27" s="16">
        <f t="shared" si="89"/>
        <v>-1.8086752890716327</v>
      </c>
      <c r="AW27" s="16">
        <f t="shared" si="89"/>
        <v>-1.7693726363447382</v>
      </c>
      <c r="AX27" s="16">
        <f t="shared" ref="AX27:BU27" si="90">IFERROR(AX26/AX4,"")</f>
        <v>-1.8775934057635397</v>
      </c>
      <c r="AY27" s="16">
        <f t="shared" si="90"/>
        <v>-1.8369394174152351</v>
      </c>
      <c r="AZ27" s="16">
        <f t="shared" si="90"/>
        <v>-1.7970825660933674</v>
      </c>
      <c r="BA27" s="16">
        <f t="shared" si="90"/>
        <v>-1.7580072216601637</v>
      </c>
      <c r="BB27" s="16">
        <f t="shared" si="90"/>
        <v>-1.6996980604511414</v>
      </c>
      <c r="BC27" s="16">
        <f t="shared" si="90"/>
        <v>-1.6621400592658251</v>
      </c>
      <c r="BD27" s="16">
        <f t="shared" si="90"/>
        <v>-1.6253184894762993</v>
      </c>
      <c r="BE27" s="16">
        <f t="shared" si="90"/>
        <v>-1.5892189112512733</v>
      </c>
      <c r="BF27" s="16">
        <f t="shared" si="90"/>
        <v>-1.5538271678934048</v>
      </c>
      <c r="BG27" s="16">
        <f t="shared" si="90"/>
        <v>-1.5191293802876522</v>
      </c>
      <c r="BH27" s="16">
        <f t="shared" si="90"/>
        <v>-1.4851119414584821</v>
      </c>
      <c r="BI27" s="16">
        <f t="shared" si="90"/>
        <v>-1.451761511233806</v>
      </c>
      <c r="BJ27" s="16">
        <f t="shared" si="90"/>
        <v>-1.4190650110135348</v>
      </c>
      <c r="BK27" s="16">
        <f t="shared" si="90"/>
        <v>-1.3870096186407208</v>
      </c>
      <c r="BL27" s="16">
        <f t="shared" si="90"/>
        <v>-1.3555827633732556</v>
      </c>
      <c r="BM27" s="16">
        <f t="shared" si="90"/>
        <v>-1.3247721209541723</v>
      </c>
      <c r="BN27" s="16">
        <f t="shared" si="90"/>
        <v>-1.2945656087785999</v>
      </c>
      <c r="BO27" s="16">
        <f t="shared" si="90"/>
        <v>-1.2649513811554907</v>
      </c>
      <c r="BP27" s="16">
        <f t="shared" si="90"/>
        <v>-1.2359178246622458</v>
      </c>
      <c r="BQ27" s="16">
        <f t="shared" si="90"/>
        <v>-1.2074535535904367</v>
      </c>
      <c r="BR27" s="16">
        <f t="shared" si="90"/>
        <v>-1.1795474054808206</v>
      </c>
      <c r="BS27" s="16">
        <f t="shared" si="90"/>
        <v>-1.1521884367459025</v>
      </c>
      <c r="BT27" s="16">
        <f t="shared" si="90"/>
        <v>-1.125365918378336</v>
      </c>
      <c r="BU27" s="16">
        <f t="shared" si="90"/>
        <v>-1.0990693317434663</v>
      </c>
      <c r="BV27" s="16">
        <f t="shared" ref="BV27:BX27" si="91">IFERROR(BV26/BV4,"")</f>
        <v>-1.0732883644543785</v>
      </c>
      <c r="BW27" s="16">
        <f t="shared" si="91"/>
        <v>-1.0480129063278223</v>
      </c>
      <c r="BX27" s="16">
        <f t="shared" si="91"/>
        <v>-1.0232330454194334</v>
      </c>
      <c r="BY27" s="16">
        <f t="shared" ref="BY27:CK27" si="92">IFERROR(BY26/BY4,"")</f>
        <v>-0.99893906413669931</v>
      </c>
      <c r="BZ27" s="16">
        <f t="shared" si="92"/>
        <v>-0.97512143542813656</v>
      </c>
      <c r="CA27" s="16">
        <f t="shared" si="92"/>
        <v>-0.95177081904719263</v>
      </c>
      <c r="CB27" s="16">
        <f t="shared" si="92"/>
        <v>-0.92887805788940481</v>
      </c>
      <c r="CC27" s="16">
        <f t="shared" si="92"/>
        <v>-0.90643417440137752</v>
      </c>
      <c r="CD27" s="16">
        <f t="shared" si="92"/>
        <v>-0.88443036706017375</v>
      </c>
      <c r="CE27" s="16">
        <f t="shared" si="92"/>
        <v>-0.86285800692173875</v>
      </c>
      <c r="CF27" s="16">
        <f t="shared" si="92"/>
        <v>-0.84170863423699926</v>
      </c>
      <c r="CG27" s="16">
        <f t="shared" si="92"/>
        <v>-0.82097395513431248</v>
      </c>
      <c r="CH27" s="16">
        <f t="shared" si="92"/>
        <v>-0.80064583836697312</v>
      </c>
      <c r="CI27" s="16">
        <f t="shared" si="92"/>
        <v>-0.78071631212448367</v>
      </c>
      <c r="CJ27" s="16">
        <f t="shared" si="92"/>
        <v>-0.76117756090635647</v>
      </c>
      <c r="CK27" s="16">
        <f t="shared" si="92"/>
        <v>-0.7420219224572121</v>
      </c>
      <c r="CM27" s="16" t="str">
        <f>IFERROR(CM26/CM4,"")</f>
        <v/>
      </c>
      <c r="CN27" s="16">
        <f t="shared" ref="CN27:CO27" si="93">IFERROR(CN26/CN4,"")</f>
        <v>-7.0095313556928163E-2</v>
      </c>
      <c r="CO27" s="16">
        <f t="shared" si="93"/>
        <v>-4.1081649066760217</v>
      </c>
      <c r="CP27" s="16">
        <f t="shared" ref="CP27:CQ27" si="94">IFERROR(CP26/CP4,"")</f>
        <v>-1.8751785330852595</v>
      </c>
      <c r="CQ27" s="16">
        <f t="shared" si="94"/>
        <v>-1.4980293640250177</v>
      </c>
      <c r="CR27" s="16">
        <f t="shared" ref="CR27:CS27" si="95">IFERROR(CR26/CR4,"")</f>
        <v>-1.1355512179181526</v>
      </c>
      <c r="CS27" s="16">
        <f t="shared" si="95"/>
        <v>-0.84973967341540024</v>
      </c>
    </row>
    <row r="31" spans="1:97" x14ac:dyDescent="0.2">
      <c r="A31" s="19"/>
      <c r="B31" s="20" t="s">
        <v>89</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row>
    <row r="32" spans="1:97" x14ac:dyDescent="0.2">
      <c r="R32" s="188" t="s">
        <v>284</v>
      </c>
      <c r="S32" s="188" t="s">
        <v>284</v>
      </c>
      <c r="T32" s="188" t="s">
        <v>284</v>
      </c>
      <c r="U32" s="188" t="s">
        <v>284</v>
      </c>
      <c r="V32" s="188" t="s">
        <v>284</v>
      </c>
      <c r="W32" s="188" t="s">
        <v>284</v>
      </c>
    </row>
    <row r="33" spans="2:99" x14ac:dyDescent="0.2">
      <c r="B33" s="12" t="s">
        <v>65</v>
      </c>
      <c r="F33" s="188" t="s">
        <v>284</v>
      </c>
      <c r="G33" s="188" t="s">
        <v>284</v>
      </c>
      <c r="H33" s="188" t="s">
        <v>284</v>
      </c>
      <c r="I33" s="188" t="s">
        <v>284</v>
      </c>
      <c r="J33" s="188" t="s">
        <v>284</v>
      </c>
      <c r="K33" s="188" t="s">
        <v>284</v>
      </c>
      <c r="L33" s="188" t="s">
        <v>284</v>
      </c>
      <c r="M33" s="188" t="s">
        <v>284</v>
      </c>
      <c r="N33" s="188" t="s">
        <v>284</v>
      </c>
      <c r="O33" s="188" t="s">
        <v>284</v>
      </c>
      <c r="P33" s="188" t="s">
        <v>284</v>
      </c>
      <c r="Q33" s="188" t="s">
        <v>284</v>
      </c>
      <c r="R33" s="3">
        <v>1</v>
      </c>
      <c r="S33" s="3">
        <f>R33+1</f>
        <v>2</v>
      </c>
      <c r="T33" s="3">
        <f t="shared" ref="T33:BX33" si="96">S33+1</f>
        <v>3</v>
      </c>
      <c r="U33" s="3">
        <f t="shared" si="96"/>
        <v>4</v>
      </c>
      <c r="V33" s="3">
        <f t="shared" si="96"/>
        <v>5</v>
      </c>
      <c r="W33" s="3">
        <f t="shared" si="96"/>
        <v>6</v>
      </c>
      <c r="X33" s="3">
        <f t="shared" si="96"/>
        <v>7</v>
      </c>
      <c r="Y33" s="3">
        <f t="shared" si="96"/>
        <v>8</v>
      </c>
      <c r="Z33" s="3">
        <f t="shared" si="96"/>
        <v>9</v>
      </c>
      <c r="AA33" s="3">
        <f t="shared" si="96"/>
        <v>10</v>
      </c>
      <c r="AB33" s="3">
        <f t="shared" si="96"/>
        <v>11</v>
      </c>
      <c r="AC33" s="3">
        <f t="shared" si="96"/>
        <v>12</v>
      </c>
      <c r="AD33" s="3">
        <f t="shared" si="96"/>
        <v>13</v>
      </c>
      <c r="AE33" s="3">
        <f t="shared" si="96"/>
        <v>14</v>
      </c>
      <c r="AF33" s="3">
        <f t="shared" si="96"/>
        <v>15</v>
      </c>
      <c r="AG33" s="3">
        <f t="shared" si="96"/>
        <v>16</v>
      </c>
      <c r="AH33" s="3">
        <f t="shared" si="96"/>
        <v>17</v>
      </c>
      <c r="AI33" s="3">
        <f t="shared" si="96"/>
        <v>18</v>
      </c>
      <c r="AJ33" s="3">
        <f t="shared" si="96"/>
        <v>19</v>
      </c>
      <c r="AK33" s="3">
        <f t="shared" si="96"/>
        <v>20</v>
      </c>
      <c r="AL33" s="3">
        <f t="shared" si="96"/>
        <v>21</v>
      </c>
      <c r="AM33" s="3">
        <f t="shared" si="96"/>
        <v>22</v>
      </c>
      <c r="AN33" s="3">
        <f t="shared" si="96"/>
        <v>23</v>
      </c>
      <c r="AO33" s="3">
        <f t="shared" si="96"/>
        <v>24</v>
      </c>
      <c r="AP33" s="3">
        <f t="shared" si="96"/>
        <v>25</v>
      </c>
      <c r="AQ33" s="3">
        <f t="shared" si="96"/>
        <v>26</v>
      </c>
      <c r="AR33" s="3">
        <f t="shared" si="96"/>
        <v>27</v>
      </c>
      <c r="AS33" s="3">
        <f t="shared" si="96"/>
        <v>28</v>
      </c>
      <c r="AT33" s="3">
        <f t="shared" si="96"/>
        <v>29</v>
      </c>
      <c r="AU33" s="3">
        <f t="shared" si="96"/>
        <v>30</v>
      </c>
      <c r="AV33" s="3">
        <f t="shared" si="96"/>
        <v>31</v>
      </c>
      <c r="AW33" s="3">
        <f t="shared" si="96"/>
        <v>32</v>
      </c>
      <c r="AX33" s="3">
        <f t="shared" si="96"/>
        <v>33</v>
      </c>
      <c r="AY33" s="3">
        <f t="shared" si="96"/>
        <v>34</v>
      </c>
      <c r="AZ33" s="3">
        <f t="shared" si="96"/>
        <v>35</v>
      </c>
      <c r="BA33" s="3">
        <f t="shared" si="96"/>
        <v>36</v>
      </c>
      <c r="BB33" s="3">
        <f t="shared" si="96"/>
        <v>37</v>
      </c>
      <c r="BC33" s="3">
        <f t="shared" si="96"/>
        <v>38</v>
      </c>
      <c r="BD33" s="3">
        <f t="shared" si="96"/>
        <v>39</v>
      </c>
      <c r="BE33" s="3">
        <f t="shared" si="96"/>
        <v>40</v>
      </c>
      <c r="BF33" s="3">
        <f t="shared" si="96"/>
        <v>41</v>
      </c>
      <c r="BG33" s="3">
        <f t="shared" si="96"/>
        <v>42</v>
      </c>
      <c r="BH33" s="3">
        <f t="shared" si="96"/>
        <v>43</v>
      </c>
      <c r="BI33" s="3">
        <f t="shared" si="96"/>
        <v>44</v>
      </c>
      <c r="BJ33" s="3">
        <f t="shared" si="96"/>
        <v>45</v>
      </c>
      <c r="BK33" s="3">
        <f t="shared" si="96"/>
        <v>46</v>
      </c>
      <c r="BL33" s="3">
        <f t="shared" si="96"/>
        <v>47</v>
      </c>
      <c r="BM33" s="3">
        <f t="shared" si="96"/>
        <v>48</v>
      </c>
      <c r="BN33" s="3">
        <f t="shared" si="96"/>
        <v>49</v>
      </c>
      <c r="BO33" s="3">
        <f t="shared" si="96"/>
        <v>50</v>
      </c>
      <c r="BP33" s="3">
        <f t="shared" si="96"/>
        <v>51</v>
      </c>
      <c r="BQ33" s="3">
        <f t="shared" si="96"/>
        <v>52</v>
      </c>
      <c r="BR33" s="3">
        <f t="shared" si="96"/>
        <v>53</v>
      </c>
      <c r="BS33" s="3">
        <f t="shared" si="96"/>
        <v>54</v>
      </c>
      <c r="BT33" s="3">
        <f t="shared" si="96"/>
        <v>55</v>
      </c>
      <c r="BU33" s="3">
        <f t="shared" si="96"/>
        <v>56</v>
      </c>
      <c r="BV33" s="3">
        <f t="shared" si="96"/>
        <v>57</v>
      </c>
      <c r="BW33" s="3">
        <f t="shared" si="96"/>
        <v>58</v>
      </c>
      <c r="BX33" s="3">
        <f t="shared" si="96"/>
        <v>59</v>
      </c>
      <c r="BY33" s="3">
        <f t="shared" ref="BY33" si="97">BX33+1</f>
        <v>60</v>
      </c>
      <c r="BZ33" s="3">
        <f t="shared" ref="BZ33" si="98">BY33+1</f>
        <v>61</v>
      </c>
      <c r="CA33" s="3">
        <f t="shared" ref="CA33" si="99">BZ33+1</f>
        <v>62</v>
      </c>
      <c r="CB33" s="3">
        <f t="shared" ref="CB33" si="100">CA33+1</f>
        <v>63</v>
      </c>
      <c r="CC33" s="3">
        <f t="shared" ref="CC33" si="101">CB33+1</f>
        <v>64</v>
      </c>
      <c r="CD33" s="3">
        <f t="shared" ref="CD33" si="102">CC33+1</f>
        <v>65</v>
      </c>
      <c r="CE33" s="3">
        <f t="shared" ref="CE33" si="103">CD33+1</f>
        <v>66</v>
      </c>
      <c r="CF33" s="3">
        <f t="shared" ref="CF33" si="104">CE33+1</f>
        <v>67</v>
      </c>
      <c r="CG33" s="3">
        <f t="shared" ref="CG33" si="105">CF33+1</f>
        <v>68</v>
      </c>
      <c r="CH33" s="3">
        <f t="shared" ref="CH33" si="106">CG33+1</f>
        <v>69</v>
      </c>
      <c r="CI33" s="3">
        <f t="shared" ref="CI33" si="107">CH33+1</f>
        <v>70</v>
      </c>
      <c r="CJ33" s="3">
        <f t="shared" ref="CJ33" si="108">CI33+1</f>
        <v>71</v>
      </c>
      <c r="CK33" s="3">
        <f t="shared" ref="CK33" si="109">CJ33+1</f>
        <v>72</v>
      </c>
    </row>
    <row r="34" spans="2:99" x14ac:dyDescent="0.2">
      <c r="B34" s="200" t="s">
        <v>1</v>
      </c>
      <c r="C34" s="200" t="s">
        <v>2</v>
      </c>
      <c r="D34" s="102"/>
      <c r="F34" s="201">
        <f t="shared" ref="F34:K34" si="110">F3</f>
        <v>45292</v>
      </c>
      <c r="G34" s="201">
        <f t="shared" si="110"/>
        <v>45323</v>
      </c>
      <c r="H34" s="201">
        <f t="shared" si="110"/>
        <v>45352</v>
      </c>
      <c r="I34" s="201">
        <f t="shared" si="110"/>
        <v>45383</v>
      </c>
      <c r="J34" s="201">
        <f t="shared" si="110"/>
        <v>45413</v>
      </c>
      <c r="K34" s="201">
        <f t="shared" si="110"/>
        <v>45444</v>
      </c>
      <c r="L34" s="201">
        <f>L3</f>
        <v>45474</v>
      </c>
      <c r="M34" s="201">
        <f t="shared" ref="M34:BU34" si="111">M3</f>
        <v>45505</v>
      </c>
      <c r="N34" s="201">
        <f t="shared" si="111"/>
        <v>45536</v>
      </c>
      <c r="O34" s="201">
        <f t="shared" si="111"/>
        <v>45566</v>
      </c>
      <c r="P34" s="201">
        <f t="shared" si="111"/>
        <v>45597</v>
      </c>
      <c r="Q34" s="201">
        <f t="shared" si="111"/>
        <v>45627</v>
      </c>
      <c r="R34" s="201">
        <f t="shared" si="111"/>
        <v>45658</v>
      </c>
      <c r="S34" s="201">
        <f t="shared" si="111"/>
        <v>45689</v>
      </c>
      <c r="T34" s="201">
        <f t="shared" si="111"/>
        <v>45717</v>
      </c>
      <c r="U34" s="201">
        <f t="shared" si="111"/>
        <v>45748</v>
      </c>
      <c r="V34" s="201">
        <f t="shared" si="111"/>
        <v>45778</v>
      </c>
      <c r="W34" s="201">
        <f t="shared" si="111"/>
        <v>45809</v>
      </c>
      <c r="X34" s="201">
        <f t="shared" si="111"/>
        <v>45839</v>
      </c>
      <c r="Y34" s="201">
        <f t="shared" si="111"/>
        <v>45870</v>
      </c>
      <c r="Z34" s="201">
        <f t="shared" si="111"/>
        <v>45901</v>
      </c>
      <c r="AA34" s="201">
        <f t="shared" si="111"/>
        <v>45931</v>
      </c>
      <c r="AB34" s="201">
        <f t="shared" si="111"/>
        <v>45962</v>
      </c>
      <c r="AC34" s="201">
        <f t="shared" si="111"/>
        <v>45992</v>
      </c>
      <c r="AD34" s="201">
        <f t="shared" si="111"/>
        <v>46023</v>
      </c>
      <c r="AE34" s="201">
        <f t="shared" si="111"/>
        <v>46054</v>
      </c>
      <c r="AF34" s="201">
        <f t="shared" si="111"/>
        <v>46082</v>
      </c>
      <c r="AG34" s="201">
        <f t="shared" si="111"/>
        <v>46113</v>
      </c>
      <c r="AH34" s="201">
        <f t="shared" si="111"/>
        <v>46143</v>
      </c>
      <c r="AI34" s="201">
        <f t="shared" si="111"/>
        <v>46174</v>
      </c>
      <c r="AJ34" s="201">
        <f t="shared" si="111"/>
        <v>46204</v>
      </c>
      <c r="AK34" s="201">
        <f t="shared" si="111"/>
        <v>46235</v>
      </c>
      <c r="AL34" s="201">
        <f t="shared" si="111"/>
        <v>46266</v>
      </c>
      <c r="AM34" s="201">
        <f t="shared" si="111"/>
        <v>46296</v>
      </c>
      <c r="AN34" s="201">
        <f t="shared" si="111"/>
        <v>46327</v>
      </c>
      <c r="AO34" s="201">
        <f t="shared" si="111"/>
        <v>46357</v>
      </c>
      <c r="AP34" s="201">
        <f t="shared" si="111"/>
        <v>46388</v>
      </c>
      <c r="AQ34" s="201">
        <f t="shared" si="111"/>
        <v>46419</v>
      </c>
      <c r="AR34" s="201">
        <f t="shared" si="111"/>
        <v>46447</v>
      </c>
      <c r="AS34" s="201">
        <f t="shared" si="111"/>
        <v>46478</v>
      </c>
      <c r="AT34" s="201">
        <f t="shared" si="111"/>
        <v>46508</v>
      </c>
      <c r="AU34" s="201">
        <f t="shared" si="111"/>
        <v>46539</v>
      </c>
      <c r="AV34" s="201">
        <f t="shared" si="111"/>
        <v>46569</v>
      </c>
      <c r="AW34" s="201">
        <f t="shared" si="111"/>
        <v>46600</v>
      </c>
      <c r="AX34" s="201">
        <f t="shared" si="111"/>
        <v>46631</v>
      </c>
      <c r="AY34" s="201">
        <f t="shared" si="111"/>
        <v>46661</v>
      </c>
      <c r="AZ34" s="201">
        <f t="shared" si="111"/>
        <v>46692</v>
      </c>
      <c r="BA34" s="201">
        <f t="shared" si="111"/>
        <v>46722</v>
      </c>
      <c r="BB34" s="201">
        <f t="shared" si="111"/>
        <v>46753</v>
      </c>
      <c r="BC34" s="201">
        <f t="shared" si="111"/>
        <v>46784</v>
      </c>
      <c r="BD34" s="201">
        <f t="shared" si="111"/>
        <v>46813</v>
      </c>
      <c r="BE34" s="201">
        <f t="shared" si="111"/>
        <v>46844</v>
      </c>
      <c r="BF34" s="201">
        <f t="shared" si="111"/>
        <v>46874</v>
      </c>
      <c r="BG34" s="201">
        <f t="shared" si="111"/>
        <v>46905</v>
      </c>
      <c r="BH34" s="201">
        <f t="shared" si="111"/>
        <v>46935</v>
      </c>
      <c r="BI34" s="201">
        <f t="shared" si="111"/>
        <v>46966</v>
      </c>
      <c r="BJ34" s="201">
        <f t="shared" si="111"/>
        <v>46997</v>
      </c>
      <c r="BK34" s="201">
        <f t="shared" si="111"/>
        <v>47027</v>
      </c>
      <c r="BL34" s="201">
        <f t="shared" si="111"/>
        <v>47058</v>
      </c>
      <c r="BM34" s="201">
        <f t="shared" si="111"/>
        <v>47088</v>
      </c>
      <c r="BN34" s="201">
        <f t="shared" si="111"/>
        <v>47119</v>
      </c>
      <c r="BO34" s="201">
        <f t="shared" si="111"/>
        <v>47150</v>
      </c>
      <c r="BP34" s="201">
        <f t="shared" si="111"/>
        <v>47178</v>
      </c>
      <c r="BQ34" s="201">
        <f t="shared" si="111"/>
        <v>47209</v>
      </c>
      <c r="BR34" s="201">
        <f t="shared" si="111"/>
        <v>47239</v>
      </c>
      <c r="BS34" s="201">
        <f t="shared" si="111"/>
        <v>47270</v>
      </c>
      <c r="BT34" s="201">
        <f t="shared" si="111"/>
        <v>47300</v>
      </c>
      <c r="BU34" s="201">
        <f t="shared" si="111"/>
        <v>47331</v>
      </c>
      <c r="BV34" s="201">
        <f t="shared" ref="BV34:BX34" si="112">BV3</f>
        <v>47362</v>
      </c>
      <c r="BW34" s="201">
        <f t="shared" si="112"/>
        <v>47392</v>
      </c>
      <c r="BX34" s="201">
        <f t="shared" si="112"/>
        <v>47423</v>
      </c>
      <c r="BY34" s="201">
        <f t="shared" ref="BY34:CK34" si="113">BY3</f>
        <v>47453</v>
      </c>
      <c r="BZ34" s="201">
        <f t="shared" si="113"/>
        <v>47484</v>
      </c>
      <c r="CA34" s="201">
        <f t="shared" si="113"/>
        <v>47515</v>
      </c>
      <c r="CB34" s="201">
        <f t="shared" si="113"/>
        <v>47543</v>
      </c>
      <c r="CC34" s="201">
        <f t="shared" si="113"/>
        <v>47574</v>
      </c>
      <c r="CD34" s="201">
        <f t="shared" si="113"/>
        <v>47604</v>
      </c>
      <c r="CE34" s="201">
        <f t="shared" si="113"/>
        <v>47635</v>
      </c>
      <c r="CF34" s="201">
        <f t="shared" si="113"/>
        <v>47665</v>
      </c>
      <c r="CG34" s="201">
        <f t="shared" si="113"/>
        <v>47696</v>
      </c>
      <c r="CH34" s="201">
        <f t="shared" si="113"/>
        <v>47727</v>
      </c>
      <c r="CI34" s="201">
        <f t="shared" si="113"/>
        <v>47757</v>
      </c>
      <c r="CJ34" s="201">
        <f t="shared" si="113"/>
        <v>47788</v>
      </c>
      <c r="CK34" s="201">
        <f t="shared" si="113"/>
        <v>47818</v>
      </c>
      <c r="CM34" s="202">
        <v>2024</v>
      </c>
      <c r="CN34" s="202">
        <f>CM34+1</f>
        <v>2025</v>
      </c>
      <c r="CO34" s="202">
        <f t="shared" ref="CO34" si="114">CN34+1</f>
        <v>2026</v>
      </c>
      <c r="CP34" s="202">
        <f t="shared" ref="CP34" si="115">CO34+1</f>
        <v>2027</v>
      </c>
      <c r="CQ34" s="202">
        <f t="shared" ref="CQ34" si="116">CP34+1</f>
        <v>2028</v>
      </c>
      <c r="CR34" s="202">
        <f t="shared" ref="CR34" si="117">CQ34+1</f>
        <v>2029</v>
      </c>
      <c r="CS34" s="202">
        <f t="shared" ref="CS34" si="118">CR34+1</f>
        <v>2030</v>
      </c>
    </row>
    <row r="35" spans="2:99" x14ac:dyDescent="0.2">
      <c r="B35" s="92" t="s">
        <v>3</v>
      </c>
      <c r="C35" s="91" t="s">
        <v>4</v>
      </c>
      <c r="D35" s="9"/>
      <c r="F35" s="10">
        <v>0</v>
      </c>
      <c r="G35" s="10">
        <v>0</v>
      </c>
      <c r="H35" s="10">
        <v>0</v>
      </c>
      <c r="I35" s="10">
        <v>0</v>
      </c>
      <c r="J35" s="10">
        <v>0</v>
      </c>
      <c r="K35" s="10">
        <v>0</v>
      </c>
      <c r="L35" s="10">
        <v>0</v>
      </c>
      <c r="M35" s="10">
        <v>0</v>
      </c>
      <c r="N35" s="10">
        <v>0</v>
      </c>
      <c r="O35" s="10">
        <v>0</v>
      </c>
      <c r="P35" s="10">
        <v>0</v>
      </c>
      <c r="Q35" s="10">
        <v>0</v>
      </c>
      <c r="R35" s="10">
        <v>0</v>
      </c>
      <c r="S35" s="10">
        <v>0</v>
      </c>
      <c r="T35" s="10">
        <v>47.198920000000001</v>
      </c>
      <c r="U35" s="10">
        <v>66.115049999999997</v>
      </c>
      <c r="V35" s="10">
        <v>62.76032</v>
      </c>
      <c r="W35" s="10">
        <v>358</v>
      </c>
      <c r="X35" s="10">
        <v>926.7273100000001</v>
      </c>
      <c r="Y35" s="10">
        <v>571.68124</v>
      </c>
      <c r="Z35" s="10">
        <v>301.61909000000003</v>
      </c>
      <c r="AA35" s="10">
        <v>256.59169000000003</v>
      </c>
      <c r="AB35" s="10">
        <v>18.604800000000001</v>
      </c>
      <c r="AC35" s="10">
        <v>22.743790000000001</v>
      </c>
      <c r="AD35" s="10"/>
      <c r="AE35" s="10"/>
      <c r="AF35" s="10"/>
      <c r="AG35" s="10"/>
      <c r="AH35" s="10">
        <f>AC35*1.05</f>
        <v>23.880979500000002</v>
      </c>
      <c r="AI35" s="10">
        <f t="shared" ref="AI35:AO35" si="119">AH35*1.05</f>
        <v>25.075028475000003</v>
      </c>
      <c r="AJ35" s="10">
        <f t="shared" si="119"/>
        <v>26.328779898750003</v>
      </c>
      <c r="AK35" s="10">
        <f t="shared" si="119"/>
        <v>27.645218893687506</v>
      </c>
      <c r="AL35" s="10">
        <f>AK35*1.05</f>
        <v>29.027479838371882</v>
      </c>
      <c r="AM35" s="10">
        <f t="shared" si="119"/>
        <v>30.478853830290475</v>
      </c>
      <c r="AN35" s="10">
        <f t="shared" si="119"/>
        <v>32.002796521805003</v>
      </c>
      <c r="AO35" s="10">
        <f t="shared" si="119"/>
        <v>33.602936347895252</v>
      </c>
      <c r="AP35" s="10">
        <f>AO35*1.02</f>
        <v>34.274995074853159</v>
      </c>
      <c r="AQ35" s="10">
        <f t="shared" ref="AQ35:BX35" si="120">AP35*1.02</f>
        <v>34.960494976350226</v>
      </c>
      <c r="AR35" s="10">
        <f t="shared" si="120"/>
        <v>35.659704875877232</v>
      </c>
      <c r="AS35" s="10">
        <f t="shared" si="120"/>
        <v>36.372898973394776</v>
      </c>
      <c r="AT35" s="10">
        <f t="shared" si="120"/>
        <v>37.100356952862668</v>
      </c>
      <c r="AU35" s="10">
        <f t="shared" si="120"/>
        <v>37.842364091919926</v>
      </c>
      <c r="AV35" s="10">
        <f t="shared" si="120"/>
        <v>38.599211373758322</v>
      </c>
      <c r="AW35" s="10">
        <f t="shared" si="120"/>
        <v>39.371195601233488</v>
      </c>
      <c r="AX35" s="10">
        <f t="shared" si="120"/>
        <v>40.158619513258159</v>
      </c>
      <c r="AY35" s="10">
        <f t="shared" si="120"/>
        <v>40.96179190352332</v>
      </c>
      <c r="AZ35" s="10">
        <f t="shared" si="120"/>
        <v>41.781027741593789</v>
      </c>
      <c r="BA35" s="10">
        <f t="shared" si="120"/>
        <v>42.616648296425666</v>
      </c>
      <c r="BB35" s="10">
        <f t="shared" si="120"/>
        <v>43.468981262354177</v>
      </c>
      <c r="BC35" s="10">
        <f t="shared" si="120"/>
        <v>44.338360887601262</v>
      </c>
      <c r="BD35" s="10">
        <f t="shared" si="120"/>
        <v>45.225128105353285</v>
      </c>
      <c r="BE35" s="10">
        <f t="shared" si="120"/>
        <v>46.129630667460354</v>
      </c>
      <c r="BF35" s="10">
        <f t="shared" si="120"/>
        <v>47.052223280809564</v>
      </c>
      <c r="BG35" s="10">
        <f t="shared" si="120"/>
        <v>47.993267746425758</v>
      </c>
      <c r="BH35" s="10">
        <f t="shared" si="120"/>
        <v>48.953133101354275</v>
      </c>
      <c r="BI35" s="10">
        <f t="shared" si="120"/>
        <v>49.932195763381365</v>
      </c>
      <c r="BJ35" s="10">
        <f t="shared" si="120"/>
        <v>50.930839678648994</v>
      </c>
      <c r="BK35" s="10">
        <f t="shared" si="120"/>
        <v>51.949456472221975</v>
      </c>
      <c r="BL35" s="10">
        <f t="shared" si="120"/>
        <v>52.988445601666413</v>
      </c>
      <c r="BM35" s="10">
        <f t="shared" si="120"/>
        <v>54.04821451369974</v>
      </c>
      <c r="BN35" s="10">
        <f t="shared" si="120"/>
        <v>55.129178803973737</v>
      </c>
      <c r="BO35" s="10">
        <f t="shared" si="120"/>
        <v>56.231762380053212</v>
      </c>
      <c r="BP35" s="10">
        <f t="shared" si="120"/>
        <v>57.356397627654275</v>
      </c>
      <c r="BQ35" s="10">
        <f t="shared" si="120"/>
        <v>58.503525580207359</v>
      </c>
      <c r="BR35" s="10">
        <f t="shared" si="120"/>
        <v>59.673596091811504</v>
      </c>
      <c r="BS35" s="10">
        <f t="shared" si="120"/>
        <v>60.867068013647739</v>
      </c>
      <c r="BT35" s="10">
        <f t="shared" si="120"/>
        <v>62.084409373920693</v>
      </c>
      <c r="BU35" s="10">
        <f t="shared" si="120"/>
        <v>63.326097561399109</v>
      </c>
      <c r="BV35" s="10">
        <f t="shared" si="120"/>
        <v>64.592619512627095</v>
      </c>
      <c r="BW35" s="10">
        <f t="shared" si="120"/>
        <v>65.884471902879639</v>
      </c>
      <c r="BX35" s="10">
        <f t="shared" si="120"/>
        <v>67.202161340937238</v>
      </c>
      <c r="BY35" s="10">
        <f t="shared" ref="BY35" si="121">BX35*1.02</f>
        <v>68.546204567755979</v>
      </c>
      <c r="BZ35" s="10">
        <f t="shared" ref="BZ35" si="122">BY35*1.02</f>
        <v>69.9171286591111</v>
      </c>
      <c r="CA35" s="10">
        <f t="shared" ref="CA35" si="123">BZ35*1.02</f>
        <v>71.315471232293319</v>
      </c>
      <c r="CB35" s="10">
        <f t="shared" ref="CB35" si="124">CA35*1.02</f>
        <v>72.741780656939184</v>
      </c>
      <c r="CC35" s="10">
        <f t="shared" ref="CC35" si="125">CB35*1.02</f>
        <v>74.196616270077968</v>
      </c>
      <c r="CD35" s="10">
        <f t="shared" ref="CD35" si="126">CC35*1.02</f>
        <v>75.680548595479522</v>
      </c>
      <c r="CE35" s="10">
        <f t="shared" ref="CE35" si="127">CD35*1.02</f>
        <v>77.194159567389107</v>
      </c>
      <c r="CF35" s="10">
        <f t="shared" ref="CF35" si="128">CE35*1.02</f>
        <v>78.738042758736896</v>
      </c>
      <c r="CG35" s="10">
        <f t="shared" ref="CG35" si="129">CF35*1.02</f>
        <v>80.31280361391164</v>
      </c>
      <c r="CH35" s="10">
        <f t="shared" ref="CH35" si="130">CG35*1.02</f>
        <v>81.919059686189868</v>
      </c>
      <c r="CI35" s="10">
        <f t="shared" ref="CI35" si="131">CH35*1.02</f>
        <v>83.557440879913671</v>
      </c>
      <c r="CJ35" s="10">
        <f t="shared" ref="CJ35" si="132">CI35*1.02</f>
        <v>85.22858969751195</v>
      </c>
      <c r="CK35" s="10">
        <f t="shared" ref="CK35" si="133">CJ35*1.02</f>
        <v>86.933161491462187</v>
      </c>
      <c r="CM35" s="10">
        <f>SUMIF($L$2:$CK$2,CM$3,$L35:$CK35)</f>
        <v>0</v>
      </c>
      <c r="CN35" s="10">
        <f>SUMIF($L$2:$CK$2,CN$3,$L35:$CK35)</f>
        <v>2632.0422100000005</v>
      </c>
      <c r="CO35" s="10">
        <f>SUMIF($L$2:$CK$2,CO$3,$L35:$CK35)</f>
        <v>228.0420733058001</v>
      </c>
      <c r="CP35" s="10">
        <f>SUMIF($L$2:$CK$2,CP$3,$L35:$CK35)</f>
        <v>459.69930937505069</v>
      </c>
      <c r="CQ35" s="10">
        <f>SUMIF($L$2:$CK$2,CQ$3,$L35:$CK35)</f>
        <v>583.00987708097716</v>
      </c>
      <c r="CR35" s="10">
        <f t="shared" ref="CR35:CS35" si="134">SUMIF($L$2:$CK$2,CR$3,$L35:$CK35)</f>
        <v>739.39749275686768</v>
      </c>
      <c r="CS35" s="10">
        <f t="shared" si="134"/>
        <v>937.73480310901641</v>
      </c>
    </row>
    <row r="36" spans="2:99" x14ac:dyDescent="0.2">
      <c r="B36" s="190" t="s">
        <v>317</v>
      </c>
      <c r="C36" s="204" t="s">
        <v>59</v>
      </c>
      <c r="D36" s="9"/>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M36" s="10"/>
      <c r="CN36" s="205"/>
      <c r="CO36" s="205">
        <f t="shared" ref="CO36:CQ36" si="135">CO35/CN35-1</f>
        <v>-0.91335926436156967</v>
      </c>
      <c r="CP36" s="205">
        <f t="shared" si="135"/>
        <v>1.0158530516366717</v>
      </c>
      <c r="CQ36" s="205">
        <f t="shared" si="135"/>
        <v>0.26824179456254571</v>
      </c>
      <c r="CR36" s="205">
        <f t="shared" ref="CR36" si="136">CR35/CQ35-1</f>
        <v>0.26824179456254571</v>
      </c>
      <c r="CS36" s="205">
        <f t="shared" ref="CS36" si="137">CS35/CR35-1</f>
        <v>0.26824179456254527</v>
      </c>
    </row>
    <row r="37" spans="2:99" x14ac:dyDescent="0.2">
      <c r="B37" s="92" t="s">
        <v>5</v>
      </c>
      <c r="C37" s="91" t="s">
        <v>4</v>
      </c>
      <c r="D37" s="9"/>
      <c r="F37" s="10"/>
      <c r="G37" s="10"/>
      <c r="H37" s="10"/>
      <c r="I37" s="10"/>
      <c r="J37" s="10"/>
      <c r="K37" s="10"/>
      <c r="L37" s="10"/>
      <c r="M37" s="10"/>
      <c r="N37" s="10"/>
      <c r="O37" s="10">
        <v>0</v>
      </c>
      <c r="P37" s="10">
        <v>0</v>
      </c>
      <c r="Q37" s="10">
        <v>0</v>
      </c>
      <c r="R37" s="10">
        <v>0</v>
      </c>
      <c r="S37" s="10">
        <v>0</v>
      </c>
      <c r="T37" s="10">
        <v>0</v>
      </c>
      <c r="U37" s="10">
        <v>0.88</v>
      </c>
      <c r="V37" s="10">
        <v>0.88</v>
      </c>
      <c r="W37" s="10">
        <v>0</v>
      </c>
      <c r="X37" s="10">
        <v>0</v>
      </c>
      <c r="Y37" s="10">
        <v>6.8319999999999999</v>
      </c>
      <c r="Z37" s="10">
        <v>5.66</v>
      </c>
      <c r="AA37" s="10">
        <v>6.4409999999999998</v>
      </c>
      <c r="AB37" s="10">
        <v>7.1029999999999998</v>
      </c>
      <c r="AC37" s="10">
        <v>7.3579999999999997</v>
      </c>
      <c r="AD37" s="10"/>
      <c r="AE37" s="10"/>
      <c r="AF37" s="10"/>
      <c r="AG37" s="10"/>
      <c r="AH37" s="10">
        <f t="shared" ref="AH37" si="138">AC37*1.05</f>
        <v>7.7259000000000002</v>
      </c>
      <c r="AI37" s="10">
        <f>AH37*1.05</f>
        <v>8.1121949999999998</v>
      </c>
      <c r="AJ37" s="10">
        <f t="shared" ref="AJ37:AO37" si="139">AI37*1.05</f>
        <v>8.5178047499999998</v>
      </c>
      <c r="AK37" s="10">
        <f t="shared" si="139"/>
        <v>8.9436949875000007</v>
      </c>
      <c r="AL37" s="10">
        <f t="shared" si="139"/>
        <v>9.3908797368750019</v>
      </c>
      <c r="AM37" s="10">
        <f t="shared" si="139"/>
        <v>9.8604237237187515</v>
      </c>
      <c r="AN37" s="10">
        <f t="shared" si="139"/>
        <v>10.35344490990469</v>
      </c>
      <c r="AO37" s="10">
        <f t="shared" si="139"/>
        <v>10.871117155399926</v>
      </c>
      <c r="AP37" s="10">
        <f>AO37*1.02</f>
        <v>11.088539498507924</v>
      </c>
      <c r="AQ37" s="10">
        <f t="shared" ref="AQ37:BX37" si="140">AP37*1.02</f>
        <v>11.310310288478082</v>
      </c>
      <c r="AR37" s="10">
        <f t="shared" si="140"/>
        <v>11.536516494247644</v>
      </c>
      <c r="AS37" s="10">
        <f t="shared" si="140"/>
        <v>11.767246824132597</v>
      </c>
      <c r="AT37" s="10">
        <f t="shared" si="140"/>
        <v>12.00259176061525</v>
      </c>
      <c r="AU37" s="10">
        <f t="shared" si="140"/>
        <v>12.242643595827555</v>
      </c>
      <c r="AV37" s="10">
        <f t="shared" si="140"/>
        <v>12.487496467744107</v>
      </c>
      <c r="AW37" s="10">
        <f t="shared" si="140"/>
        <v>12.737246397098989</v>
      </c>
      <c r="AX37" s="10">
        <f t="shared" si="140"/>
        <v>12.991991325040969</v>
      </c>
      <c r="AY37" s="10">
        <f t="shared" si="140"/>
        <v>13.251831151541788</v>
      </c>
      <c r="AZ37" s="10">
        <f t="shared" si="140"/>
        <v>13.516867774572624</v>
      </c>
      <c r="BA37" s="10">
        <f t="shared" si="140"/>
        <v>13.787205130064077</v>
      </c>
      <c r="BB37" s="10">
        <f t="shared" si="140"/>
        <v>14.062949232665359</v>
      </c>
      <c r="BC37" s="10">
        <f t="shared" si="140"/>
        <v>14.344208217318666</v>
      </c>
      <c r="BD37" s="10">
        <f t="shared" si="140"/>
        <v>14.63109238166504</v>
      </c>
      <c r="BE37" s="10">
        <f t="shared" si="140"/>
        <v>14.923714229298341</v>
      </c>
      <c r="BF37" s="10">
        <f t="shared" si="140"/>
        <v>15.222188513884308</v>
      </c>
      <c r="BG37" s="10">
        <f t="shared" si="140"/>
        <v>15.526632284161995</v>
      </c>
      <c r="BH37" s="10">
        <f t="shared" si="140"/>
        <v>15.837164929845235</v>
      </c>
      <c r="BI37" s="10">
        <f t="shared" si="140"/>
        <v>16.153908228442141</v>
      </c>
      <c r="BJ37" s="10">
        <f t="shared" si="140"/>
        <v>16.476986393010986</v>
      </c>
      <c r="BK37" s="10">
        <f t="shared" si="140"/>
        <v>16.806526120871204</v>
      </c>
      <c r="BL37" s="10">
        <f t="shared" si="140"/>
        <v>17.142656643288628</v>
      </c>
      <c r="BM37" s="10">
        <f t="shared" si="140"/>
        <v>17.485509776154402</v>
      </c>
      <c r="BN37" s="10">
        <f t="shared" si="140"/>
        <v>17.835219971677489</v>
      </c>
      <c r="BO37" s="10">
        <f t="shared" si="140"/>
        <v>18.191924371111039</v>
      </c>
      <c r="BP37" s="10">
        <f t="shared" si="140"/>
        <v>18.55576285853326</v>
      </c>
      <c r="BQ37" s="10">
        <f t="shared" si="140"/>
        <v>18.926878115703925</v>
      </c>
      <c r="BR37" s="10">
        <f t="shared" si="140"/>
        <v>19.305415678018004</v>
      </c>
      <c r="BS37" s="10">
        <f t="shared" si="140"/>
        <v>19.691523991578364</v>
      </c>
      <c r="BT37" s="10">
        <f t="shared" si="140"/>
        <v>20.085354471409932</v>
      </c>
      <c r="BU37" s="10">
        <f t="shared" si="140"/>
        <v>20.487061560838132</v>
      </c>
      <c r="BV37" s="10">
        <f t="shared" si="140"/>
        <v>20.896802792054896</v>
      </c>
      <c r="BW37" s="10">
        <f t="shared" si="140"/>
        <v>21.314738847895995</v>
      </c>
      <c r="BX37" s="10">
        <f t="shared" si="140"/>
        <v>21.741033624853916</v>
      </c>
      <c r="BY37" s="10">
        <f t="shared" ref="BY37" si="141">BX37*1.02</f>
        <v>22.175854297350995</v>
      </c>
      <c r="BZ37" s="10">
        <f t="shared" ref="BZ37" si="142">BY37*1.02</f>
        <v>22.619371383298017</v>
      </c>
      <c r="CA37" s="10">
        <f t="shared" ref="CA37" si="143">BZ37*1.02</f>
        <v>23.071758810963978</v>
      </c>
      <c r="CB37" s="10">
        <f t="shared" ref="CB37" si="144">CA37*1.02</f>
        <v>23.533193987183257</v>
      </c>
      <c r="CC37" s="10">
        <f t="shared" ref="CC37" si="145">CB37*1.02</f>
        <v>24.003857866926921</v>
      </c>
      <c r="CD37" s="10">
        <f t="shared" ref="CD37" si="146">CC37*1.02</f>
        <v>24.48393502426546</v>
      </c>
      <c r="CE37" s="10">
        <f t="shared" ref="CE37" si="147">CD37*1.02</f>
        <v>24.97361372475077</v>
      </c>
      <c r="CF37" s="10">
        <f t="shared" ref="CF37" si="148">CE37*1.02</f>
        <v>25.473085999245786</v>
      </c>
      <c r="CG37" s="10">
        <f t="shared" ref="CG37" si="149">CF37*1.02</f>
        <v>25.982547719230702</v>
      </c>
      <c r="CH37" s="10">
        <f t="shared" ref="CH37" si="150">CG37*1.02</f>
        <v>26.502198673615318</v>
      </c>
      <c r="CI37" s="10">
        <f t="shared" ref="CI37" si="151">CH37*1.02</f>
        <v>27.032242647087624</v>
      </c>
      <c r="CJ37" s="10">
        <f t="shared" ref="CJ37" si="152">CI37*1.02</f>
        <v>27.572887500029378</v>
      </c>
      <c r="CK37" s="10">
        <f t="shared" ref="CK37" si="153">CJ37*1.02</f>
        <v>28.124345250029965</v>
      </c>
      <c r="CM37" s="10">
        <f>SUMIF($L$2:$CK$2,CM$3,$L37:$CK37)</f>
        <v>0</v>
      </c>
      <c r="CN37" s="10">
        <f>SUMIF($L$2:$CK$2,CN$3,$L37:$CK37)</f>
        <v>35.153999999999996</v>
      </c>
      <c r="CO37" s="10">
        <f>SUMIF($L$2:$CK$2,CO$3,$L37:$CK37)</f>
        <v>73.775460263398372</v>
      </c>
      <c r="CP37" s="10">
        <f>SUMIF($L$2:$CK$2,CP$3,$L37:$CK37)</f>
        <v>148.72048670787163</v>
      </c>
      <c r="CQ37" s="10">
        <f>SUMIF($L$2:$CK$2,CQ$3,$L37:$CK37)</f>
        <v>188.61353695060629</v>
      </c>
      <c r="CR37" s="10">
        <f t="shared" ref="CR37:CS37" si="154">SUMIF($L$2:$CK$2,CR$3,$L37:$CK37)</f>
        <v>239.20757058102595</v>
      </c>
      <c r="CS37" s="10">
        <f t="shared" si="154"/>
        <v>303.37303858662722</v>
      </c>
    </row>
    <row r="38" spans="2:99" x14ac:dyDescent="0.2">
      <c r="B38" s="190" t="s">
        <v>317</v>
      </c>
      <c r="C38" s="204" t="s">
        <v>59</v>
      </c>
      <c r="D38" s="9"/>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M38" s="10"/>
      <c r="CN38" s="205"/>
      <c r="CO38" s="205">
        <f t="shared" ref="CO38:CQ38" si="155">CO37/CN37-1</f>
        <v>1.0986362935483411</v>
      </c>
      <c r="CP38" s="205">
        <f t="shared" si="155"/>
        <v>1.0158530516366717</v>
      </c>
      <c r="CQ38" s="205">
        <f t="shared" si="155"/>
        <v>0.26824179456254527</v>
      </c>
      <c r="CR38" s="205">
        <f t="shared" ref="CR38" si="156">CR37/CQ37-1</f>
        <v>0.26824179456254571</v>
      </c>
      <c r="CS38" s="205">
        <f t="shared" ref="CS38" si="157">CS37/CR37-1</f>
        <v>0.26824179456254593</v>
      </c>
    </row>
    <row r="39" spans="2:99" x14ac:dyDescent="0.2">
      <c r="B39" s="20" t="s">
        <v>6</v>
      </c>
      <c r="C39" s="23" t="s">
        <v>4</v>
      </c>
      <c r="D39" s="102"/>
      <c r="F39" s="24">
        <f t="shared" ref="F39:AK39" si="158">F35+F37</f>
        <v>0</v>
      </c>
      <c r="G39" s="24">
        <f t="shared" si="158"/>
        <v>0</v>
      </c>
      <c r="H39" s="24">
        <f t="shared" si="158"/>
        <v>0</v>
      </c>
      <c r="I39" s="24">
        <f t="shared" si="158"/>
        <v>0</v>
      </c>
      <c r="J39" s="24">
        <f t="shared" si="158"/>
        <v>0</v>
      </c>
      <c r="K39" s="24">
        <f t="shared" si="158"/>
        <v>0</v>
      </c>
      <c r="L39" s="24">
        <f t="shared" si="158"/>
        <v>0</v>
      </c>
      <c r="M39" s="24">
        <f t="shared" si="158"/>
        <v>0</v>
      </c>
      <c r="N39" s="24">
        <f t="shared" si="158"/>
        <v>0</v>
      </c>
      <c r="O39" s="24">
        <f t="shared" si="158"/>
        <v>0</v>
      </c>
      <c r="P39" s="24">
        <f t="shared" si="158"/>
        <v>0</v>
      </c>
      <c r="Q39" s="24">
        <f t="shared" si="158"/>
        <v>0</v>
      </c>
      <c r="R39" s="24">
        <f t="shared" si="158"/>
        <v>0</v>
      </c>
      <c r="S39" s="24">
        <f t="shared" si="158"/>
        <v>0</v>
      </c>
      <c r="T39" s="24">
        <f t="shared" si="158"/>
        <v>47.198920000000001</v>
      </c>
      <c r="U39" s="24">
        <f t="shared" si="158"/>
        <v>66.995049999999992</v>
      </c>
      <c r="V39" s="24">
        <f t="shared" si="158"/>
        <v>63.640320000000003</v>
      </c>
      <c r="W39" s="24">
        <f t="shared" si="158"/>
        <v>358</v>
      </c>
      <c r="X39" s="24">
        <f t="shared" si="158"/>
        <v>926.7273100000001</v>
      </c>
      <c r="Y39" s="24">
        <f t="shared" si="158"/>
        <v>578.51324</v>
      </c>
      <c r="Z39" s="24">
        <f t="shared" si="158"/>
        <v>307.27909000000005</v>
      </c>
      <c r="AA39" s="24">
        <f t="shared" si="158"/>
        <v>263.03269</v>
      </c>
      <c r="AB39" s="24">
        <f t="shared" si="158"/>
        <v>25.707799999999999</v>
      </c>
      <c r="AC39" s="24">
        <f t="shared" si="158"/>
        <v>30.101790000000001</v>
      </c>
      <c r="AD39" s="24">
        <f t="shared" si="158"/>
        <v>0</v>
      </c>
      <c r="AE39" s="24">
        <f t="shared" si="158"/>
        <v>0</v>
      </c>
      <c r="AF39" s="24">
        <f t="shared" si="158"/>
        <v>0</v>
      </c>
      <c r="AG39" s="24">
        <f t="shared" si="158"/>
        <v>0</v>
      </c>
      <c r="AH39" s="24">
        <f t="shared" si="158"/>
        <v>31.606879500000002</v>
      </c>
      <c r="AI39" s="24">
        <f t="shared" si="158"/>
        <v>33.187223475000003</v>
      </c>
      <c r="AJ39" s="24">
        <f t="shared" si="158"/>
        <v>34.846584648750003</v>
      </c>
      <c r="AK39" s="24">
        <f t="shared" si="158"/>
        <v>36.588913881187509</v>
      </c>
      <c r="AL39" s="24">
        <f t="shared" ref="AL39:BQ39" si="159">AL35+AL37</f>
        <v>38.418359575246882</v>
      </c>
      <c r="AM39" s="24">
        <f t="shared" si="159"/>
        <v>40.339277554009229</v>
      </c>
      <c r="AN39" s="24">
        <f t="shared" si="159"/>
        <v>42.356241431709691</v>
      </c>
      <c r="AO39" s="24">
        <f t="shared" si="159"/>
        <v>44.474053503295181</v>
      </c>
      <c r="AP39" s="24">
        <f t="shared" si="159"/>
        <v>45.363534573361079</v>
      </c>
      <c r="AQ39" s="24">
        <f t="shared" si="159"/>
        <v>46.270805264828311</v>
      </c>
      <c r="AR39" s="24">
        <f t="shared" si="159"/>
        <v>47.196221370124874</v>
      </c>
      <c r="AS39" s="24">
        <f t="shared" si="159"/>
        <v>48.140145797527374</v>
      </c>
      <c r="AT39" s="24">
        <f t="shared" si="159"/>
        <v>49.102948713477915</v>
      </c>
      <c r="AU39" s="24">
        <f t="shared" si="159"/>
        <v>50.085007687747478</v>
      </c>
      <c r="AV39" s="24">
        <f t="shared" si="159"/>
        <v>51.086707841502431</v>
      </c>
      <c r="AW39" s="24">
        <f t="shared" si="159"/>
        <v>52.108441998332481</v>
      </c>
      <c r="AX39" s="24">
        <f t="shared" si="159"/>
        <v>53.15061083829913</v>
      </c>
      <c r="AY39" s="24">
        <f t="shared" si="159"/>
        <v>54.213623055065106</v>
      </c>
      <c r="AZ39" s="24">
        <f t="shared" si="159"/>
        <v>55.297895516166413</v>
      </c>
      <c r="BA39" s="24">
        <f t="shared" si="159"/>
        <v>56.403853426489746</v>
      </c>
      <c r="BB39" s="24">
        <f t="shared" si="159"/>
        <v>57.531930495019537</v>
      </c>
      <c r="BC39" s="24">
        <f t="shared" si="159"/>
        <v>58.682569104919928</v>
      </c>
      <c r="BD39" s="24">
        <f t="shared" si="159"/>
        <v>59.856220487018327</v>
      </c>
      <c r="BE39" s="24">
        <f t="shared" si="159"/>
        <v>61.053344896758695</v>
      </c>
      <c r="BF39" s="24">
        <f t="shared" si="159"/>
        <v>62.274411794693876</v>
      </c>
      <c r="BG39" s="24">
        <f t="shared" si="159"/>
        <v>63.519900030587749</v>
      </c>
      <c r="BH39" s="24">
        <f t="shared" si="159"/>
        <v>64.790298031199512</v>
      </c>
      <c r="BI39" s="24">
        <f t="shared" si="159"/>
        <v>66.086103991823506</v>
      </c>
      <c r="BJ39" s="24">
        <f t="shared" si="159"/>
        <v>67.407826071659983</v>
      </c>
      <c r="BK39" s="24">
        <f t="shared" si="159"/>
        <v>68.755982593093179</v>
      </c>
      <c r="BL39" s="24">
        <f t="shared" si="159"/>
        <v>70.131102244955045</v>
      </c>
      <c r="BM39" s="24">
        <f t="shared" si="159"/>
        <v>71.533724289854149</v>
      </c>
      <c r="BN39" s="24">
        <f t="shared" si="159"/>
        <v>72.964398775651233</v>
      </c>
      <c r="BO39" s="24">
        <f t="shared" si="159"/>
        <v>74.423686751164254</v>
      </c>
      <c r="BP39" s="24">
        <f t="shared" si="159"/>
        <v>75.912160486187531</v>
      </c>
      <c r="BQ39" s="24">
        <f t="shared" si="159"/>
        <v>77.430403695911281</v>
      </c>
      <c r="BR39" s="24">
        <f t="shared" ref="BR39:BX39" si="160">BR35+BR37</f>
        <v>78.979011769829512</v>
      </c>
      <c r="BS39" s="24">
        <f t="shared" si="160"/>
        <v>80.558592005226103</v>
      </c>
      <c r="BT39" s="24">
        <f t="shared" si="160"/>
        <v>82.169763845330621</v>
      </c>
      <c r="BU39" s="24">
        <f t="shared" si="160"/>
        <v>83.813159122237238</v>
      </c>
      <c r="BV39" s="24">
        <f t="shared" si="160"/>
        <v>85.489422304681995</v>
      </c>
      <c r="BW39" s="24">
        <f t="shared" si="160"/>
        <v>87.199210750775634</v>
      </c>
      <c r="BX39" s="24">
        <f t="shared" si="160"/>
        <v>88.94319496579115</v>
      </c>
      <c r="BY39" s="24">
        <f t="shared" ref="BY39:CK39" si="161">BY35+BY37</f>
        <v>90.722058865106973</v>
      </c>
      <c r="BZ39" s="24">
        <f t="shared" si="161"/>
        <v>92.536500042409116</v>
      </c>
      <c r="CA39" s="24">
        <f t="shared" si="161"/>
        <v>94.38723004325729</v>
      </c>
      <c r="CB39" s="24">
        <f t="shared" si="161"/>
        <v>96.274974644122437</v>
      </c>
      <c r="CC39" s="24">
        <f t="shared" si="161"/>
        <v>98.200474137004889</v>
      </c>
      <c r="CD39" s="24">
        <f t="shared" si="161"/>
        <v>100.16448361974498</v>
      </c>
      <c r="CE39" s="24">
        <f t="shared" si="161"/>
        <v>102.16777329213988</v>
      </c>
      <c r="CF39" s="24">
        <f t="shared" si="161"/>
        <v>104.21112875798268</v>
      </c>
      <c r="CG39" s="24">
        <f t="shared" si="161"/>
        <v>106.29535133314235</v>
      </c>
      <c r="CH39" s="24">
        <f t="shared" si="161"/>
        <v>108.42125835980519</v>
      </c>
      <c r="CI39" s="24">
        <f t="shared" si="161"/>
        <v>110.5896835270013</v>
      </c>
      <c r="CJ39" s="24">
        <f t="shared" si="161"/>
        <v>112.80147719754133</v>
      </c>
      <c r="CK39" s="24">
        <f t="shared" si="161"/>
        <v>115.05750674149215</v>
      </c>
      <c r="CM39" s="24">
        <f>SUMIF($L$2:$CK$2,CM$3,$L39:$CK39)</f>
        <v>0</v>
      </c>
      <c r="CN39" s="24">
        <f>SUMIF($L$2:$CK$2,CN$3,$L39:$CK39)</f>
        <v>2667.1962100000005</v>
      </c>
      <c r="CO39" s="24">
        <f>SUMIF($L$2:$CK$2,CO$3,$L39:$CK39)</f>
        <v>301.81753356919853</v>
      </c>
      <c r="CP39" s="24">
        <f>SUMIF($L$2:$CK$2,CP$3,$L39:$CK39)</f>
        <v>608.41979608292229</v>
      </c>
      <c r="CQ39" s="24">
        <f>SUMIF($L$2:$CK$2,CQ$3,$L39:$CK39)</f>
        <v>771.62341403158359</v>
      </c>
      <c r="CR39" s="24">
        <f t="shared" ref="CR39:CS39" si="162">SUMIF($L$2:$CK$2,CR$3,$L39:$CK39)</f>
        <v>978.6050633378934</v>
      </c>
      <c r="CS39" s="24">
        <f t="shared" si="162"/>
        <v>1241.1078416956434</v>
      </c>
    </row>
    <row r="40" spans="2:99" s="27" customFormat="1" x14ac:dyDescent="0.2">
      <c r="B40" s="207" t="s">
        <v>318</v>
      </c>
      <c r="L40" s="28"/>
      <c r="M40" s="28"/>
      <c r="N40" s="28"/>
      <c r="O40" s="28"/>
      <c r="P40" s="2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9">
        <v>0.3</v>
      </c>
      <c r="AQ40" s="208">
        <f>AP40</f>
        <v>0.3</v>
      </c>
      <c r="AR40" s="208">
        <f t="shared" ref="AR40:BX40" si="163">AQ40</f>
        <v>0.3</v>
      </c>
      <c r="AS40" s="208">
        <f t="shared" si="163"/>
        <v>0.3</v>
      </c>
      <c r="AT40" s="208">
        <f t="shared" si="163"/>
        <v>0.3</v>
      </c>
      <c r="AU40" s="208">
        <f t="shared" si="163"/>
        <v>0.3</v>
      </c>
      <c r="AV40" s="208">
        <f t="shared" si="163"/>
        <v>0.3</v>
      </c>
      <c r="AW40" s="208">
        <f t="shared" si="163"/>
        <v>0.3</v>
      </c>
      <c r="AX40" s="208">
        <f t="shared" si="163"/>
        <v>0.3</v>
      </c>
      <c r="AY40" s="208">
        <f t="shared" si="163"/>
        <v>0.3</v>
      </c>
      <c r="AZ40" s="208">
        <f t="shared" si="163"/>
        <v>0.3</v>
      </c>
      <c r="BA40" s="208">
        <f t="shared" si="163"/>
        <v>0.3</v>
      </c>
      <c r="BB40" s="209">
        <v>0.25</v>
      </c>
      <c r="BC40" s="246">
        <f t="shared" si="163"/>
        <v>0.25</v>
      </c>
      <c r="BD40" s="208">
        <f t="shared" si="163"/>
        <v>0.25</v>
      </c>
      <c r="BE40" s="208">
        <f t="shared" si="163"/>
        <v>0.25</v>
      </c>
      <c r="BF40" s="208">
        <f t="shared" si="163"/>
        <v>0.25</v>
      </c>
      <c r="BG40" s="208">
        <f t="shared" si="163"/>
        <v>0.25</v>
      </c>
      <c r="BH40" s="208">
        <f t="shared" si="163"/>
        <v>0.25</v>
      </c>
      <c r="BI40" s="208">
        <f t="shared" si="163"/>
        <v>0.25</v>
      </c>
      <c r="BJ40" s="208">
        <f t="shared" si="163"/>
        <v>0.25</v>
      </c>
      <c r="BK40" s="208">
        <f t="shared" si="163"/>
        <v>0.25</v>
      </c>
      <c r="BL40" s="208">
        <f t="shared" si="163"/>
        <v>0.25</v>
      </c>
      <c r="BM40" s="208">
        <f t="shared" si="163"/>
        <v>0.25</v>
      </c>
      <c r="BN40" s="209">
        <v>0.22</v>
      </c>
      <c r="BO40" s="208">
        <f t="shared" si="163"/>
        <v>0.22</v>
      </c>
      <c r="BP40" s="208">
        <f t="shared" si="163"/>
        <v>0.22</v>
      </c>
      <c r="BQ40" s="208">
        <f t="shared" si="163"/>
        <v>0.22</v>
      </c>
      <c r="BR40" s="208">
        <f t="shared" si="163"/>
        <v>0.22</v>
      </c>
      <c r="BS40" s="208">
        <f t="shared" si="163"/>
        <v>0.22</v>
      </c>
      <c r="BT40" s="208">
        <f t="shared" si="163"/>
        <v>0.22</v>
      </c>
      <c r="BU40" s="208">
        <f t="shared" si="163"/>
        <v>0.22</v>
      </c>
      <c r="BV40" s="208">
        <f t="shared" si="163"/>
        <v>0.22</v>
      </c>
      <c r="BW40" s="208">
        <f t="shared" si="163"/>
        <v>0.22</v>
      </c>
      <c r="BX40" s="208">
        <f t="shared" si="163"/>
        <v>0.22</v>
      </c>
      <c r="BY40" s="208">
        <f t="shared" ref="BY40" si="164">BX40</f>
        <v>0.22</v>
      </c>
      <c r="BZ40" s="208">
        <f t="shared" ref="BZ40" si="165">BY40</f>
        <v>0.22</v>
      </c>
      <c r="CA40" s="208">
        <f t="shared" ref="CA40" si="166">BZ40</f>
        <v>0.22</v>
      </c>
      <c r="CB40" s="208">
        <f t="shared" ref="CB40" si="167">CA40</f>
        <v>0.22</v>
      </c>
      <c r="CC40" s="208">
        <f t="shared" ref="CC40" si="168">CB40</f>
        <v>0.22</v>
      </c>
      <c r="CD40" s="208">
        <f t="shared" ref="CD40" si="169">CC40</f>
        <v>0.22</v>
      </c>
      <c r="CE40" s="208">
        <f t="shared" ref="CE40" si="170">CD40</f>
        <v>0.22</v>
      </c>
      <c r="CF40" s="208">
        <f t="shared" ref="CF40" si="171">CE40</f>
        <v>0.22</v>
      </c>
      <c r="CG40" s="208">
        <f t="shared" ref="CG40" si="172">CF40</f>
        <v>0.22</v>
      </c>
      <c r="CH40" s="208">
        <f t="shared" ref="CH40" si="173">CG40</f>
        <v>0.22</v>
      </c>
      <c r="CI40" s="208">
        <f t="shared" ref="CI40" si="174">CH40</f>
        <v>0.22</v>
      </c>
      <c r="CJ40" s="208">
        <f t="shared" ref="CJ40" si="175">CI40</f>
        <v>0.22</v>
      </c>
      <c r="CK40" s="208">
        <f t="shared" ref="CK40" si="176">CJ40</f>
        <v>0.22</v>
      </c>
      <c r="CP40" s="208"/>
      <c r="CQ40" s="208"/>
      <c r="CR40" s="208"/>
      <c r="CS40" s="208"/>
      <c r="CT40" s="208"/>
      <c r="CU40" s="208"/>
    </row>
    <row r="42" spans="2:99" x14ac:dyDescent="0.2">
      <c r="B42" s="12" t="s">
        <v>66</v>
      </c>
      <c r="T42" s="244"/>
      <c r="U42" s="244"/>
      <c r="V42" s="244"/>
      <c r="W42" s="244"/>
    </row>
    <row r="43" spans="2:99" x14ac:dyDescent="0.2">
      <c r="B43" s="200" t="s">
        <v>1</v>
      </c>
      <c r="C43" s="200" t="s">
        <v>2</v>
      </c>
      <c r="D43" s="200" t="s">
        <v>38</v>
      </c>
      <c r="F43" s="201">
        <f t="shared" ref="F43:AK43" si="177">F34</f>
        <v>45292</v>
      </c>
      <c r="G43" s="201">
        <f t="shared" si="177"/>
        <v>45323</v>
      </c>
      <c r="H43" s="201">
        <f t="shared" si="177"/>
        <v>45352</v>
      </c>
      <c r="I43" s="201">
        <f t="shared" si="177"/>
        <v>45383</v>
      </c>
      <c r="J43" s="201">
        <f t="shared" si="177"/>
        <v>45413</v>
      </c>
      <c r="K43" s="201">
        <f t="shared" si="177"/>
        <v>45444</v>
      </c>
      <c r="L43" s="201">
        <f t="shared" si="177"/>
        <v>45474</v>
      </c>
      <c r="M43" s="201">
        <f t="shared" si="177"/>
        <v>45505</v>
      </c>
      <c r="N43" s="201">
        <f t="shared" si="177"/>
        <v>45536</v>
      </c>
      <c r="O43" s="201">
        <f t="shared" si="177"/>
        <v>45566</v>
      </c>
      <c r="P43" s="201">
        <f t="shared" si="177"/>
        <v>45597</v>
      </c>
      <c r="Q43" s="201">
        <f t="shared" si="177"/>
        <v>45627</v>
      </c>
      <c r="R43" s="201">
        <f t="shared" si="177"/>
        <v>45658</v>
      </c>
      <c r="S43" s="201">
        <f t="shared" si="177"/>
        <v>45689</v>
      </c>
      <c r="T43" s="201">
        <f t="shared" si="177"/>
        <v>45717</v>
      </c>
      <c r="U43" s="201">
        <f t="shared" si="177"/>
        <v>45748</v>
      </c>
      <c r="V43" s="201">
        <f t="shared" si="177"/>
        <v>45778</v>
      </c>
      <c r="W43" s="201">
        <f t="shared" si="177"/>
        <v>45809</v>
      </c>
      <c r="X43" s="201">
        <f t="shared" si="177"/>
        <v>45839</v>
      </c>
      <c r="Y43" s="201">
        <f t="shared" si="177"/>
        <v>45870</v>
      </c>
      <c r="Z43" s="201">
        <f t="shared" si="177"/>
        <v>45901</v>
      </c>
      <c r="AA43" s="201">
        <f t="shared" si="177"/>
        <v>45931</v>
      </c>
      <c r="AB43" s="201">
        <f t="shared" si="177"/>
        <v>45962</v>
      </c>
      <c r="AC43" s="201">
        <f t="shared" si="177"/>
        <v>45992</v>
      </c>
      <c r="AD43" s="201">
        <f t="shared" si="177"/>
        <v>46023</v>
      </c>
      <c r="AE43" s="201">
        <f t="shared" si="177"/>
        <v>46054</v>
      </c>
      <c r="AF43" s="201">
        <f t="shared" si="177"/>
        <v>46082</v>
      </c>
      <c r="AG43" s="201">
        <f t="shared" si="177"/>
        <v>46113</v>
      </c>
      <c r="AH43" s="201">
        <f t="shared" si="177"/>
        <v>46143</v>
      </c>
      <c r="AI43" s="201">
        <f t="shared" si="177"/>
        <v>46174</v>
      </c>
      <c r="AJ43" s="201">
        <f t="shared" si="177"/>
        <v>46204</v>
      </c>
      <c r="AK43" s="201">
        <f t="shared" si="177"/>
        <v>46235</v>
      </c>
      <c r="AL43" s="201">
        <f t="shared" ref="AL43:BQ43" si="178">AL34</f>
        <v>46266</v>
      </c>
      <c r="AM43" s="201">
        <f t="shared" si="178"/>
        <v>46296</v>
      </c>
      <c r="AN43" s="201">
        <f t="shared" si="178"/>
        <v>46327</v>
      </c>
      <c r="AO43" s="201">
        <f t="shared" si="178"/>
        <v>46357</v>
      </c>
      <c r="AP43" s="201">
        <f t="shared" si="178"/>
        <v>46388</v>
      </c>
      <c r="AQ43" s="201">
        <f t="shared" si="178"/>
        <v>46419</v>
      </c>
      <c r="AR43" s="201">
        <f t="shared" si="178"/>
        <v>46447</v>
      </c>
      <c r="AS43" s="201">
        <f t="shared" si="178"/>
        <v>46478</v>
      </c>
      <c r="AT43" s="201">
        <f t="shared" si="178"/>
        <v>46508</v>
      </c>
      <c r="AU43" s="201">
        <f t="shared" si="178"/>
        <v>46539</v>
      </c>
      <c r="AV43" s="201">
        <f t="shared" si="178"/>
        <v>46569</v>
      </c>
      <c r="AW43" s="201">
        <f t="shared" si="178"/>
        <v>46600</v>
      </c>
      <c r="AX43" s="201">
        <f t="shared" si="178"/>
        <v>46631</v>
      </c>
      <c r="AY43" s="201">
        <f t="shared" si="178"/>
        <v>46661</v>
      </c>
      <c r="AZ43" s="201">
        <f t="shared" si="178"/>
        <v>46692</v>
      </c>
      <c r="BA43" s="201">
        <f t="shared" si="178"/>
        <v>46722</v>
      </c>
      <c r="BB43" s="201">
        <f t="shared" si="178"/>
        <v>46753</v>
      </c>
      <c r="BC43" s="201">
        <f t="shared" si="178"/>
        <v>46784</v>
      </c>
      <c r="BD43" s="201">
        <f t="shared" si="178"/>
        <v>46813</v>
      </c>
      <c r="BE43" s="201">
        <f t="shared" si="178"/>
        <v>46844</v>
      </c>
      <c r="BF43" s="201">
        <f t="shared" si="178"/>
        <v>46874</v>
      </c>
      <c r="BG43" s="201">
        <f t="shared" si="178"/>
        <v>46905</v>
      </c>
      <c r="BH43" s="201">
        <f t="shared" si="178"/>
        <v>46935</v>
      </c>
      <c r="BI43" s="201">
        <f t="shared" si="178"/>
        <v>46966</v>
      </c>
      <c r="BJ43" s="201">
        <f t="shared" si="178"/>
        <v>46997</v>
      </c>
      <c r="BK43" s="201">
        <f t="shared" si="178"/>
        <v>47027</v>
      </c>
      <c r="BL43" s="201">
        <f t="shared" si="178"/>
        <v>47058</v>
      </c>
      <c r="BM43" s="201">
        <f t="shared" si="178"/>
        <v>47088</v>
      </c>
      <c r="BN43" s="201">
        <f t="shared" si="178"/>
        <v>47119</v>
      </c>
      <c r="BO43" s="201">
        <f t="shared" si="178"/>
        <v>47150</v>
      </c>
      <c r="BP43" s="201">
        <f t="shared" si="178"/>
        <v>47178</v>
      </c>
      <c r="BQ43" s="201">
        <f t="shared" si="178"/>
        <v>47209</v>
      </c>
      <c r="BR43" s="201">
        <f t="shared" ref="BR43:BX43" si="179">BR34</f>
        <v>47239</v>
      </c>
      <c r="BS43" s="201">
        <f t="shared" si="179"/>
        <v>47270</v>
      </c>
      <c r="BT43" s="201">
        <f t="shared" si="179"/>
        <v>47300</v>
      </c>
      <c r="BU43" s="201">
        <f t="shared" si="179"/>
        <v>47331</v>
      </c>
      <c r="BV43" s="201">
        <f t="shared" si="179"/>
        <v>47362</v>
      </c>
      <c r="BW43" s="201">
        <f t="shared" si="179"/>
        <v>47392</v>
      </c>
      <c r="BX43" s="201">
        <f t="shared" si="179"/>
        <v>47423</v>
      </c>
      <c r="BY43" s="201">
        <f t="shared" ref="BY43:CK43" si="180">BY34</f>
        <v>47453</v>
      </c>
      <c r="BZ43" s="201">
        <f t="shared" si="180"/>
        <v>47484</v>
      </c>
      <c r="CA43" s="201">
        <f t="shared" si="180"/>
        <v>47515</v>
      </c>
      <c r="CB43" s="201">
        <f t="shared" si="180"/>
        <v>47543</v>
      </c>
      <c r="CC43" s="201">
        <f t="shared" si="180"/>
        <v>47574</v>
      </c>
      <c r="CD43" s="201">
        <f t="shared" si="180"/>
        <v>47604</v>
      </c>
      <c r="CE43" s="201">
        <f t="shared" si="180"/>
        <v>47635</v>
      </c>
      <c r="CF43" s="201">
        <f t="shared" si="180"/>
        <v>47665</v>
      </c>
      <c r="CG43" s="201">
        <f t="shared" si="180"/>
        <v>47696</v>
      </c>
      <c r="CH43" s="201">
        <f t="shared" si="180"/>
        <v>47727</v>
      </c>
      <c r="CI43" s="201">
        <f t="shared" si="180"/>
        <v>47757</v>
      </c>
      <c r="CJ43" s="201">
        <f t="shared" si="180"/>
        <v>47788</v>
      </c>
      <c r="CK43" s="201">
        <f t="shared" si="180"/>
        <v>47818</v>
      </c>
      <c r="CM43" s="202">
        <v>2024</v>
      </c>
      <c r="CN43" s="202">
        <f>CM43+1</f>
        <v>2025</v>
      </c>
      <c r="CO43" s="202">
        <f t="shared" ref="CO43" si="181">CN43+1</f>
        <v>2026</v>
      </c>
      <c r="CP43" s="202">
        <f t="shared" ref="CP43" si="182">CO43+1</f>
        <v>2027</v>
      </c>
      <c r="CQ43" s="202">
        <f t="shared" ref="CQ43" si="183">CP43+1</f>
        <v>2028</v>
      </c>
      <c r="CR43" s="202">
        <f t="shared" ref="CR43" si="184">CQ43+1</f>
        <v>2029</v>
      </c>
      <c r="CS43" s="202">
        <f t="shared" ref="CS43" si="185">CR43+1</f>
        <v>2030</v>
      </c>
    </row>
    <row r="44" spans="2:99" x14ac:dyDescent="0.2">
      <c r="B44" s="96" t="s">
        <v>7</v>
      </c>
      <c r="C44" s="96"/>
      <c r="D44" s="96"/>
      <c r="E44" s="8" t="s">
        <v>165</v>
      </c>
      <c r="F44" s="21">
        <f t="shared" ref="F44:K44" si="186">SUM(F45:F46)</f>
        <v>0</v>
      </c>
      <c r="G44" s="21">
        <f t="shared" si="186"/>
        <v>0</v>
      </c>
      <c r="H44" s="21">
        <f t="shared" si="186"/>
        <v>0</v>
      </c>
      <c r="I44" s="21">
        <f t="shared" si="186"/>
        <v>0</v>
      </c>
      <c r="J44" s="21">
        <f t="shared" si="186"/>
        <v>0</v>
      </c>
      <c r="K44" s="21">
        <f t="shared" si="186"/>
        <v>0</v>
      </c>
      <c r="L44" s="21">
        <f t="shared" ref="L44:AW44" si="187">SUM(L45:L46)</f>
        <v>0</v>
      </c>
      <c r="M44" s="21">
        <f t="shared" si="187"/>
        <v>0</v>
      </c>
      <c r="N44" s="21">
        <f t="shared" si="187"/>
        <v>0</v>
      </c>
      <c r="O44" s="21">
        <f t="shared" si="187"/>
        <v>0</v>
      </c>
      <c r="P44" s="21">
        <f t="shared" si="187"/>
        <v>0</v>
      </c>
      <c r="Q44" s="21">
        <f t="shared" si="187"/>
        <v>0</v>
      </c>
      <c r="R44" s="21">
        <f t="shared" si="187"/>
        <v>0</v>
      </c>
      <c r="S44" s="21">
        <f t="shared" si="187"/>
        <v>0</v>
      </c>
      <c r="T44" s="21">
        <f t="shared" si="187"/>
        <v>43.7</v>
      </c>
      <c r="U44" s="21">
        <f t="shared" si="187"/>
        <v>65.7</v>
      </c>
      <c r="V44" s="21">
        <f t="shared" si="187"/>
        <v>60.2</v>
      </c>
      <c r="W44" s="21">
        <f t="shared" si="187"/>
        <v>302.40000000000003</v>
      </c>
      <c r="X44" s="21">
        <f t="shared" si="187"/>
        <v>571.03638599999999</v>
      </c>
      <c r="Y44" s="21">
        <f t="shared" si="187"/>
        <v>362.10794399999997</v>
      </c>
      <c r="Z44" s="21">
        <f t="shared" si="187"/>
        <v>199.36745400000004</v>
      </c>
      <c r="AA44" s="21">
        <f t="shared" si="187"/>
        <v>172.819614</v>
      </c>
      <c r="AB44" s="21">
        <f t="shared" si="187"/>
        <v>30.424679999999999</v>
      </c>
      <c r="AC44" s="21">
        <f t="shared" si="187"/>
        <v>33.061074000000005</v>
      </c>
      <c r="AD44" s="21">
        <f t="shared" si="187"/>
        <v>15</v>
      </c>
      <c r="AE44" s="21">
        <f t="shared" si="187"/>
        <v>15</v>
      </c>
      <c r="AF44" s="21">
        <f t="shared" si="187"/>
        <v>15</v>
      </c>
      <c r="AG44" s="21">
        <f t="shared" si="187"/>
        <v>15</v>
      </c>
      <c r="AH44" s="21">
        <f t="shared" si="187"/>
        <v>33.964127699999999</v>
      </c>
      <c r="AI44" s="21">
        <f t="shared" si="187"/>
        <v>34.912334084999998</v>
      </c>
      <c r="AJ44" s="21">
        <f t="shared" si="187"/>
        <v>35.907950789250002</v>
      </c>
      <c r="AK44" s="21">
        <f t="shared" si="187"/>
        <v>36.953348328712508</v>
      </c>
      <c r="AL44" s="21">
        <f t="shared" si="187"/>
        <v>38.051015745148128</v>
      </c>
      <c r="AM44" s="21">
        <f t="shared" si="187"/>
        <v>39.203566532405532</v>
      </c>
      <c r="AN44" s="21">
        <f t="shared" si="187"/>
        <v>40.413744859025812</v>
      </c>
      <c r="AO44" s="21">
        <f t="shared" si="187"/>
        <v>41.684432101977109</v>
      </c>
      <c r="AP44" s="21">
        <f t="shared" si="187"/>
        <v>42.218120744016645</v>
      </c>
      <c r="AQ44" s="21">
        <f t="shared" si="187"/>
        <v>42.762483158896984</v>
      </c>
      <c r="AR44" s="21">
        <f t="shared" si="187"/>
        <v>43.317732822074923</v>
      </c>
      <c r="AS44" s="21">
        <f t="shared" si="187"/>
        <v>43.88408747851642</v>
      </c>
      <c r="AT44" s="21">
        <f t="shared" si="187"/>
        <v>44.461769228086752</v>
      </c>
      <c r="AU44" s="21">
        <f t="shared" si="187"/>
        <v>45.051004612648484</v>
      </c>
      <c r="AV44" s="21">
        <f t="shared" si="187"/>
        <v>45.652024704901457</v>
      </c>
      <c r="AW44" s="21">
        <f t="shared" si="187"/>
        <v>46.265065198999487</v>
      </c>
      <c r="AX44" s="21">
        <f t="shared" ref="AX44" si="188">SUM(AX45:AX46)</f>
        <v>46.890366502979475</v>
      </c>
      <c r="AY44" s="21">
        <f t="shared" ref="AY44" si="189">SUM(AY45:AY46)</f>
        <v>47.528173833039062</v>
      </c>
      <c r="AZ44" s="21">
        <f t="shared" ref="AZ44" si="190">SUM(AZ45:AZ46)</f>
        <v>48.178737309699848</v>
      </c>
      <c r="BA44" s="21">
        <f t="shared" ref="BA44" si="191">SUM(BA45:BA46)</f>
        <v>48.842312055893849</v>
      </c>
      <c r="BB44" s="21">
        <f t="shared" ref="BB44" si="192">SUM(BB45:BB46)</f>
        <v>49.519158297011721</v>
      </c>
      <c r="BC44" s="21">
        <f t="shared" ref="BC44" si="193">SUM(BC45:BC46)</f>
        <v>50.209541462951954</v>
      </c>
      <c r="BD44" s="21">
        <f t="shared" ref="BD44" si="194">SUM(BD45:BD46)</f>
        <v>50.913732292210995</v>
      </c>
      <c r="BE44" s="21">
        <f t="shared" ref="BE44" si="195">SUM(BE45:BE46)</f>
        <v>51.632006938055213</v>
      </c>
      <c r="BF44" s="21">
        <f t="shared" ref="BF44" si="196">SUM(BF45:BF46)</f>
        <v>52.364647076816325</v>
      </c>
      <c r="BG44" s="21">
        <f t="shared" ref="BG44" si="197">SUM(BG45:BG46)</f>
        <v>53.111940018352648</v>
      </c>
      <c r="BH44" s="21">
        <f t="shared" ref="BH44" si="198">SUM(BH45:BH46)</f>
        <v>53.874178818719706</v>
      </c>
      <c r="BI44" s="21">
        <f t="shared" ref="BI44" si="199">SUM(BI45:BI46)</f>
        <v>54.6516623950941</v>
      </c>
      <c r="BJ44" s="21">
        <f t="shared" ref="BJ44" si="200">SUM(BJ45:BJ46)</f>
        <v>55.444695642995988</v>
      </c>
      <c r="BK44" s="21">
        <f t="shared" ref="BK44" si="201">SUM(BK45:BK46)</f>
        <v>56.253589555855903</v>
      </c>
      <c r="BL44" s="21">
        <f t="shared" ref="BL44" si="202">SUM(BL45:BL46)</f>
        <v>57.078661346973028</v>
      </c>
      <c r="BM44" s="21">
        <f t="shared" ref="BM44" si="203">SUM(BM45:BM46)</f>
        <v>57.920234573912488</v>
      </c>
      <c r="BN44" s="21">
        <f t="shared" ref="BN44" si="204">SUM(BN45:BN46)</f>
        <v>58.778639265390737</v>
      </c>
      <c r="BO44" s="21">
        <f t="shared" ref="BO44" si="205">SUM(BO45:BO46)</f>
        <v>59.654212050698554</v>
      </c>
      <c r="BP44" s="21">
        <f t="shared" ref="BP44" si="206">SUM(BP45:BP46)</f>
        <v>60.54729629171252</v>
      </c>
      <c r="BQ44" s="21">
        <f t="shared" ref="BQ44" si="207">SUM(BQ45:BQ46)</f>
        <v>61.458242217546768</v>
      </c>
      <c r="BR44" s="21">
        <f t="shared" ref="BR44" si="208">SUM(BR45:BR46)</f>
        <v>62.387407061897704</v>
      </c>
      <c r="BS44" s="21">
        <f t="shared" ref="BS44" si="209">SUM(BS45:BS46)</f>
        <v>63.335155203135663</v>
      </c>
      <c r="BT44" s="21">
        <f t="shared" ref="BT44" si="210">SUM(BT45:BT46)</f>
        <v>64.301858307198373</v>
      </c>
      <c r="BU44" s="21">
        <f t="shared" ref="BU44:BX44" si="211">SUM(BU45:BU46)</f>
        <v>65.287895473342331</v>
      </c>
      <c r="BV44" s="21">
        <f t="shared" si="211"/>
        <v>66.293653382809197</v>
      </c>
      <c r="BW44" s="21">
        <f t="shared" si="211"/>
        <v>67.319526450465389</v>
      </c>
      <c r="BX44" s="21">
        <f t="shared" si="211"/>
        <v>68.36591697947469</v>
      </c>
      <c r="BY44" s="21">
        <f t="shared" ref="BY44:CK44" si="212">SUM(BY45:BY46)</f>
        <v>69.433235319064181</v>
      </c>
      <c r="BZ44" s="21">
        <f t="shared" si="212"/>
        <v>70.521900025445461</v>
      </c>
      <c r="CA44" s="21">
        <f t="shared" si="212"/>
        <v>71.632338025954368</v>
      </c>
      <c r="CB44" s="21">
        <f t="shared" si="212"/>
        <v>72.764984786473462</v>
      </c>
      <c r="CC44" s="21">
        <f t="shared" si="212"/>
        <v>73.920284482202931</v>
      </c>
      <c r="CD44" s="21">
        <f t="shared" si="212"/>
        <v>75.098690171846982</v>
      </c>
      <c r="CE44" s="21">
        <f t="shared" si="212"/>
        <v>76.300663975283925</v>
      </c>
      <c r="CF44" s="21">
        <f t="shared" si="212"/>
        <v>77.526677254789604</v>
      </c>
      <c r="CG44" s="21">
        <f t="shared" si="212"/>
        <v>78.77721079988541</v>
      </c>
      <c r="CH44" s="21">
        <f t="shared" si="212"/>
        <v>80.052755015883108</v>
      </c>
      <c r="CI44" s="21">
        <f t="shared" si="212"/>
        <v>81.353810116200776</v>
      </c>
      <c r="CJ44" s="21">
        <f t="shared" si="212"/>
        <v>82.680886318524799</v>
      </c>
      <c r="CK44" s="21">
        <f t="shared" si="212"/>
        <v>84.034504044895286</v>
      </c>
      <c r="CM44" s="21">
        <f t="shared" ref="CM44:CQ53" si="213">SUMIF($L$2:$CK$2,CM$3,$L44:$CK44)</f>
        <v>0</v>
      </c>
      <c r="CN44" s="21">
        <f t="shared" si="213"/>
        <v>1840.8171520000001</v>
      </c>
      <c r="CO44" s="21">
        <f t="shared" si="213"/>
        <v>361.09052014151911</v>
      </c>
      <c r="CP44" s="21">
        <f t="shared" si="213"/>
        <v>545.05187764975346</v>
      </c>
      <c r="CQ44" s="21">
        <f t="shared" si="213"/>
        <v>642.97404841895002</v>
      </c>
      <c r="CR44" s="21">
        <f t="shared" ref="CR44:CS59" si="214">SUMIF($L$2:$CK$2,CR$3,$L44:$CK44)</f>
        <v>767.16303800273613</v>
      </c>
      <c r="CS44" s="21">
        <f t="shared" si="214"/>
        <v>924.66470501738615</v>
      </c>
    </row>
    <row r="45" spans="2:99" outlineLevel="1" x14ac:dyDescent="0.2">
      <c r="B45" s="95" t="s">
        <v>8</v>
      </c>
      <c r="C45" s="92" t="s">
        <v>39</v>
      </c>
      <c r="D45" s="103">
        <v>0.6</v>
      </c>
      <c r="E45" s="234">
        <v>0.89</v>
      </c>
      <c r="F45" s="22"/>
      <c r="G45" s="22"/>
      <c r="H45" s="22"/>
      <c r="I45" s="22"/>
      <c r="J45" s="22"/>
      <c r="K45" s="22"/>
      <c r="L45" s="22"/>
      <c r="M45" s="22"/>
      <c r="N45" s="22"/>
      <c r="O45" s="22"/>
      <c r="P45" s="22">
        <f>P$39*$D45</f>
        <v>0</v>
      </c>
      <c r="Q45" s="22">
        <f t="shared" ref="Q45:CK45" si="215">Q$39*$D45</f>
        <v>0</v>
      </c>
      <c r="R45" s="256">
        <f t="shared" si="215"/>
        <v>0</v>
      </c>
      <c r="S45" s="256">
        <f t="shared" si="215"/>
        <v>0</v>
      </c>
      <c r="T45" s="256">
        <f>37*1.1</f>
        <v>40.700000000000003</v>
      </c>
      <c r="U45" s="256">
        <f>57*1.1</f>
        <v>62.7</v>
      </c>
      <c r="V45" s="256">
        <f>52*1.1</f>
        <v>57.2</v>
      </c>
      <c r="W45" s="256">
        <f>264*1.1</f>
        <v>290.40000000000003</v>
      </c>
      <c r="X45" s="22">
        <f t="shared" si="215"/>
        <v>556.03638599999999</v>
      </c>
      <c r="Y45" s="22">
        <f t="shared" si="215"/>
        <v>347.10794399999997</v>
      </c>
      <c r="Z45" s="22">
        <f t="shared" si="215"/>
        <v>184.36745400000004</v>
      </c>
      <c r="AA45" s="22">
        <f t="shared" si="215"/>
        <v>157.819614</v>
      </c>
      <c r="AB45" s="22">
        <f t="shared" si="215"/>
        <v>15.424679999999999</v>
      </c>
      <c r="AC45" s="22">
        <f t="shared" si="215"/>
        <v>18.061074000000001</v>
      </c>
      <c r="AD45" s="22">
        <f t="shared" si="215"/>
        <v>0</v>
      </c>
      <c r="AE45" s="22">
        <f t="shared" si="215"/>
        <v>0</v>
      </c>
      <c r="AF45" s="22">
        <f t="shared" si="215"/>
        <v>0</v>
      </c>
      <c r="AG45" s="22">
        <f t="shared" si="215"/>
        <v>0</v>
      </c>
      <c r="AH45" s="22">
        <f t="shared" si="215"/>
        <v>18.964127699999999</v>
      </c>
      <c r="AI45" s="22">
        <f t="shared" si="215"/>
        <v>19.912334085000001</v>
      </c>
      <c r="AJ45" s="22">
        <f t="shared" si="215"/>
        <v>20.907950789250002</v>
      </c>
      <c r="AK45" s="22">
        <f t="shared" si="215"/>
        <v>21.953348328712504</v>
      </c>
      <c r="AL45" s="22">
        <f t="shared" si="215"/>
        <v>23.051015745148128</v>
      </c>
      <c r="AM45" s="22">
        <f t="shared" si="215"/>
        <v>24.203566532405535</v>
      </c>
      <c r="AN45" s="22">
        <f t="shared" si="215"/>
        <v>25.413744859025815</v>
      </c>
      <c r="AO45" s="22">
        <f t="shared" si="215"/>
        <v>26.684432101977109</v>
      </c>
      <c r="AP45" s="22">
        <f t="shared" si="215"/>
        <v>27.218120744016648</v>
      </c>
      <c r="AQ45" s="22">
        <f t="shared" si="215"/>
        <v>27.762483158896988</v>
      </c>
      <c r="AR45" s="22">
        <f t="shared" si="215"/>
        <v>28.317732822074923</v>
      </c>
      <c r="AS45" s="22">
        <f t="shared" si="215"/>
        <v>28.884087478516424</v>
      </c>
      <c r="AT45" s="22">
        <f t="shared" si="215"/>
        <v>29.461769228086748</v>
      </c>
      <c r="AU45" s="22">
        <f t="shared" si="215"/>
        <v>30.051004612648484</v>
      </c>
      <c r="AV45" s="22">
        <f t="shared" si="215"/>
        <v>30.652024704901457</v>
      </c>
      <c r="AW45" s="22">
        <f t="shared" si="215"/>
        <v>31.265065198999487</v>
      </c>
      <c r="AX45" s="22">
        <f t="shared" si="215"/>
        <v>31.890366502979475</v>
      </c>
      <c r="AY45" s="22">
        <f t="shared" si="215"/>
        <v>32.528173833039062</v>
      </c>
      <c r="AZ45" s="22">
        <f t="shared" si="215"/>
        <v>33.178737309699848</v>
      </c>
      <c r="BA45" s="22">
        <f t="shared" si="215"/>
        <v>33.842312055893849</v>
      </c>
      <c r="BB45" s="22">
        <f t="shared" si="215"/>
        <v>34.519158297011721</v>
      </c>
      <c r="BC45" s="22">
        <f t="shared" si="215"/>
        <v>35.209541462951954</v>
      </c>
      <c r="BD45" s="22">
        <f t="shared" si="215"/>
        <v>35.913732292210995</v>
      </c>
      <c r="BE45" s="22">
        <f t="shared" si="215"/>
        <v>36.632006938055213</v>
      </c>
      <c r="BF45" s="22">
        <f t="shared" si="215"/>
        <v>37.364647076816325</v>
      </c>
      <c r="BG45" s="22">
        <f t="shared" si="215"/>
        <v>38.111940018352648</v>
      </c>
      <c r="BH45" s="22">
        <f t="shared" si="215"/>
        <v>38.874178818719706</v>
      </c>
      <c r="BI45" s="22">
        <f t="shared" si="215"/>
        <v>39.6516623950941</v>
      </c>
      <c r="BJ45" s="22">
        <f t="shared" si="215"/>
        <v>40.444695642995988</v>
      </c>
      <c r="BK45" s="22">
        <f t="shared" si="215"/>
        <v>41.253589555855903</v>
      </c>
      <c r="BL45" s="22">
        <f t="shared" si="215"/>
        <v>42.078661346973028</v>
      </c>
      <c r="BM45" s="22">
        <f t="shared" si="215"/>
        <v>42.920234573912488</v>
      </c>
      <c r="BN45" s="22">
        <f t="shared" si="215"/>
        <v>43.778639265390737</v>
      </c>
      <c r="BO45" s="22">
        <f t="shared" si="215"/>
        <v>44.654212050698554</v>
      </c>
      <c r="BP45" s="22">
        <f t="shared" si="215"/>
        <v>45.54729629171252</v>
      </c>
      <c r="BQ45" s="22">
        <f t="shared" si="215"/>
        <v>46.458242217546768</v>
      </c>
      <c r="BR45" s="22">
        <f t="shared" si="215"/>
        <v>47.387407061897704</v>
      </c>
      <c r="BS45" s="22">
        <f t="shared" si="215"/>
        <v>48.335155203135663</v>
      </c>
      <c r="BT45" s="22">
        <f t="shared" si="215"/>
        <v>49.301858307198373</v>
      </c>
      <c r="BU45" s="22">
        <f t="shared" si="215"/>
        <v>50.287895473342338</v>
      </c>
      <c r="BV45" s="22">
        <f t="shared" si="215"/>
        <v>51.293653382809197</v>
      </c>
      <c r="BW45" s="22">
        <f t="shared" si="215"/>
        <v>52.319526450465382</v>
      </c>
      <c r="BX45" s="22">
        <f t="shared" si="215"/>
        <v>53.36591697947469</v>
      </c>
      <c r="BY45" s="22">
        <f t="shared" si="215"/>
        <v>54.433235319064181</v>
      </c>
      <c r="BZ45" s="22">
        <f t="shared" si="215"/>
        <v>55.521900025445468</v>
      </c>
      <c r="CA45" s="22">
        <f t="shared" si="215"/>
        <v>56.632338025954375</v>
      </c>
      <c r="CB45" s="22">
        <f t="shared" si="215"/>
        <v>57.764984786473462</v>
      </c>
      <c r="CC45" s="22">
        <f t="shared" si="215"/>
        <v>58.920284482202931</v>
      </c>
      <c r="CD45" s="22">
        <f t="shared" si="215"/>
        <v>60.098690171846989</v>
      </c>
      <c r="CE45" s="22">
        <f t="shared" si="215"/>
        <v>61.300663975283925</v>
      </c>
      <c r="CF45" s="22">
        <f t="shared" si="215"/>
        <v>62.526677254789604</v>
      </c>
      <c r="CG45" s="22">
        <f t="shared" si="215"/>
        <v>63.77721079988541</v>
      </c>
      <c r="CH45" s="22">
        <f t="shared" si="215"/>
        <v>65.052755015883108</v>
      </c>
      <c r="CI45" s="22">
        <f t="shared" si="215"/>
        <v>66.353810116200776</v>
      </c>
      <c r="CJ45" s="22">
        <f t="shared" si="215"/>
        <v>67.680886318524799</v>
      </c>
      <c r="CK45" s="22">
        <f t="shared" si="215"/>
        <v>69.034504044895286</v>
      </c>
      <c r="CM45" s="10">
        <f t="shared" si="213"/>
        <v>0</v>
      </c>
      <c r="CN45" s="10">
        <f t="shared" si="213"/>
        <v>1729.8171520000001</v>
      </c>
      <c r="CO45" s="10">
        <f t="shared" si="213"/>
        <v>181.09052014151911</v>
      </c>
      <c r="CP45" s="10">
        <f t="shared" si="213"/>
        <v>365.05187764975341</v>
      </c>
      <c r="CQ45" s="10">
        <f t="shared" si="213"/>
        <v>462.97404841895008</v>
      </c>
      <c r="CR45" s="10">
        <f t="shared" si="214"/>
        <v>587.16303800273613</v>
      </c>
      <c r="CS45" s="10">
        <f t="shared" si="214"/>
        <v>744.66470501738604</v>
      </c>
    </row>
    <row r="46" spans="2:99" outlineLevel="1" x14ac:dyDescent="0.2">
      <c r="B46" s="95" t="s">
        <v>46</v>
      </c>
      <c r="C46" s="95" t="s">
        <v>4</v>
      </c>
      <c r="D46" s="92">
        <v>15</v>
      </c>
      <c r="F46" s="22"/>
      <c r="G46" s="22"/>
      <c r="H46" s="22"/>
      <c r="I46" s="22"/>
      <c r="J46" s="22"/>
      <c r="K46" s="22"/>
      <c r="L46" s="22"/>
      <c r="M46" s="22"/>
      <c r="N46" s="22"/>
      <c r="O46" s="22"/>
      <c r="P46" s="22"/>
      <c r="Q46" s="22"/>
      <c r="R46" s="22"/>
      <c r="S46" s="22"/>
      <c r="T46" s="22">
        <v>3</v>
      </c>
      <c r="U46" s="22">
        <v>3</v>
      </c>
      <c r="V46" s="22">
        <v>3</v>
      </c>
      <c r="W46" s="22">
        <v>12</v>
      </c>
      <c r="X46" s="22">
        <f t="shared" ref="X46:CK46" si="216">$D$46</f>
        <v>15</v>
      </c>
      <c r="Y46" s="22">
        <f t="shared" si="216"/>
        <v>15</v>
      </c>
      <c r="Z46" s="22">
        <f t="shared" si="216"/>
        <v>15</v>
      </c>
      <c r="AA46" s="22">
        <f t="shared" si="216"/>
        <v>15</v>
      </c>
      <c r="AB46" s="22">
        <f t="shared" si="216"/>
        <v>15</v>
      </c>
      <c r="AC46" s="22">
        <f t="shared" si="216"/>
        <v>15</v>
      </c>
      <c r="AD46" s="22">
        <f t="shared" si="216"/>
        <v>15</v>
      </c>
      <c r="AE46" s="22">
        <f t="shared" si="216"/>
        <v>15</v>
      </c>
      <c r="AF46" s="22">
        <f t="shared" si="216"/>
        <v>15</v>
      </c>
      <c r="AG46" s="22">
        <f t="shared" si="216"/>
        <v>15</v>
      </c>
      <c r="AH46" s="22">
        <f t="shared" si="216"/>
        <v>15</v>
      </c>
      <c r="AI46" s="22">
        <f t="shared" si="216"/>
        <v>15</v>
      </c>
      <c r="AJ46" s="22">
        <f t="shared" si="216"/>
        <v>15</v>
      </c>
      <c r="AK46" s="22">
        <f t="shared" si="216"/>
        <v>15</v>
      </c>
      <c r="AL46" s="22">
        <f t="shared" si="216"/>
        <v>15</v>
      </c>
      <c r="AM46" s="22">
        <f t="shared" si="216"/>
        <v>15</v>
      </c>
      <c r="AN46" s="22">
        <f t="shared" si="216"/>
        <v>15</v>
      </c>
      <c r="AO46" s="22">
        <f t="shared" si="216"/>
        <v>15</v>
      </c>
      <c r="AP46" s="22">
        <f t="shared" si="216"/>
        <v>15</v>
      </c>
      <c r="AQ46" s="22">
        <f t="shared" si="216"/>
        <v>15</v>
      </c>
      <c r="AR46" s="22">
        <f t="shared" si="216"/>
        <v>15</v>
      </c>
      <c r="AS46" s="22">
        <f t="shared" si="216"/>
        <v>15</v>
      </c>
      <c r="AT46" s="22">
        <f t="shared" si="216"/>
        <v>15</v>
      </c>
      <c r="AU46" s="22">
        <f t="shared" si="216"/>
        <v>15</v>
      </c>
      <c r="AV46" s="22">
        <f t="shared" si="216"/>
        <v>15</v>
      </c>
      <c r="AW46" s="22">
        <f t="shared" si="216"/>
        <v>15</v>
      </c>
      <c r="AX46" s="22">
        <f t="shared" si="216"/>
        <v>15</v>
      </c>
      <c r="AY46" s="22">
        <f t="shared" si="216"/>
        <v>15</v>
      </c>
      <c r="AZ46" s="22">
        <f t="shared" si="216"/>
        <v>15</v>
      </c>
      <c r="BA46" s="22">
        <f t="shared" si="216"/>
        <v>15</v>
      </c>
      <c r="BB46" s="22">
        <f t="shared" si="216"/>
        <v>15</v>
      </c>
      <c r="BC46" s="22">
        <f t="shared" si="216"/>
        <v>15</v>
      </c>
      <c r="BD46" s="22">
        <f t="shared" si="216"/>
        <v>15</v>
      </c>
      <c r="BE46" s="22">
        <f t="shared" si="216"/>
        <v>15</v>
      </c>
      <c r="BF46" s="22">
        <f t="shared" si="216"/>
        <v>15</v>
      </c>
      <c r="BG46" s="22">
        <f t="shared" si="216"/>
        <v>15</v>
      </c>
      <c r="BH46" s="22">
        <f t="shared" si="216"/>
        <v>15</v>
      </c>
      <c r="BI46" s="22">
        <f t="shared" si="216"/>
        <v>15</v>
      </c>
      <c r="BJ46" s="22">
        <f t="shared" si="216"/>
        <v>15</v>
      </c>
      <c r="BK46" s="22">
        <f t="shared" si="216"/>
        <v>15</v>
      </c>
      <c r="BL46" s="22">
        <f t="shared" si="216"/>
        <v>15</v>
      </c>
      <c r="BM46" s="22">
        <f t="shared" si="216"/>
        <v>15</v>
      </c>
      <c r="BN46" s="22">
        <f t="shared" si="216"/>
        <v>15</v>
      </c>
      <c r="BO46" s="22">
        <f t="shared" si="216"/>
        <v>15</v>
      </c>
      <c r="BP46" s="22">
        <f t="shared" si="216"/>
        <v>15</v>
      </c>
      <c r="BQ46" s="22">
        <f t="shared" si="216"/>
        <v>15</v>
      </c>
      <c r="BR46" s="22">
        <f t="shared" si="216"/>
        <v>15</v>
      </c>
      <c r="BS46" s="22">
        <f t="shared" si="216"/>
        <v>15</v>
      </c>
      <c r="BT46" s="22">
        <f t="shared" si="216"/>
        <v>15</v>
      </c>
      <c r="BU46" s="22">
        <f t="shared" si="216"/>
        <v>15</v>
      </c>
      <c r="BV46" s="22">
        <f t="shared" si="216"/>
        <v>15</v>
      </c>
      <c r="BW46" s="22">
        <f t="shared" si="216"/>
        <v>15</v>
      </c>
      <c r="BX46" s="22">
        <f t="shared" si="216"/>
        <v>15</v>
      </c>
      <c r="BY46" s="22">
        <f t="shared" si="216"/>
        <v>15</v>
      </c>
      <c r="BZ46" s="22">
        <f t="shared" si="216"/>
        <v>15</v>
      </c>
      <c r="CA46" s="22">
        <f t="shared" si="216"/>
        <v>15</v>
      </c>
      <c r="CB46" s="22">
        <f t="shared" si="216"/>
        <v>15</v>
      </c>
      <c r="CC46" s="22">
        <f t="shared" si="216"/>
        <v>15</v>
      </c>
      <c r="CD46" s="22">
        <f t="shared" si="216"/>
        <v>15</v>
      </c>
      <c r="CE46" s="22">
        <f t="shared" si="216"/>
        <v>15</v>
      </c>
      <c r="CF46" s="22">
        <f t="shared" si="216"/>
        <v>15</v>
      </c>
      <c r="CG46" s="22">
        <f t="shared" si="216"/>
        <v>15</v>
      </c>
      <c r="CH46" s="22">
        <f t="shared" si="216"/>
        <v>15</v>
      </c>
      <c r="CI46" s="22">
        <f t="shared" si="216"/>
        <v>15</v>
      </c>
      <c r="CJ46" s="22">
        <f t="shared" si="216"/>
        <v>15</v>
      </c>
      <c r="CK46" s="22">
        <f t="shared" si="216"/>
        <v>15</v>
      </c>
      <c r="CM46" s="10">
        <f t="shared" si="213"/>
        <v>0</v>
      </c>
      <c r="CN46" s="10">
        <f t="shared" si="213"/>
        <v>111</v>
      </c>
      <c r="CO46" s="10">
        <f t="shared" si="213"/>
        <v>180</v>
      </c>
      <c r="CP46" s="10">
        <f t="shared" si="213"/>
        <v>180</v>
      </c>
      <c r="CQ46" s="10">
        <f t="shared" si="213"/>
        <v>180</v>
      </c>
      <c r="CR46" s="10">
        <f t="shared" si="214"/>
        <v>180</v>
      </c>
      <c r="CS46" s="10">
        <f t="shared" si="214"/>
        <v>180</v>
      </c>
    </row>
    <row r="47" spans="2:99" x14ac:dyDescent="0.2">
      <c r="B47" s="96" t="s">
        <v>10</v>
      </c>
      <c r="C47" s="96"/>
      <c r="D47" s="96"/>
      <c r="F47" s="21">
        <f t="shared" ref="F47:K47" si="217">F48+F51+F54+F61</f>
        <v>0</v>
      </c>
      <c r="G47" s="21">
        <f t="shared" si="217"/>
        <v>0</v>
      </c>
      <c r="H47" s="21">
        <f t="shared" si="217"/>
        <v>0</v>
      </c>
      <c r="I47" s="21">
        <f t="shared" si="217"/>
        <v>0</v>
      </c>
      <c r="J47" s="21">
        <f t="shared" si="217"/>
        <v>0</v>
      </c>
      <c r="K47" s="21">
        <f t="shared" si="217"/>
        <v>0</v>
      </c>
      <c r="L47" s="21">
        <f t="shared" ref="L47:AW47" si="218">L48+L51+L54+L61</f>
        <v>0</v>
      </c>
      <c r="M47" s="21">
        <f t="shared" si="218"/>
        <v>0</v>
      </c>
      <c r="N47" s="21">
        <f t="shared" si="218"/>
        <v>0</v>
      </c>
      <c r="O47" s="21">
        <f t="shared" si="218"/>
        <v>0</v>
      </c>
      <c r="P47" s="21">
        <f t="shared" si="218"/>
        <v>0</v>
      </c>
      <c r="Q47" s="21">
        <f t="shared" si="218"/>
        <v>0</v>
      </c>
      <c r="R47" s="21">
        <f t="shared" si="218"/>
        <v>0</v>
      </c>
      <c r="S47" s="21">
        <f t="shared" si="218"/>
        <v>0</v>
      </c>
      <c r="T47" s="21">
        <f t="shared" si="218"/>
        <v>1.4159676000000001</v>
      </c>
      <c r="U47" s="21">
        <f t="shared" si="218"/>
        <v>11.689653499999999</v>
      </c>
      <c r="V47" s="21">
        <f t="shared" si="218"/>
        <v>10.454822400000001</v>
      </c>
      <c r="W47" s="21">
        <f t="shared" si="218"/>
        <v>57.96</v>
      </c>
      <c r="X47" s="21">
        <f t="shared" si="218"/>
        <v>126.20727720000001</v>
      </c>
      <c r="Y47" s="21">
        <f t="shared" si="218"/>
        <v>84.421588799999995</v>
      </c>
      <c r="Z47" s="21">
        <f t="shared" si="218"/>
        <v>61.873490800000013</v>
      </c>
      <c r="AA47" s="21">
        <f t="shared" si="218"/>
        <v>56.5639228</v>
      </c>
      <c r="AB47" s="21">
        <f t="shared" si="218"/>
        <v>28.084935999999999</v>
      </c>
      <c r="AC47" s="21">
        <f t="shared" si="218"/>
        <v>28.6122148</v>
      </c>
      <c r="AD47" s="21">
        <f t="shared" si="218"/>
        <v>25</v>
      </c>
      <c r="AE47" s="21">
        <f t="shared" si="218"/>
        <v>25</v>
      </c>
      <c r="AF47" s="21">
        <f t="shared" si="218"/>
        <v>25</v>
      </c>
      <c r="AG47" s="21">
        <f t="shared" si="218"/>
        <v>25</v>
      </c>
      <c r="AH47" s="21">
        <f t="shared" si="218"/>
        <v>28.792825540000003</v>
      </c>
      <c r="AI47" s="21">
        <f t="shared" si="218"/>
        <v>28.982466816999999</v>
      </c>
      <c r="AJ47" s="21">
        <f t="shared" si="218"/>
        <v>29.181590157850003</v>
      </c>
      <c r="AK47" s="21">
        <f t="shared" si="218"/>
        <v>29.390669665742504</v>
      </c>
      <c r="AL47" s="21">
        <f t="shared" si="218"/>
        <v>29.610203149029626</v>
      </c>
      <c r="AM47" s="21">
        <f t="shared" si="218"/>
        <v>29.840713306481106</v>
      </c>
      <c r="AN47" s="21">
        <f t="shared" si="218"/>
        <v>30.082748971805159</v>
      </c>
      <c r="AO47" s="21">
        <f t="shared" si="218"/>
        <v>30.336886420395423</v>
      </c>
      <c r="AP47" s="21">
        <f t="shared" si="218"/>
        <v>30.443624148803327</v>
      </c>
      <c r="AQ47" s="21">
        <f t="shared" si="218"/>
        <v>30.552496631779395</v>
      </c>
      <c r="AR47" s="21">
        <f t="shared" si="218"/>
        <v>30.663546564414986</v>
      </c>
      <c r="AS47" s="21">
        <f t="shared" si="218"/>
        <v>30.776817495703284</v>
      </c>
      <c r="AT47" s="21">
        <f t="shared" si="218"/>
        <v>30.89235384561735</v>
      </c>
      <c r="AU47" s="21">
        <f t="shared" si="218"/>
        <v>31.010200922529698</v>
      </c>
      <c r="AV47" s="21">
        <f t="shared" si="218"/>
        <v>31.130404940980291</v>
      </c>
      <c r="AW47" s="21">
        <f t="shared" si="218"/>
        <v>31.253013039799896</v>
      </c>
      <c r="AX47" s="21">
        <f t="shared" ref="AX47:BU47" si="219">AX48+AX51+AX54+AX61</f>
        <v>31.378073300595894</v>
      </c>
      <c r="AY47" s="21">
        <f t="shared" si="219"/>
        <v>31.505634766607812</v>
      </c>
      <c r="AZ47" s="21">
        <f t="shared" si="219"/>
        <v>31.635747461939971</v>
      </c>
      <c r="BA47" s="21">
        <f t="shared" si="219"/>
        <v>31.768462411178771</v>
      </c>
      <c r="BB47" s="21">
        <f t="shared" si="219"/>
        <v>30.753193049501952</v>
      </c>
      <c r="BC47" s="21">
        <f t="shared" si="219"/>
        <v>30.868256910491993</v>
      </c>
      <c r="BD47" s="21">
        <f t="shared" si="219"/>
        <v>30.985622048701835</v>
      </c>
      <c r="BE47" s="21">
        <f t="shared" si="219"/>
        <v>31.105334489675869</v>
      </c>
      <c r="BF47" s="21">
        <f t="shared" si="219"/>
        <v>31.227441179469388</v>
      </c>
      <c r="BG47" s="21">
        <f t="shared" si="219"/>
        <v>31.351990003058773</v>
      </c>
      <c r="BH47" s="21">
        <f t="shared" si="219"/>
        <v>31.47902980311995</v>
      </c>
      <c r="BI47" s="21">
        <f t="shared" si="219"/>
        <v>31.608610399182353</v>
      </c>
      <c r="BJ47" s="21">
        <f t="shared" si="219"/>
        <v>31.740782607165997</v>
      </c>
      <c r="BK47" s="21">
        <f t="shared" si="219"/>
        <v>31.875598259309321</v>
      </c>
      <c r="BL47" s="21">
        <f t="shared" si="219"/>
        <v>32.013110224495506</v>
      </c>
      <c r="BM47" s="21">
        <f t="shared" si="219"/>
        <v>32.153372428985413</v>
      </c>
      <c r="BN47" s="21">
        <f t="shared" si="219"/>
        <v>32.29643987756512</v>
      </c>
      <c r="BO47" s="21">
        <f t="shared" si="219"/>
        <v>32.442368675116427</v>
      </c>
      <c r="BP47" s="21">
        <f t="shared" si="219"/>
        <v>32.591216048618755</v>
      </c>
      <c r="BQ47" s="21">
        <f t="shared" si="219"/>
        <v>32.743040369591128</v>
      </c>
      <c r="BR47" s="21">
        <f t="shared" si="219"/>
        <v>32.897901176982948</v>
      </c>
      <c r="BS47" s="21">
        <f t="shared" si="219"/>
        <v>33.055859200522612</v>
      </c>
      <c r="BT47" s="21">
        <f t="shared" si="219"/>
        <v>33.216976384533062</v>
      </c>
      <c r="BU47" s="21">
        <f t="shared" si="219"/>
        <v>33.381315912223727</v>
      </c>
      <c r="BV47" s="21">
        <f t="shared" ref="BV47:BX47" si="220">BV48+BV51+BV54+BV61</f>
        <v>33.548942230468199</v>
      </c>
      <c r="BW47" s="21">
        <f t="shared" si="220"/>
        <v>33.719921075077565</v>
      </c>
      <c r="BX47" s="21">
        <f t="shared" si="220"/>
        <v>33.894319496579115</v>
      </c>
      <c r="BY47" s="21">
        <f t="shared" ref="BY47:CK47" si="221">BY48+BY51+BY54+BY61</f>
        <v>34.072205886510702</v>
      </c>
      <c r="BZ47" s="21">
        <f t="shared" si="221"/>
        <v>34.25365000424091</v>
      </c>
      <c r="CA47" s="21">
        <f t="shared" si="221"/>
        <v>34.43872300432573</v>
      </c>
      <c r="CB47" s="21">
        <f t="shared" si="221"/>
        <v>34.627497464412244</v>
      </c>
      <c r="CC47" s="21">
        <f t="shared" si="221"/>
        <v>34.820047413700493</v>
      </c>
      <c r="CD47" s="21">
        <f t="shared" si="221"/>
        <v>35.016448361974497</v>
      </c>
      <c r="CE47" s="21">
        <f t="shared" si="221"/>
        <v>35.21677732921399</v>
      </c>
      <c r="CF47" s="21">
        <f t="shared" si="221"/>
        <v>35.421112875798272</v>
      </c>
      <c r="CG47" s="21">
        <f t="shared" si="221"/>
        <v>35.629535133314235</v>
      </c>
      <c r="CH47" s="21">
        <f t="shared" si="221"/>
        <v>35.842125835980525</v>
      </c>
      <c r="CI47" s="21">
        <f t="shared" si="221"/>
        <v>36.058968352700127</v>
      </c>
      <c r="CJ47" s="21">
        <f t="shared" si="221"/>
        <v>36.280147719754133</v>
      </c>
      <c r="CK47" s="21">
        <f t="shared" si="221"/>
        <v>36.505750674149212</v>
      </c>
      <c r="CM47" s="21">
        <f t="shared" si="213"/>
        <v>0</v>
      </c>
      <c r="CN47" s="21">
        <f t="shared" si="213"/>
        <v>467.28387390000006</v>
      </c>
      <c r="CO47" s="21">
        <f t="shared" si="213"/>
        <v>336.21810402830386</v>
      </c>
      <c r="CP47" s="21">
        <f t="shared" si="213"/>
        <v>373.01037552995058</v>
      </c>
      <c r="CQ47" s="21">
        <f t="shared" si="213"/>
        <v>377.16234140315834</v>
      </c>
      <c r="CR47" s="21">
        <f t="shared" si="214"/>
        <v>397.86050633378932</v>
      </c>
      <c r="CS47" s="21">
        <f t="shared" si="214"/>
        <v>424.11078416956434</v>
      </c>
    </row>
    <row r="48" spans="2:99" outlineLevel="1" x14ac:dyDescent="0.2">
      <c r="B48" s="88" t="s">
        <v>16</v>
      </c>
      <c r="C48" s="88"/>
      <c r="D48" s="92"/>
      <c r="F48" s="94">
        <f t="shared" ref="F48:K48" si="222">SUM(F49:F50)</f>
        <v>0</v>
      </c>
      <c r="G48" s="94">
        <f t="shared" si="222"/>
        <v>0</v>
      </c>
      <c r="H48" s="94">
        <f t="shared" si="222"/>
        <v>0</v>
      </c>
      <c r="I48" s="94">
        <f t="shared" si="222"/>
        <v>0</v>
      </c>
      <c r="J48" s="94">
        <f t="shared" si="222"/>
        <v>0</v>
      </c>
      <c r="K48" s="94">
        <f t="shared" si="222"/>
        <v>0</v>
      </c>
      <c r="L48" s="94">
        <f t="shared" ref="L48:AW48" si="223">SUM(L49:L50)</f>
        <v>0</v>
      </c>
      <c r="M48" s="94">
        <f t="shared" si="223"/>
        <v>0</v>
      </c>
      <c r="N48" s="94">
        <f t="shared" si="223"/>
        <v>0</v>
      </c>
      <c r="O48" s="94">
        <f t="shared" si="223"/>
        <v>0</v>
      </c>
      <c r="P48" s="94">
        <f t="shared" si="223"/>
        <v>0</v>
      </c>
      <c r="Q48" s="94">
        <f t="shared" si="223"/>
        <v>0</v>
      </c>
      <c r="R48" s="94">
        <f t="shared" si="223"/>
        <v>0</v>
      </c>
      <c r="S48" s="94">
        <f t="shared" si="223"/>
        <v>0</v>
      </c>
      <c r="T48" s="94">
        <f t="shared" si="223"/>
        <v>0</v>
      </c>
      <c r="U48" s="94">
        <f t="shared" si="223"/>
        <v>0</v>
      </c>
      <c r="V48" s="94">
        <f t="shared" si="223"/>
        <v>0</v>
      </c>
      <c r="W48" s="94">
        <f t="shared" si="223"/>
        <v>15</v>
      </c>
      <c r="X48" s="94">
        <f t="shared" si="223"/>
        <v>15</v>
      </c>
      <c r="Y48" s="94">
        <f t="shared" si="223"/>
        <v>15</v>
      </c>
      <c r="Z48" s="94">
        <f t="shared" si="223"/>
        <v>25</v>
      </c>
      <c r="AA48" s="94">
        <f t="shared" si="223"/>
        <v>25</v>
      </c>
      <c r="AB48" s="94">
        <f t="shared" si="223"/>
        <v>25</v>
      </c>
      <c r="AC48" s="94">
        <f t="shared" si="223"/>
        <v>25</v>
      </c>
      <c r="AD48" s="94">
        <f t="shared" si="223"/>
        <v>25</v>
      </c>
      <c r="AE48" s="94">
        <f t="shared" si="223"/>
        <v>25</v>
      </c>
      <c r="AF48" s="94">
        <f t="shared" si="223"/>
        <v>25</v>
      </c>
      <c r="AG48" s="94">
        <f t="shared" si="223"/>
        <v>25</v>
      </c>
      <c r="AH48" s="94">
        <f t="shared" si="223"/>
        <v>25</v>
      </c>
      <c r="AI48" s="94">
        <f t="shared" si="223"/>
        <v>25</v>
      </c>
      <c r="AJ48" s="94">
        <f t="shared" si="223"/>
        <v>25</v>
      </c>
      <c r="AK48" s="94">
        <f t="shared" si="223"/>
        <v>25</v>
      </c>
      <c r="AL48" s="94">
        <f t="shared" si="223"/>
        <v>25</v>
      </c>
      <c r="AM48" s="94">
        <f t="shared" si="223"/>
        <v>25</v>
      </c>
      <c r="AN48" s="94">
        <f t="shared" si="223"/>
        <v>25</v>
      </c>
      <c r="AO48" s="94">
        <f t="shared" si="223"/>
        <v>25</v>
      </c>
      <c r="AP48" s="94">
        <f t="shared" si="223"/>
        <v>25</v>
      </c>
      <c r="AQ48" s="94">
        <f t="shared" si="223"/>
        <v>25</v>
      </c>
      <c r="AR48" s="94">
        <f t="shared" si="223"/>
        <v>25</v>
      </c>
      <c r="AS48" s="94">
        <f t="shared" si="223"/>
        <v>25</v>
      </c>
      <c r="AT48" s="94">
        <f t="shared" si="223"/>
        <v>25</v>
      </c>
      <c r="AU48" s="94">
        <f t="shared" si="223"/>
        <v>25</v>
      </c>
      <c r="AV48" s="94">
        <f t="shared" si="223"/>
        <v>25</v>
      </c>
      <c r="AW48" s="94">
        <f t="shared" si="223"/>
        <v>25</v>
      </c>
      <c r="AX48" s="94">
        <f t="shared" ref="AX48:BU48" si="224">SUM(AX49:AX50)</f>
        <v>25</v>
      </c>
      <c r="AY48" s="94">
        <f t="shared" si="224"/>
        <v>25</v>
      </c>
      <c r="AZ48" s="94">
        <f t="shared" si="224"/>
        <v>25</v>
      </c>
      <c r="BA48" s="94">
        <f t="shared" si="224"/>
        <v>25</v>
      </c>
      <c r="BB48" s="94">
        <f t="shared" si="224"/>
        <v>25</v>
      </c>
      <c r="BC48" s="94">
        <f t="shared" si="224"/>
        <v>25</v>
      </c>
      <c r="BD48" s="94">
        <f t="shared" si="224"/>
        <v>25</v>
      </c>
      <c r="BE48" s="94">
        <f t="shared" si="224"/>
        <v>25</v>
      </c>
      <c r="BF48" s="94">
        <f t="shared" si="224"/>
        <v>25</v>
      </c>
      <c r="BG48" s="94">
        <f t="shared" si="224"/>
        <v>25</v>
      </c>
      <c r="BH48" s="94">
        <f t="shared" si="224"/>
        <v>25</v>
      </c>
      <c r="BI48" s="94">
        <f t="shared" si="224"/>
        <v>25</v>
      </c>
      <c r="BJ48" s="94">
        <f t="shared" si="224"/>
        <v>25</v>
      </c>
      <c r="BK48" s="94">
        <f t="shared" si="224"/>
        <v>25</v>
      </c>
      <c r="BL48" s="94">
        <f t="shared" si="224"/>
        <v>25</v>
      </c>
      <c r="BM48" s="94">
        <f t="shared" si="224"/>
        <v>25</v>
      </c>
      <c r="BN48" s="94">
        <f t="shared" si="224"/>
        <v>25</v>
      </c>
      <c r="BO48" s="94">
        <f t="shared" si="224"/>
        <v>25</v>
      </c>
      <c r="BP48" s="94">
        <f t="shared" si="224"/>
        <v>25</v>
      </c>
      <c r="BQ48" s="94">
        <f t="shared" si="224"/>
        <v>25</v>
      </c>
      <c r="BR48" s="94">
        <f t="shared" si="224"/>
        <v>25</v>
      </c>
      <c r="BS48" s="94">
        <f t="shared" si="224"/>
        <v>25</v>
      </c>
      <c r="BT48" s="94">
        <f t="shared" si="224"/>
        <v>25</v>
      </c>
      <c r="BU48" s="94">
        <f t="shared" si="224"/>
        <v>25</v>
      </c>
      <c r="BV48" s="94">
        <f t="shared" ref="BV48:BX48" si="225">SUM(BV49:BV50)</f>
        <v>25</v>
      </c>
      <c r="BW48" s="94">
        <f t="shared" si="225"/>
        <v>25</v>
      </c>
      <c r="BX48" s="94">
        <f t="shared" si="225"/>
        <v>25</v>
      </c>
      <c r="BY48" s="94">
        <f t="shared" ref="BY48:CK48" si="226">SUM(BY49:BY50)</f>
        <v>25</v>
      </c>
      <c r="BZ48" s="94">
        <f t="shared" si="226"/>
        <v>25</v>
      </c>
      <c r="CA48" s="94">
        <f t="shared" si="226"/>
        <v>25</v>
      </c>
      <c r="CB48" s="94">
        <f t="shared" si="226"/>
        <v>25</v>
      </c>
      <c r="CC48" s="94">
        <f t="shared" si="226"/>
        <v>25</v>
      </c>
      <c r="CD48" s="94">
        <f t="shared" si="226"/>
        <v>25</v>
      </c>
      <c r="CE48" s="94">
        <f t="shared" si="226"/>
        <v>25</v>
      </c>
      <c r="CF48" s="94">
        <f t="shared" si="226"/>
        <v>25</v>
      </c>
      <c r="CG48" s="94">
        <f t="shared" si="226"/>
        <v>25</v>
      </c>
      <c r="CH48" s="94">
        <f t="shared" si="226"/>
        <v>25</v>
      </c>
      <c r="CI48" s="94">
        <f t="shared" si="226"/>
        <v>25</v>
      </c>
      <c r="CJ48" s="94">
        <f t="shared" si="226"/>
        <v>25</v>
      </c>
      <c r="CK48" s="94">
        <f t="shared" si="226"/>
        <v>25</v>
      </c>
      <c r="CM48" s="94">
        <f t="shared" si="213"/>
        <v>0</v>
      </c>
      <c r="CN48" s="94">
        <f t="shared" si="213"/>
        <v>145</v>
      </c>
      <c r="CO48" s="94">
        <f t="shared" si="213"/>
        <v>300</v>
      </c>
      <c r="CP48" s="94">
        <f t="shared" si="213"/>
        <v>300</v>
      </c>
      <c r="CQ48" s="94">
        <f t="shared" si="213"/>
        <v>300</v>
      </c>
      <c r="CR48" s="94">
        <f t="shared" si="214"/>
        <v>300</v>
      </c>
      <c r="CS48" s="94">
        <f t="shared" si="214"/>
        <v>300</v>
      </c>
    </row>
    <row r="49" spans="2:97" outlineLevel="2" x14ac:dyDescent="0.2">
      <c r="B49" s="95" t="s">
        <v>12</v>
      </c>
      <c r="C49" s="95" t="s">
        <v>4</v>
      </c>
      <c r="D49" s="92"/>
      <c r="CM49" s="10">
        <f t="shared" si="213"/>
        <v>0</v>
      </c>
      <c r="CN49" s="10">
        <f t="shared" si="213"/>
        <v>0</v>
      </c>
      <c r="CO49" s="10">
        <f t="shared" si="213"/>
        <v>0</v>
      </c>
      <c r="CP49" s="10">
        <f t="shared" si="213"/>
        <v>0</v>
      </c>
      <c r="CQ49" s="10">
        <f t="shared" si="213"/>
        <v>0</v>
      </c>
      <c r="CR49" s="10">
        <f t="shared" si="214"/>
        <v>0</v>
      </c>
      <c r="CS49" s="10">
        <f t="shared" si="214"/>
        <v>0</v>
      </c>
    </row>
    <row r="50" spans="2:97" outlineLevel="2" x14ac:dyDescent="0.2">
      <c r="B50" s="95" t="s">
        <v>14</v>
      </c>
      <c r="C50" s="95" t="s">
        <v>4</v>
      </c>
      <c r="D50" s="104"/>
      <c r="F50" s="22"/>
      <c r="G50" s="22"/>
      <c r="H50" s="22"/>
      <c r="I50" s="22"/>
      <c r="J50" s="22"/>
      <c r="K50" s="22"/>
      <c r="L50" s="22"/>
      <c r="M50" s="22"/>
      <c r="N50" s="22"/>
      <c r="O50" s="22"/>
      <c r="P50" s="22"/>
      <c r="Q50" s="22"/>
      <c r="R50" s="22"/>
      <c r="S50" s="22"/>
      <c r="T50" s="22"/>
      <c r="U50" s="22">
        <f t="shared" ref="U50:AW50" si="227">T50</f>
        <v>0</v>
      </c>
      <c r="V50" s="22">
        <f t="shared" si="227"/>
        <v>0</v>
      </c>
      <c r="W50" s="22">
        <v>15</v>
      </c>
      <c r="X50" s="22">
        <f t="shared" si="227"/>
        <v>15</v>
      </c>
      <c r="Y50" s="22">
        <f t="shared" si="227"/>
        <v>15</v>
      </c>
      <c r="Z50" s="230">
        <v>25</v>
      </c>
      <c r="AA50" s="22">
        <f t="shared" si="227"/>
        <v>25</v>
      </c>
      <c r="AB50" s="22">
        <f t="shared" si="227"/>
        <v>25</v>
      </c>
      <c r="AC50" s="22">
        <f t="shared" si="227"/>
        <v>25</v>
      </c>
      <c r="AD50" s="22">
        <f t="shared" si="227"/>
        <v>25</v>
      </c>
      <c r="AE50" s="22">
        <f t="shared" si="227"/>
        <v>25</v>
      </c>
      <c r="AF50" s="22">
        <f t="shared" si="227"/>
        <v>25</v>
      </c>
      <c r="AG50" s="22">
        <f t="shared" si="227"/>
        <v>25</v>
      </c>
      <c r="AH50" s="22">
        <f t="shared" si="227"/>
        <v>25</v>
      </c>
      <c r="AI50" s="22">
        <f t="shared" si="227"/>
        <v>25</v>
      </c>
      <c r="AJ50" s="22">
        <f t="shared" si="227"/>
        <v>25</v>
      </c>
      <c r="AK50" s="22">
        <f t="shared" si="227"/>
        <v>25</v>
      </c>
      <c r="AL50" s="22">
        <f t="shared" si="227"/>
        <v>25</v>
      </c>
      <c r="AM50" s="22">
        <f t="shared" si="227"/>
        <v>25</v>
      </c>
      <c r="AN50" s="22">
        <f t="shared" si="227"/>
        <v>25</v>
      </c>
      <c r="AO50" s="22">
        <f t="shared" si="227"/>
        <v>25</v>
      </c>
      <c r="AP50" s="22">
        <f t="shared" si="227"/>
        <v>25</v>
      </c>
      <c r="AQ50" s="22">
        <f t="shared" si="227"/>
        <v>25</v>
      </c>
      <c r="AR50" s="22">
        <f t="shared" si="227"/>
        <v>25</v>
      </c>
      <c r="AS50" s="22">
        <f t="shared" si="227"/>
        <v>25</v>
      </c>
      <c r="AT50" s="22">
        <f t="shared" si="227"/>
        <v>25</v>
      </c>
      <c r="AU50" s="22">
        <f t="shared" si="227"/>
        <v>25</v>
      </c>
      <c r="AV50" s="22">
        <f t="shared" si="227"/>
        <v>25</v>
      </c>
      <c r="AW50" s="22">
        <f t="shared" si="227"/>
        <v>25</v>
      </c>
      <c r="AX50" s="22">
        <f t="shared" ref="AX50" si="228">AW50</f>
        <v>25</v>
      </c>
      <c r="AY50" s="22">
        <f t="shared" ref="AY50" si="229">AX50</f>
        <v>25</v>
      </c>
      <c r="AZ50" s="22">
        <f t="shared" ref="AZ50" si="230">AY50</f>
        <v>25</v>
      </c>
      <c r="BA50" s="22">
        <f t="shared" ref="BA50" si="231">AZ50</f>
        <v>25</v>
      </c>
      <c r="BB50" s="22">
        <f t="shared" ref="BB50" si="232">BA50</f>
        <v>25</v>
      </c>
      <c r="BC50" s="22">
        <f t="shared" ref="BC50" si="233">BB50</f>
        <v>25</v>
      </c>
      <c r="BD50" s="22">
        <f t="shared" ref="BD50" si="234">BC50</f>
        <v>25</v>
      </c>
      <c r="BE50" s="22">
        <f t="shared" ref="BE50" si="235">BD50</f>
        <v>25</v>
      </c>
      <c r="BF50" s="22">
        <f t="shared" ref="BF50" si="236">BE50</f>
        <v>25</v>
      </c>
      <c r="BG50" s="22">
        <f t="shared" ref="BG50" si="237">BF50</f>
        <v>25</v>
      </c>
      <c r="BH50" s="22">
        <f t="shared" ref="BH50" si="238">BG50</f>
        <v>25</v>
      </c>
      <c r="BI50" s="22">
        <f t="shared" ref="BI50" si="239">BH50</f>
        <v>25</v>
      </c>
      <c r="BJ50" s="22">
        <f t="shared" ref="BJ50" si="240">BI50</f>
        <v>25</v>
      </c>
      <c r="BK50" s="22">
        <f t="shared" ref="BK50" si="241">BJ50</f>
        <v>25</v>
      </c>
      <c r="BL50" s="22">
        <f t="shared" ref="BL50" si="242">BK50</f>
        <v>25</v>
      </c>
      <c r="BM50" s="22">
        <f t="shared" ref="BM50" si="243">BL50</f>
        <v>25</v>
      </c>
      <c r="BN50" s="22">
        <f t="shared" ref="BN50" si="244">BM50</f>
        <v>25</v>
      </c>
      <c r="BO50" s="22">
        <f t="shared" ref="BO50" si="245">BN50</f>
        <v>25</v>
      </c>
      <c r="BP50" s="22">
        <f t="shared" ref="BP50" si="246">BO50</f>
        <v>25</v>
      </c>
      <c r="BQ50" s="22">
        <f t="shared" ref="BQ50" si="247">BP50</f>
        <v>25</v>
      </c>
      <c r="BR50" s="22">
        <f t="shared" ref="BR50" si="248">BQ50</f>
        <v>25</v>
      </c>
      <c r="BS50" s="22">
        <f t="shared" ref="BS50" si="249">BR50</f>
        <v>25</v>
      </c>
      <c r="BT50" s="22">
        <f t="shared" ref="BT50" si="250">BS50</f>
        <v>25</v>
      </c>
      <c r="BU50" s="22">
        <f t="shared" ref="BU50" si="251">BT50</f>
        <v>25</v>
      </c>
      <c r="BV50" s="22">
        <f t="shared" ref="BV50" si="252">BU50</f>
        <v>25</v>
      </c>
      <c r="BW50" s="22">
        <f t="shared" ref="BW50" si="253">BV50</f>
        <v>25</v>
      </c>
      <c r="BX50" s="22">
        <f t="shared" ref="BX50" si="254">BW50</f>
        <v>25</v>
      </c>
      <c r="BY50" s="22">
        <f t="shared" ref="BY50" si="255">BX50</f>
        <v>25</v>
      </c>
      <c r="BZ50" s="22">
        <f t="shared" ref="BZ50" si="256">BY50</f>
        <v>25</v>
      </c>
      <c r="CA50" s="22">
        <f t="shared" ref="CA50" si="257">BZ50</f>
        <v>25</v>
      </c>
      <c r="CB50" s="22">
        <f t="shared" ref="CB50" si="258">CA50</f>
        <v>25</v>
      </c>
      <c r="CC50" s="22">
        <f t="shared" ref="CC50" si="259">CB50</f>
        <v>25</v>
      </c>
      <c r="CD50" s="22">
        <f t="shared" ref="CD50" si="260">CC50</f>
        <v>25</v>
      </c>
      <c r="CE50" s="22">
        <f t="shared" ref="CE50" si="261">CD50</f>
        <v>25</v>
      </c>
      <c r="CF50" s="22">
        <f t="shared" ref="CF50" si="262">CE50</f>
        <v>25</v>
      </c>
      <c r="CG50" s="22">
        <f t="shared" ref="CG50" si="263">CF50</f>
        <v>25</v>
      </c>
      <c r="CH50" s="22">
        <f t="shared" ref="CH50" si="264">CG50</f>
        <v>25</v>
      </c>
      <c r="CI50" s="22">
        <f t="shared" ref="CI50" si="265">CH50</f>
        <v>25</v>
      </c>
      <c r="CJ50" s="22">
        <f t="shared" ref="CJ50" si="266">CI50</f>
        <v>25</v>
      </c>
      <c r="CK50" s="22">
        <f t="shared" ref="CK50" si="267">CJ50</f>
        <v>25</v>
      </c>
      <c r="CM50" s="10">
        <f t="shared" si="213"/>
        <v>0</v>
      </c>
      <c r="CN50" s="10">
        <f t="shared" si="213"/>
        <v>145</v>
      </c>
      <c r="CO50" s="10">
        <f t="shared" si="213"/>
        <v>300</v>
      </c>
      <c r="CP50" s="10">
        <f t="shared" si="213"/>
        <v>300</v>
      </c>
      <c r="CQ50" s="10">
        <f t="shared" si="213"/>
        <v>300</v>
      </c>
      <c r="CR50" s="10">
        <f t="shared" si="214"/>
        <v>300</v>
      </c>
      <c r="CS50" s="10">
        <f t="shared" si="214"/>
        <v>300</v>
      </c>
    </row>
    <row r="51" spans="2:97" outlineLevel="1" x14ac:dyDescent="0.2">
      <c r="B51" s="88" t="s">
        <v>17</v>
      </c>
      <c r="C51" s="92"/>
      <c r="D51" s="92"/>
      <c r="F51" s="94">
        <f t="shared" ref="F51:K51" si="268">SUM(F52:F53)</f>
        <v>0</v>
      </c>
      <c r="G51" s="94">
        <f t="shared" si="268"/>
        <v>0</v>
      </c>
      <c r="H51" s="94">
        <f t="shared" si="268"/>
        <v>0</v>
      </c>
      <c r="I51" s="94">
        <f t="shared" si="268"/>
        <v>0</v>
      </c>
      <c r="J51" s="94">
        <f t="shared" si="268"/>
        <v>0</v>
      </c>
      <c r="K51" s="94">
        <f t="shared" si="268"/>
        <v>0</v>
      </c>
      <c r="L51" s="94">
        <f t="shared" ref="L51:AW51" si="269">SUM(L52:L53)</f>
        <v>0</v>
      </c>
      <c r="M51" s="94">
        <f t="shared" si="269"/>
        <v>0</v>
      </c>
      <c r="N51" s="94">
        <f t="shared" si="269"/>
        <v>0</v>
      </c>
      <c r="O51" s="94">
        <f t="shared" si="269"/>
        <v>0</v>
      </c>
      <c r="P51" s="94">
        <f t="shared" si="269"/>
        <v>0</v>
      </c>
      <c r="Q51" s="94">
        <f t="shared" si="269"/>
        <v>0</v>
      </c>
      <c r="R51" s="94">
        <f t="shared" si="269"/>
        <v>0</v>
      </c>
      <c r="S51" s="94">
        <f t="shared" si="269"/>
        <v>0</v>
      </c>
      <c r="T51" s="94">
        <f t="shared" si="269"/>
        <v>0.4719892</v>
      </c>
      <c r="U51" s="94">
        <f t="shared" si="269"/>
        <v>3.3497524999999992</v>
      </c>
      <c r="V51" s="94">
        <f t="shared" si="269"/>
        <v>3.1820160000000004</v>
      </c>
      <c r="W51" s="94">
        <f t="shared" si="269"/>
        <v>17.899999999999999</v>
      </c>
      <c r="X51" s="94">
        <f t="shared" si="269"/>
        <v>46.336365499999999</v>
      </c>
      <c r="Y51" s="94">
        <f t="shared" si="269"/>
        <v>28.925662000000003</v>
      </c>
      <c r="Z51" s="94">
        <f t="shared" si="269"/>
        <v>15.363954500000004</v>
      </c>
      <c r="AA51" s="94">
        <f t="shared" si="269"/>
        <v>13.1516345</v>
      </c>
      <c r="AB51" s="94">
        <f t="shared" si="269"/>
        <v>1.2853899999999998</v>
      </c>
      <c r="AC51" s="94">
        <f t="shared" si="269"/>
        <v>1.5050895</v>
      </c>
      <c r="AD51" s="94">
        <f t="shared" si="269"/>
        <v>0</v>
      </c>
      <c r="AE51" s="94">
        <f t="shared" si="269"/>
        <v>0</v>
      </c>
      <c r="AF51" s="94">
        <f t="shared" si="269"/>
        <v>0</v>
      </c>
      <c r="AG51" s="94">
        <f t="shared" si="269"/>
        <v>0</v>
      </c>
      <c r="AH51" s="94">
        <f t="shared" si="269"/>
        <v>1.5803439750000001</v>
      </c>
      <c r="AI51" s="94">
        <f t="shared" si="269"/>
        <v>1.6593611737500003</v>
      </c>
      <c r="AJ51" s="94">
        <f t="shared" si="269"/>
        <v>1.7423292324375004</v>
      </c>
      <c r="AK51" s="94">
        <f t="shared" si="269"/>
        <v>1.8294456940593753</v>
      </c>
      <c r="AL51" s="94">
        <f t="shared" si="269"/>
        <v>1.9209179787623443</v>
      </c>
      <c r="AM51" s="94">
        <f t="shared" si="269"/>
        <v>2.0169638777004613</v>
      </c>
      <c r="AN51" s="94">
        <f t="shared" si="269"/>
        <v>2.1178120715854845</v>
      </c>
      <c r="AO51" s="94">
        <f t="shared" si="269"/>
        <v>2.2237026751647591</v>
      </c>
      <c r="AP51" s="94">
        <f t="shared" si="269"/>
        <v>2.2681767286680539</v>
      </c>
      <c r="AQ51" s="94">
        <f t="shared" si="269"/>
        <v>2.3135402632414155</v>
      </c>
      <c r="AR51" s="94">
        <f t="shared" si="269"/>
        <v>2.3598110685062439</v>
      </c>
      <c r="AS51" s="94">
        <f t="shared" si="269"/>
        <v>2.4070072898763688</v>
      </c>
      <c r="AT51" s="94">
        <f t="shared" si="269"/>
        <v>2.4551474356738958</v>
      </c>
      <c r="AU51" s="94">
        <f t="shared" si="269"/>
        <v>2.5042503843873738</v>
      </c>
      <c r="AV51" s="94">
        <f t="shared" si="269"/>
        <v>2.5543353920751217</v>
      </c>
      <c r="AW51" s="94">
        <f t="shared" si="269"/>
        <v>2.6054220999166238</v>
      </c>
      <c r="AX51" s="94">
        <f t="shared" ref="AX51:BU51" si="270">SUM(AX52:AX53)</f>
        <v>2.6575305419149564</v>
      </c>
      <c r="AY51" s="94">
        <f t="shared" si="270"/>
        <v>2.7106811527532555</v>
      </c>
      <c r="AZ51" s="94">
        <f t="shared" si="270"/>
        <v>2.7648947758083207</v>
      </c>
      <c r="BA51" s="94">
        <f t="shared" si="270"/>
        <v>2.8201926713244871</v>
      </c>
      <c r="BB51" s="94">
        <f t="shared" si="270"/>
        <v>2.8765965247509766</v>
      </c>
      <c r="BC51" s="94">
        <f t="shared" si="270"/>
        <v>2.9341284552459963</v>
      </c>
      <c r="BD51" s="94">
        <f t="shared" si="270"/>
        <v>2.9928110243509165</v>
      </c>
      <c r="BE51" s="94">
        <f t="shared" si="270"/>
        <v>3.0526672448379348</v>
      </c>
      <c r="BF51" s="94">
        <f t="shared" si="270"/>
        <v>3.1137205897346938</v>
      </c>
      <c r="BG51" s="94">
        <f t="shared" si="270"/>
        <v>3.1759950015293876</v>
      </c>
      <c r="BH51" s="94">
        <f t="shared" si="270"/>
        <v>3.2395149015599758</v>
      </c>
      <c r="BI51" s="94">
        <f t="shared" si="270"/>
        <v>3.3043051995911754</v>
      </c>
      <c r="BJ51" s="94">
        <f t="shared" si="270"/>
        <v>3.3703913035829993</v>
      </c>
      <c r="BK51" s="94">
        <f t="shared" si="270"/>
        <v>3.4377991296546591</v>
      </c>
      <c r="BL51" s="94">
        <f t="shared" si="270"/>
        <v>3.5065551122477521</v>
      </c>
      <c r="BM51" s="94">
        <f t="shared" si="270"/>
        <v>3.5766862144927076</v>
      </c>
      <c r="BN51" s="94">
        <f t="shared" si="270"/>
        <v>3.6482199387825616</v>
      </c>
      <c r="BO51" s="94">
        <f t="shared" si="270"/>
        <v>3.7211843375582125</v>
      </c>
      <c r="BP51" s="94">
        <f t="shared" si="270"/>
        <v>3.7956080243093764</v>
      </c>
      <c r="BQ51" s="94">
        <f t="shared" si="270"/>
        <v>3.8715201847955645</v>
      </c>
      <c r="BR51" s="94">
        <f t="shared" si="270"/>
        <v>3.9489505884914755</v>
      </c>
      <c r="BS51" s="94">
        <f t="shared" si="270"/>
        <v>4.027929600261305</v>
      </c>
      <c r="BT51" s="94">
        <f t="shared" si="270"/>
        <v>4.1084881922665311</v>
      </c>
      <c r="BU51" s="94">
        <f t="shared" si="270"/>
        <v>4.1906579561118615</v>
      </c>
      <c r="BV51" s="94">
        <f t="shared" ref="BV51:BX51" si="271">SUM(BV52:BV53)</f>
        <v>4.2744711152340997</v>
      </c>
      <c r="BW51" s="94">
        <f t="shared" si="271"/>
        <v>4.3599605375387815</v>
      </c>
      <c r="BX51" s="94">
        <f t="shared" si="271"/>
        <v>4.4471597482895575</v>
      </c>
      <c r="BY51" s="94">
        <f t="shared" ref="BY51:CK51" si="272">SUM(BY52:BY53)</f>
        <v>4.536102943255349</v>
      </c>
      <c r="BZ51" s="94">
        <f t="shared" si="272"/>
        <v>4.626825002120456</v>
      </c>
      <c r="CA51" s="94">
        <f t="shared" si="272"/>
        <v>4.7193615021628643</v>
      </c>
      <c r="CB51" s="94">
        <f t="shared" si="272"/>
        <v>4.8137487322061219</v>
      </c>
      <c r="CC51" s="94">
        <f t="shared" si="272"/>
        <v>4.9100237068502448</v>
      </c>
      <c r="CD51" s="94">
        <f t="shared" si="272"/>
        <v>5.0082241809872494</v>
      </c>
      <c r="CE51" s="94">
        <f t="shared" si="272"/>
        <v>5.108388664606994</v>
      </c>
      <c r="CF51" s="94">
        <f t="shared" si="272"/>
        <v>5.2105564378991343</v>
      </c>
      <c r="CG51" s="94">
        <f t="shared" si="272"/>
        <v>5.3147675666571175</v>
      </c>
      <c r="CH51" s="94">
        <f t="shared" si="272"/>
        <v>5.4210629179902607</v>
      </c>
      <c r="CI51" s="94">
        <f t="shared" si="272"/>
        <v>5.5294841763500644</v>
      </c>
      <c r="CJ51" s="94">
        <f t="shared" si="272"/>
        <v>5.6400738598770674</v>
      </c>
      <c r="CK51" s="94">
        <f t="shared" si="272"/>
        <v>5.7528753370746077</v>
      </c>
      <c r="CM51" s="94">
        <f t="shared" si="213"/>
        <v>0</v>
      </c>
      <c r="CN51" s="94">
        <f t="shared" si="213"/>
        <v>131.4718537</v>
      </c>
      <c r="CO51" s="94">
        <f t="shared" si="213"/>
        <v>15.090876678459926</v>
      </c>
      <c r="CP51" s="94">
        <f t="shared" si="213"/>
        <v>30.420989804146114</v>
      </c>
      <c r="CQ51" s="94">
        <f t="shared" si="213"/>
        <v>38.581170701579175</v>
      </c>
      <c r="CR51" s="94">
        <f t="shared" si="214"/>
        <v>48.93025316689468</v>
      </c>
      <c r="CS51" s="94">
        <f t="shared" si="214"/>
        <v>62.055392084782184</v>
      </c>
    </row>
    <row r="52" spans="2:97" outlineLevel="2" x14ac:dyDescent="0.2">
      <c r="B52" s="95" t="s">
        <v>40</v>
      </c>
      <c r="C52" s="92" t="s">
        <v>39</v>
      </c>
      <c r="D52" s="104">
        <v>0.04</v>
      </c>
      <c r="F52" s="22"/>
      <c r="G52" s="22"/>
      <c r="H52" s="22"/>
      <c r="I52" s="22"/>
      <c r="J52" s="22"/>
      <c r="K52" s="22"/>
      <c r="L52" s="22"/>
      <c r="M52" s="22"/>
      <c r="N52" s="22"/>
      <c r="O52" s="22"/>
      <c r="P52" s="22">
        <f t="shared" ref="P52:R53" si="273">P$39*$D52</f>
        <v>0</v>
      </c>
      <c r="Q52" s="22">
        <f t="shared" si="273"/>
        <v>0</v>
      </c>
      <c r="R52" s="22">
        <f t="shared" si="273"/>
        <v>0</v>
      </c>
      <c r="S52" s="22">
        <f t="shared" ref="S52:CK53" si="274">S$39*$D52</f>
        <v>0</v>
      </c>
      <c r="T52" s="22"/>
      <c r="U52" s="22">
        <f t="shared" si="274"/>
        <v>2.6798019999999996</v>
      </c>
      <c r="V52" s="22">
        <f t="shared" si="274"/>
        <v>2.5456128000000002</v>
      </c>
      <c r="W52" s="22">
        <f t="shared" si="274"/>
        <v>14.32</v>
      </c>
      <c r="X52" s="22">
        <f t="shared" si="274"/>
        <v>37.069092400000002</v>
      </c>
      <c r="Y52" s="22">
        <f t="shared" si="274"/>
        <v>23.140529600000001</v>
      </c>
      <c r="Z52" s="22">
        <f t="shared" si="274"/>
        <v>12.291163600000003</v>
      </c>
      <c r="AA52" s="22">
        <f t="shared" si="274"/>
        <v>10.5213076</v>
      </c>
      <c r="AB52" s="22">
        <f t="shared" si="274"/>
        <v>1.0283119999999999</v>
      </c>
      <c r="AC52" s="22">
        <f t="shared" si="274"/>
        <v>1.2040716</v>
      </c>
      <c r="AD52" s="22">
        <f t="shared" si="274"/>
        <v>0</v>
      </c>
      <c r="AE52" s="22">
        <f t="shared" si="274"/>
        <v>0</v>
      </c>
      <c r="AF52" s="22">
        <f t="shared" si="274"/>
        <v>0</v>
      </c>
      <c r="AG52" s="22">
        <f t="shared" si="274"/>
        <v>0</v>
      </c>
      <c r="AH52" s="22">
        <f t="shared" si="274"/>
        <v>1.2642751800000001</v>
      </c>
      <c r="AI52" s="22">
        <f t="shared" si="274"/>
        <v>1.3274889390000002</v>
      </c>
      <c r="AJ52" s="22">
        <f t="shared" si="274"/>
        <v>1.3938633859500003</v>
      </c>
      <c r="AK52" s="22">
        <f t="shared" si="274"/>
        <v>1.4635565552475003</v>
      </c>
      <c r="AL52" s="22">
        <f t="shared" si="274"/>
        <v>1.5367343830098754</v>
      </c>
      <c r="AM52" s="22">
        <f t="shared" si="274"/>
        <v>1.6135711021603691</v>
      </c>
      <c r="AN52" s="22">
        <f t="shared" si="274"/>
        <v>1.6942496572683876</v>
      </c>
      <c r="AO52" s="22">
        <f t="shared" si="274"/>
        <v>1.7789621401318072</v>
      </c>
      <c r="AP52" s="22">
        <f t="shared" si="274"/>
        <v>1.8145413829344432</v>
      </c>
      <c r="AQ52" s="22">
        <f t="shared" si="274"/>
        <v>1.8508322105931325</v>
      </c>
      <c r="AR52" s="22">
        <f t="shared" si="274"/>
        <v>1.887848854804995</v>
      </c>
      <c r="AS52" s="22">
        <f t="shared" si="274"/>
        <v>1.9256058319010949</v>
      </c>
      <c r="AT52" s="22">
        <f t="shared" si="274"/>
        <v>1.9641179485391167</v>
      </c>
      <c r="AU52" s="22">
        <f t="shared" si="274"/>
        <v>2.0034003075098989</v>
      </c>
      <c r="AV52" s="22">
        <f t="shared" si="274"/>
        <v>2.0434683136600973</v>
      </c>
      <c r="AW52" s="22">
        <f t="shared" si="274"/>
        <v>2.0843376799332991</v>
      </c>
      <c r="AX52" s="22">
        <f t="shared" si="274"/>
        <v>2.1260244335319651</v>
      </c>
      <c r="AY52" s="22">
        <f t="shared" si="274"/>
        <v>2.1685449222026043</v>
      </c>
      <c r="AZ52" s="22">
        <f t="shared" si="274"/>
        <v>2.2119158206466567</v>
      </c>
      <c r="BA52" s="22">
        <f t="shared" si="274"/>
        <v>2.2561541370595899</v>
      </c>
      <c r="BB52" s="22">
        <f t="shared" si="274"/>
        <v>2.3012772198007814</v>
      </c>
      <c r="BC52" s="22">
        <f t="shared" si="274"/>
        <v>2.347302764196797</v>
      </c>
      <c r="BD52" s="22">
        <f t="shared" si="274"/>
        <v>2.3942488194807332</v>
      </c>
      <c r="BE52" s="22">
        <f t="shared" si="274"/>
        <v>2.442133795870348</v>
      </c>
      <c r="BF52" s="22">
        <f t="shared" si="274"/>
        <v>2.4909764717877549</v>
      </c>
      <c r="BG52" s="22">
        <f t="shared" si="274"/>
        <v>2.54079600122351</v>
      </c>
      <c r="BH52" s="22">
        <f t="shared" si="274"/>
        <v>2.5916119212479805</v>
      </c>
      <c r="BI52" s="22">
        <f t="shared" si="274"/>
        <v>2.6434441596729403</v>
      </c>
      <c r="BJ52" s="22">
        <f t="shared" si="274"/>
        <v>2.6963130428663993</v>
      </c>
      <c r="BK52" s="22">
        <f t="shared" si="274"/>
        <v>2.7502393037237272</v>
      </c>
      <c r="BL52" s="22">
        <f t="shared" si="274"/>
        <v>2.8052440897982018</v>
      </c>
      <c r="BM52" s="22">
        <f t="shared" si="274"/>
        <v>2.861348971594166</v>
      </c>
      <c r="BN52" s="22">
        <f t="shared" si="274"/>
        <v>2.9185759510260492</v>
      </c>
      <c r="BO52" s="22">
        <f t="shared" si="274"/>
        <v>2.9769474700465701</v>
      </c>
      <c r="BP52" s="22">
        <f t="shared" si="274"/>
        <v>3.0364864194475012</v>
      </c>
      <c r="BQ52" s="22">
        <f t="shared" si="274"/>
        <v>3.0972161478364515</v>
      </c>
      <c r="BR52" s="22">
        <f t="shared" si="274"/>
        <v>3.1591604707931804</v>
      </c>
      <c r="BS52" s="22">
        <f t="shared" si="274"/>
        <v>3.2223436802090442</v>
      </c>
      <c r="BT52" s="22">
        <f t="shared" si="274"/>
        <v>3.2867905538132249</v>
      </c>
      <c r="BU52" s="22">
        <f t="shared" si="274"/>
        <v>3.3525263648894894</v>
      </c>
      <c r="BV52" s="22">
        <f t="shared" si="274"/>
        <v>3.4195768921872798</v>
      </c>
      <c r="BW52" s="22">
        <f t="shared" si="274"/>
        <v>3.4879684300310254</v>
      </c>
      <c r="BX52" s="22">
        <f t="shared" si="274"/>
        <v>3.557727798631646</v>
      </c>
      <c r="BY52" s="22">
        <f t="shared" si="274"/>
        <v>3.6288823546042792</v>
      </c>
      <c r="BZ52" s="22">
        <f t="shared" si="274"/>
        <v>3.7014600016963648</v>
      </c>
      <c r="CA52" s="22">
        <f t="shared" si="274"/>
        <v>3.7754892017302915</v>
      </c>
      <c r="CB52" s="22">
        <f t="shared" si="274"/>
        <v>3.8509989857648974</v>
      </c>
      <c r="CC52" s="22">
        <f t="shared" si="274"/>
        <v>3.9280189654801956</v>
      </c>
      <c r="CD52" s="22">
        <f t="shared" si="274"/>
        <v>4.0065793447897997</v>
      </c>
      <c r="CE52" s="22">
        <f t="shared" si="274"/>
        <v>4.0867109316855954</v>
      </c>
      <c r="CF52" s="22">
        <f t="shared" si="274"/>
        <v>4.1684451503193074</v>
      </c>
      <c r="CG52" s="22">
        <f t="shared" si="274"/>
        <v>4.2518140533256936</v>
      </c>
      <c r="CH52" s="22">
        <f t="shared" si="274"/>
        <v>4.3368503343922082</v>
      </c>
      <c r="CI52" s="22">
        <f t="shared" si="274"/>
        <v>4.4235873410800517</v>
      </c>
      <c r="CJ52" s="22">
        <f t="shared" si="274"/>
        <v>4.5120590879016538</v>
      </c>
      <c r="CK52" s="22">
        <f t="shared" si="274"/>
        <v>4.6023002696596862</v>
      </c>
      <c r="CM52" s="10">
        <f t="shared" si="213"/>
        <v>0</v>
      </c>
      <c r="CN52" s="10">
        <f t="shared" si="213"/>
        <v>104.79989160000001</v>
      </c>
      <c r="CO52" s="10">
        <f t="shared" si="213"/>
        <v>12.072701342767941</v>
      </c>
      <c r="CP52" s="10">
        <f t="shared" si="213"/>
        <v>24.336791843316892</v>
      </c>
      <c r="CQ52" s="10">
        <f t="shared" si="213"/>
        <v>30.864936561263342</v>
      </c>
      <c r="CR52" s="10">
        <f t="shared" si="214"/>
        <v>39.144202533515745</v>
      </c>
      <c r="CS52" s="10">
        <f t="shared" si="214"/>
        <v>49.644313667825749</v>
      </c>
    </row>
    <row r="53" spans="2:97" outlineLevel="2" x14ac:dyDescent="0.2">
      <c r="B53" s="95" t="s">
        <v>41</v>
      </c>
      <c r="C53" s="92" t="s">
        <v>39</v>
      </c>
      <c r="D53" s="104">
        <v>0.01</v>
      </c>
      <c r="P53" s="22">
        <f t="shared" si="273"/>
        <v>0</v>
      </c>
      <c r="Q53" s="22">
        <f t="shared" si="273"/>
        <v>0</v>
      </c>
      <c r="R53" s="22">
        <f t="shared" si="273"/>
        <v>0</v>
      </c>
      <c r="S53" s="22">
        <f>S$39*$D53</f>
        <v>0</v>
      </c>
      <c r="T53" s="22">
        <f t="shared" si="274"/>
        <v>0.4719892</v>
      </c>
      <c r="U53" s="22">
        <f t="shared" si="274"/>
        <v>0.66995049999999989</v>
      </c>
      <c r="V53" s="22">
        <f t="shared" si="274"/>
        <v>0.63640320000000006</v>
      </c>
      <c r="W53" s="22">
        <f t="shared" si="274"/>
        <v>3.58</v>
      </c>
      <c r="X53" s="22">
        <f t="shared" si="274"/>
        <v>9.2672731000000006</v>
      </c>
      <c r="Y53" s="22">
        <f t="shared" si="274"/>
        <v>5.7851324000000002</v>
      </c>
      <c r="Z53" s="22">
        <f t="shared" si="274"/>
        <v>3.0727909000000007</v>
      </c>
      <c r="AA53" s="22">
        <f t="shared" si="274"/>
        <v>2.6303269</v>
      </c>
      <c r="AB53" s="22">
        <f t="shared" si="274"/>
        <v>0.25707799999999997</v>
      </c>
      <c r="AC53" s="22">
        <f t="shared" si="274"/>
        <v>0.3010179</v>
      </c>
      <c r="AD53" s="22">
        <f t="shared" si="274"/>
        <v>0</v>
      </c>
      <c r="AE53" s="22">
        <f t="shared" si="274"/>
        <v>0</v>
      </c>
      <c r="AF53" s="22">
        <f t="shared" si="274"/>
        <v>0</v>
      </c>
      <c r="AG53" s="22">
        <f t="shared" si="274"/>
        <v>0</v>
      </c>
      <c r="AH53" s="22">
        <f t="shared" si="274"/>
        <v>0.31606879500000001</v>
      </c>
      <c r="AI53" s="22">
        <f t="shared" si="274"/>
        <v>0.33187223475000005</v>
      </c>
      <c r="AJ53" s="22">
        <f t="shared" si="274"/>
        <v>0.34846584648750006</v>
      </c>
      <c r="AK53" s="22">
        <f t="shared" si="274"/>
        <v>0.36588913881187507</v>
      </c>
      <c r="AL53" s="22">
        <f t="shared" si="274"/>
        <v>0.38418359575246885</v>
      </c>
      <c r="AM53" s="22">
        <f t="shared" si="274"/>
        <v>0.40339277554009229</v>
      </c>
      <c r="AN53" s="22">
        <f t="shared" si="274"/>
        <v>0.4235624143170969</v>
      </c>
      <c r="AO53" s="22">
        <f t="shared" si="274"/>
        <v>0.4447405350329518</v>
      </c>
      <c r="AP53" s="22">
        <f t="shared" si="274"/>
        <v>0.45363534573361081</v>
      </c>
      <c r="AQ53" s="22">
        <f t="shared" si="274"/>
        <v>0.46270805264828313</v>
      </c>
      <c r="AR53" s="22">
        <f t="shared" si="274"/>
        <v>0.47196221370124875</v>
      </c>
      <c r="AS53" s="22">
        <f t="shared" si="274"/>
        <v>0.48140145797527373</v>
      </c>
      <c r="AT53" s="22">
        <f t="shared" si="274"/>
        <v>0.49102948713477917</v>
      </c>
      <c r="AU53" s="22">
        <f t="shared" si="274"/>
        <v>0.50085007687747474</v>
      </c>
      <c r="AV53" s="22">
        <f t="shared" si="274"/>
        <v>0.51086707841502432</v>
      </c>
      <c r="AW53" s="22">
        <f t="shared" si="274"/>
        <v>0.52108441998332478</v>
      </c>
      <c r="AX53" s="22">
        <f t="shared" si="274"/>
        <v>0.53150610838299128</v>
      </c>
      <c r="AY53" s="22">
        <f t="shared" si="274"/>
        <v>0.54213623055065108</v>
      </c>
      <c r="AZ53" s="22">
        <f t="shared" si="274"/>
        <v>0.55297895516166418</v>
      </c>
      <c r="BA53" s="22">
        <f t="shared" si="274"/>
        <v>0.56403853426489747</v>
      </c>
      <c r="BB53" s="22">
        <f t="shared" si="274"/>
        <v>0.57531930495019534</v>
      </c>
      <c r="BC53" s="22">
        <f t="shared" si="274"/>
        <v>0.58682569104919924</v>
      </c>
      <c r="BD53" s="22">
        <f t="shared" si="274"/>
        <v>0.5985622048701833</v>
      </c>
      <c r="BE53" s="22">
        <f t="shared" si="274"/>
        <v>0.61053344896758699</v>
      </c>
      <c r="BF53" s="22">
        <f t="shared" si="274"/>
        <v>0.62274411794693874</v>
      </c>
      <c r="BG53" s="22">
        <f t="shared" si="274"/>
        <v>0.6351990003058775</v>
      </c>
      <c r="BH53" s="22">
        <f t="shared" si="274"/>
        <v>0.64790298031199511</v>
      </c>
      <c r="BI53" s="22">
        <f t="shared" si="274"/>
        <v>0.66086103991823508</v>
      </c>
      <c r="BJ53" s="22">
        <f t="shared" si="274"/>
        <v>0.67407826071659982</v>
      </c>
      <c r="BK53" s="22">
        <f t="shared" si="274"/>
        <v>0.68755982593093179</v>
      </c>
      <c r="BL53" s="22">
        <f t="shared" si="274"/>
        <v>0.70131102244955046</v>
      </c>
      <c r="BM53" s="22">
        <f t="shared" si="274"/>
        <v>0.7153372428985415</v>
      </c>
      <c r="BN53" s="22">
        <f t="shared" si="274"/>
        <v>0.72964398775651229</v>
      </c>
      <c r="BO53" s="22">
        <f t="shared" si="274"/>
        <v>0.74423686751164253</v>
      </c>
      <c r="BP53" s="22">
        <f t="shared" si="274"/>
        <v>0.7591216048618753</v>
      </c>
      <c r="BQ53" s="22">
        <f t="shared" si="274"/>
        <v>0.77430403695911287</v>
      </c>
      <c r="BR53" s="22">
        <f t="shared" si="274"/>
        <v>0.7897901176982951</v>
      </c>
      <c r="BS53" s="22">
        <f t="shared" si="274"/>
        <v>0.80558592005226104</v>
      </c>
      <c r="BT53" s="22">
        <f t="shared" si="274"/>
        <v>0.82169763845330623</v>
      </c>
      <c r="BU53" s="22">
        <f t="shared" si="274"/>
        <v>0.83813159122237235</v>
      </c>
      <c r="BV53" s="22">
        <f t="shared" si="274"/>
        <v>0.85489422304681995</v>
      </c>
      <c r="BW53" s="22">
        <f t="shared" si="274"/>
        <v>0.87199210750775635</v>
      </c>
      <c r="BX53" s="22">
        <f t="shared" si="274"/>
        <v>0.8894319496579115</v>
      </c>
      <c r="BY53" s="22">
        <f t="shared" si="274"/>
        <v>0.9072205886510698</v>
      </c>
      <c r="BZ53" s="22">
        <f t="shared" si="274"/>
        <v>0.9253650004240912</v>
      </c>
      <c r="CA53" s="22">
        <f t="shared" si="274"/>
        <v>0.94387230043257286</v>
      </c>
      <c r="CB53" s="22">
        <f t="shared" si="274"/>
        <v>0.96274974644122435</v>
      </c>
      <c r="CC53" s="22">
        <f t="shared" si="274"/>
        <v>0.98200474137004889</v>
      </c>
      <c r="CD53" s="22">
        <f t="shared" si="274"/>
        <v>1.0016448361974499</v>
      </c>
      <c r="CE53" s="22">
        <f t="shared" si="274"/>
        <v>1.0216777329213989</v>
      </c>
      <c r="CF53" s="22">
        <f t="shared" si="274"/>
        <v>1.0421112875798269</v>
      </c>
      <c r="CG53" s="22">
        <f t="shared" si="274"/>
        <v>1.0629535133314234</v>
      </c>
      <c r="CH53" s="22">
        <f t="shared" si="274"/>
        <v>1.0842125835980521</v>
      </c>
      <c r="CI53" s="22">
        <f t="shared" si="274"/>
        <v>1.1058968352700129</v>
      </c>
      <c r="CJ53" s="22">
        <f t="shared" si="274"/>
        <v>1.1280147719754134</v>
      </c>
      <c r="CK53" s="22">
        <f t="shared" si="274"/>
        <v>1.1505750674149215</v>
      </c>
      <c r="CM53" s="10">
        <f t="shared" si="213"/>
        <v>0</v>
      </c>
      <c r="CN53" s="10">
        <f t="shared" si="213"/>
        <v>26.671962100000005</v>
      </c>
      <c r="CO53" s="10">
        <f t="shared" si="213"/>
        <v>3.0181753356919852</v>
      </c>
      <c r="CP53" s="10">
        <f t="shared" si="213"/>
        <v>6.0841979608292229</v>
      </c>
      <c r="CQ53" s="10">
        <f t="shared" si="213"/>
        <v>7.7162341403158354</v>
      </c>
      <c r="CR53" s="10">
        <f t="shared" si="214"/>
        <v>9.7860506333789363</v>
      </c>
      <c r="CS53" s="10">
        <f t="shared" si="214"/>
        <v>12.411078416956437</v>
      </c>
    </row>
    <row r="54" spans="2:97" outlineLevel="1" x14ac:dyDescent="0.2">
      <c r="B54" s="88" t="s">
        <v>19</v>
      </c>
      <c r="C54" s="92"/>
      <c r="D54" s="92"/>
      <c r="F54" s="94">
        <f t="shared" ref="F54:K54" si="275">SUM(F55:F60)</f>
        <v>0</v>
      </c>
      <c r="G54" s="94">
        <f t="shared" si="275"/>
        <v>0</v>
      </c>
      <c r="H54" s="94">
        <f t="shared" si="275"/>
        <v>0</v>
      </c>
      <c r="I54" s="94">
        <f t="shared" si="275"/>
        <v>0</v>
      </c>
      <c r="J54" s="94">
        <f t="shared" si="275"/>
        <v>0</v>
      </c>
      <c r="K54" s="94">
        <f t="shared" si="275"/>
        <v>0</v>
      </c>
      <c r="L54" s="94">
        <f>SUM(L55:L60)</f>
        <v>0</v>
      </c>
      <c r="M54" s="94">
        <f t="shared" ref="M54:AW54" si="276">SUM(M55:M60)</f>
        <v>0</v>
      </c>
      <c r="N54" s="94">
        <f t="shared" si="276"/>
        <v>0</v>
      </c>
      <c r="O54" s="94">
        <f t="shared" si="276"/>
        <v>0</v>
      </c>
      <c r="P54" s="94">
        <f t="shared" si="276"/>
        <v>0</v>
      </c>
      <c r="Q54" s="94">
        <f t="shared" si="276"/>
        <v>0</v>
      </c>
      <c r="R54" s="94">
        <f t="shared" si="276"/>
        <v>0</v>
      </c>
      <c r="S54" s="94">
        <f t="shared" si="276"/>
        <v>0</v>
      </c>
      <c r="T54" s="94">
        <f t="shared" si="276"/>
        <v>0.9439784</v>
      </c>
      <c r="U54" s="94">
        <f t="shared" si="276"/>
        <v>8.3399009999999993</v>
      </c>
      <c r="V54" s="94">
        <f t="shared" si="276"/>
        <v>7.2728064000000003</v>
      </c>
      <c r="W54" s="94">
        <f t="shared" si="276"/>
        <v>25.060000000000002</v>
      </c>
      <c r="X54" s="94">
        <f t="shared" si="276"/>
        <v>64.870911700000008</v>
      </c>
      <c r="Y54" s="94">
        <f t="shared" si="276"/>
        <v>40.495926799999999</v>
      </c>
      <c r="Z54" s="94">
        <f t="shared" si="276"/>
        <v>21.509536300000004</v>
      </c>
      <c r="AA54" s="94">
        <f t="shared" si="276"/>
        <v>18.4122883</v>
      </c>
      <c r="AB54" s="94">
        <f t="shared" si="276"/>
        <v>1.7995459999999999</v>
      </c>
      <c r="AC54" s="94">
        <f t="shared" si="276"/>
        <v>2.1071253000000003</v>
      </c>
      <c r="AD54" s="94">
        <f t="shared" si="276"/>
        <v>0</v>
      </c>
      <c r="AE54" s="94">
        <f t="shared" si="276"/>
        <v>0</v>
      </c>
      <c r="AF54" s="94">
        <f t="shared" si="276"/>
        <v>0</v>
      </c>
      <c r="AG54" s="94">
        <f t="shared" si="276"/>
        <v>0</v>
      </c>
      <c r="AH54" s="94">
        <f t="shared" si="276"/>
        <v>2.212481565</v>
      </c>
      <c r="AI54" s="94">
        <f t="shared" si="276"/>
        <v>2.3231056432499999</v>
      </c>
      <c r="AJ54" s="94">
        <f t="shared" si="276"/>
        <v>2.4392609254124999</v>
      </c>
      <c r="AK54" s="94">
        <f t="shared" si="276"/>
        <v>2.5612239716831255</v>
      </c>
      <c r="AL54" s="94">
        <f t="shared" si="276"/>
        <v>2.689285170267282</v>
      </c>
      <c r="AM54" s="94">
        <f t="shared" si="276"/>
        <v>2.8237494287806459</v>
      </c>
      <c r="AN54" s="94">
        <f t="shared" si="276"/>
        <v>2.9649369002196782</v>
      </c>
      <c r="AO54" s="94">
        <f t="shared" si="276"/>
        <v>3.1131837452306628</v>
      </c>
      <c r="AP54" s="94">
        <f t="shared" si="276"/>
        <v>3.1754474201352756</v>
      </c>
      <c r="AQ54" s="94">
        <f t="shared" si="276"/>
        <v>3.2389563685379819</v>
      </c>
      <c r="AR54" s="94">
        <f t="shared" si="276"/>
        <v>3.3037354959087417</v>
      </c>
      <c r="AS54" s="94">
        <f t="shared" si="276"/>
        <v>3.3698102058269161</v>
      </c>
      <c r="AT54" s="94">
        <f t="shared" si="276"/>
        <v>3.4372064099434541</v>
      </c>
      <c r="AU54" s="94">
        <f t="shared" si="276"/>
        <v>3.5059505381423239</v>
      </c>
      <c r="AV54" s="94">
        <f t="shared" si="276"/>
        <v>3.5760695489051701</v>
      </c>
      <c r="AW54" s="94">
        <f t="shared" si="276"/>
        <v>3.6475909398832735</v>
      </c>
      <c r="AX54" s="94">
        <f t="shared" ref="AX54:BU54" si="277">SUM(AX55:AX60)</f>
        <v>3.7205427586809394</v>
      </c>
      <c r="AY54" s="94">
        <f t="shared" si="277"/>
        <v>3.7949536138545574</v>
      </c>
      <c r="AZ54" s="94">
        <f t="shared" si="277"/>
        <v>3.870852686131649</v>
      </c>
      <c r="BA54" s="94">
        <f t="shared" si="277"/>
        <v>3.9482697398542825</v>
      </c>
      <c r="BB54" s="94">
        <f t="shared" si="277"/>
        <v>2.876596524750977</v>
      </c>
      <c r="BC54" s="94">
        <f t="shared" si="277"/>
        <v>2.9341284552459963</v>
      </c>
      <c r="BD54" s="94">
        <f t="shared" si="277"/>
        <v>2.9928110243509161</v>
      </c>
      <c r="BE54" s="94">
        <f t="shared" si="277"/>
        <v>3.0526672448379348</v>
      </c>
      <c r="BF54" s="94">
        <f t="shared" si="277"/>
        <v>3.1137205897346933</v>
      </c>
      <c r="BG54" s="94">
        <f t="shared" si="277"/>
        <v>3.1759950015293872</v>
      </c>
      <c r="BH54" s="94">
        <f t="shared" si="277"/>
        <v>3.2395149015599758</v>
      </c>
      <c r="BI54" s="94">
        <f t="shared" si="277"/>
        <v>3.304305199591175</v>
      </c>
      <c r="BJ54" s="94">
        <f t="shared" si="277"/>
        <v>3.3703913035829989</v>
      </c>
      <c r="BK54" s="94">
        <f t="shared" si="277"/>
        <v>3.4377991296546591</v>
      </c>
      <c r="BL54" s="94">
        <f t="shared" si="277"/>
        <v>3.5065551122477521</v>
      </c>
      <c r="BM54" s="94">
        <f t="shared" si="277"/>
        <v>3.5766862144927072</v>
      </c>
      <c r="BN54" s="94">
        <f t="shared" si="277"/>
        <v>3.6482199387825611</v>
      </c>
      <c r="BO54" s="94">
        <f t="shared" si="277"/>
        <v>3.721184337558213</v>
      </c>
      <c r="BP54" s="94">
        <f t="shared" si="277"/>
        <v>3.7956080243093768</v>
      </c>
      <c r="BQ54" s="94">
        <f t="shared" si="277"/>
        <v>3.8715201847955645</v>
      </c>
      <c r="BR54" s="94">
        <f t="shared" si="277"/>
        <v>3.948950588491476</v>
      </c>
      <c r="BS54" s="94">
        <f t="shared" si="277"/>
        <v>4.027929600261305</v>
      </c>
      <c r="BT54" s="94">
        <f t="shared" si="277"/>
        <v>4.1084881922665311</v>
      </c>
      <c r="BU54" s="94">
        <f t="shared" si="277"/>
        <v>4.1906579561118615</v>
      </c>
      <c r="BV54" s="94">
        <f t="shared" ref="BV54:BX54" si="278">SUM(BV55:BV60)</f>
        <v>4.2744711152340997</v>
      </c>
      <c r="BW54" s="94">
        <f t="shared" si="278"/>
        <v>4.3599605375387815</v>
      </c>
      <c r="BX54" s="94">
        <f t="shared" si="278"/>
        <v>4.4471597482895575</v>
      </c>
      <c r="BY54" s="94">
        <f t="shared" ref="BY54:CK54" si="279">SUM(BY55:BY60)</f>
        <v>4.5361029432553481</v>
      </c>
      <c r="BZ54" s="94">
        <f t="shared" si="279"/>
        <v>4.6268250021204551</v>
      </c>
      <c r="CA54" s="94">
        <f t="shared" si="279"/>
        <v>4.7193615021628652</v>
      </c>
      <c r="CB54" s="94">
        <f t="shared" si="279"/>
        <v>4.813748732206121</v>
      </c>
      <c r="CC54" s="94">
        <f t="shared" si="279"/>
        <v>4.9100237068502448</v>
      </c>
      <c r="CD54" s="94">
        <f t="shared" si="279"/>
        <v>5.0082241809872494</v>
      </c>
      <c r="CE54" s="94">
        <f t="shared" si="279"/>
        <v>5.108388664606994</v>
      </c>
      <c r="CF54" s="94">
        <f t="shared" si="279"/>
        <v>5.2105564378991334</v>
      </c>
      <c r="CG54" s="94">
        <f t="shared" si="279"/>
        <v>5.3147675666571175</v>
      </c>
      <c r="CH54" s="94">
        <f t="shared" si="279"/>
        <v>5.4210629179902599</v>
      </c>
      <c r="CI54" s="94">
        <f t="shared" si="279"/>
        <v>5.5294841763500653</v>
      </c>
      <c r="CJ54" s="94">
        <f t="shared" si="279"/>
        <v>5.6400738598770666</v>
      </c>
      <c r="CK54" s="94">
        <f t="shared" si="279"/>
        <v>5.7528753370746069</v>
      </c>
      <c r="CM54" s="94">
        <f t="shared" ref="CM54:CQ60" si="280">SUMIF($L$2:$CK$2,CM$3,$L54:$CK54)</f>
        <v>0</v>
      </c>
      <c r="CN54" s="94">
        <f t="shared" si="280"/>
        <v>190.81202020000001</v>
      </c>
      <c r="CO54" s="94">
        <f t="shared" si="280"/>
        <v>21.127227349843896</v>
      </c>
      <c r="CP54" s="94">
        <f t="shared" si="280"/>
        <v>42.589385725804568</v>
      </c>
      <c r="CQ54" s="94">
        <f t="shared" si="280"/>
        <v>38.581170701579175</v>
      </c>
      <c r="CR54" s="94">
        <f t="shared" si="214"/>
        <v>48.93025316689468</v>
      </c>
      <c r="CS54" s="94">
        <f t="shared" si="214"/>
        <v>62.055392084782177</v>
      </c>
    </row>
    <row r="55" spans="2:97" outlineLevel="2" x14ac:dyDescent="0.2">
      <c r="B55" s="95" t="s">
        <v>20</v>
      </c>
      <c r="C55" s="92" t="s">
        <v>39</v>
      </c>
      <c r="D55" s="105">
        <v>5.0000000000000001E-3</v>
      </c>
      <c r="F55" s="22"/>
      <c r="G55" s="22"/>
      <c r="H55" s="22"/>
      <c r="I55" s="22"/>
      <c r="J55" s="22"/>
      <c r="K55" s="22"/>
      <c r="L55" s="22"/>
      <c r="M55" s="22"/>
      <c r="N55" s="22"/>
      <c r="O55" s="22"/>
      <c r="P55" s="22">
        <f t="shared" ref="P55:R56" si="281">P$39*$D55</f>
        <v>0</v>
      </c>
      <c r="Q55" s="22">
        <f t="shared" si="281"/>
        <v>0</v>
      </c>
      <c r="R55" s="22">
        <f t="shared" si="281"/>
        <v>0</v>
      </c>
      <c r="S55" s="22">
        <f t="shared" ref="S55:AH57" si="282">S$39*$D55</f>
        <v>0</v>
      </c>
      <c r="T55" s="22">
        <f t="shared" si="282"/>
        <v>0.2359946</v>
      </c>
      <c r="U55" s="22">
        <f t="shared" si="282"/>
        <v>0.33497524999999995</v>
      </c>
      <c r="V55" s="22">
        <f t="shared" si="282"/>
        <v>0.31820160000000003</v>
      </c>
      <c r="W55" s="22">
        <f t="shared" si="282"/>
        <v>1.79</v>
      </c>
      <c r="X55" s="22">
        <f t="shared" si="282"/>
        <v>4.6336365500000003</v>
      </c>
      <c r="Y55" s="22">
        <f t="shared" si="282"/>
        <v>2.8925662000000001</v>
      </c>
      <c r="Z55" s="22">
        <f t="shared" si="282"/>
        <v>1.5363954500000003</v>
      </c>
      <c r="AA55" s="22">
        <f t="shared" si="282"/>
        <v>1.31516345</v>
      </c>
      <c r="AB55" s="22">
        <f t="shared" si="282"/>
        <v>0.12853899999999999</v>
      </c>
      <c r="AC55" s="22">
        <f t="shared" si="282"/>
        <v>0.15050895</v>
      </c>
      <c r="AD55" s="22">
        <f t="shared" si="282"/>
        <v>0</v>
      </c>
      <c r="AE55" s="22">
        <f t="shared" si="282"/>
        <v>0</v>
      </c>
      <c r="AF55" s="22">
        <f t="shared" si="282"/>
        <v>0</v>
      </c>
      <c r="AG55" s="22">
        <f t="shared" si="282"/>
        <v>0</v>
      </c>
      <c r="AH55" s="22">
        <f t="shared" si="282"/>
        <v>0.15803439750000001</v>
      </c>
      <c r="AI55" s="22">
        <f t="shared" ref="AI55:CK57" si="283">AI$39*$D55</f>
        <v>0.16593611737500003</v>
      </c>
      <c r="AJ55" s="22">
        <f t="shared" si="283"/>
        <v>0.17423292324375003</v>
      </c>
      <c r="AK55" s="22">
        <f t="shared" si="283"/>
        <v>0.18294456940593753</v>
      </c>
      <c r="AL55" s="22">
        <f t="shared" si="283"/>
        <v>0.19209179787623443</v>
      </c>
      <c r="AM55" s="22">
        <f t="shared" si="283"/>
        <v>0.20169638777004614</v>
      </c>
      <c r="AN55" s="22">
        <f t="shared" si="283"/>
        <v>0.21178120715854845</v>
      </c>
      <c r="AO55" s="22">
        <f t="shared" si="283"/>
        <v>0.2223702675164759</v>
      </c>
      <c r="AP55" s="22">
        <f t="shared" si="283"/>
        <v>0.2268176728668054</v>
      </c>
      <c r="AQ55" s="22">
        <f t="shared" si="283"/>
        <v>0.23135402632414157</v>
      </c>
      <c r="AR55" s="22">
        <f t="shared" si="283"/>
        <v>0.23598110685062437</v>
      </c>
      <c r="AS55" s="22">
        <f t="shared" si="283"/>
        <v>0.24070072898763686</v>
      </c>
      <c r="AT55" s="22">
        <f t="shared" si="283"/>
        <v>0.24551474356738959</v>
      </c>
      <c r="AU55" s="22">
        <f t="shared" si="283"/>
        <v>0.25042503843873737</v>
      </c>
      <c r="AV55" s="22">
        <f t="shared" si="283"/>
        <v>0.25543353920751216</v>
      </c>
      <c r="AW55" s="22">
        <f t="shared" si="283"/>
        <v>0.26054220999166239</v>
      </c>
      <c r="AX55" s="22">
        <f t="shared" si="283"/>
        <v>0.26575305419149564</v>
      </c>
      <c r="AY55" s="22">
        <f t="shared" si="283"/>
        <v>0.27106811527532554</v>
      </c>
      <c r="AZ55" s="22">
        <f t="shared" si="283"/>
        <v>0.27648947758083209</v>
      </c>
      <c r="BA55" s="22">
        <f t="shared" si="283"/>
        <v>0.28201926713244874</v>
      </c>
      <c r="BB55" s="22">
        <f t="shared" si="283"/>
        <v>0.28765965247509767</v>
      </c>
      <c r="BC55" s="22">
        <f t="shared" si="283"/>
        <v>0.29341284552459962</v>
      </c>
      <c r="BD55" s="22">
        <f t="shared" si="283"/>
        <v>0.29928110243509165</v>
      </c>
      <c r="BE55" s="22">
        <f t="shared" si="283"/>
        <v>0.30526672448379349</v>
      </c>
      <c r="BF55" s="22">
        <f t="shared" si="283"/>
        <v>0.31137205897346937</v>
      </c>
      <c r="BG55" s="22">
        <f t="shared" si="283"/>
        <v>0.31759950015293875</v>
      </c>
      <c r="BH55" s="22">
        <f t="shared" si="283"/>
        <v>0.32395149015599756</v>
      </c>
      <c r="BI55" s="22">
        <f t="shared" si="283"/>
        <v>0.33043051995911754</v>
      </c>
      <c r="BJ55" s="22">
        <f t="shared" si="283"/>
        <v>0.33703913035829991</v>
      </c>
      <c r="BK55" s="22">
        <f t="shared" si="283"/>
        <v>0.34377991296546589</v>
      </c>
      <c r="BL55" s="22">
        <f t="shared" si="283"/>
        <v>0.35065551122477523</v>
      </c>
      <c r="BM55" s="22">
        <f t="shared" si="283"/>
        <v>0.35766862144927075</v>
      </c>
      <c r="BN55" s="22">
        <f t="shared" si="283"/>
        <v>0.36482199387825615</v>
      </c>
      <c r="BO55" s="22">
        <f t="shared" si="283"/>
        <v>0.37211843375582127</v>
      </c>
      <c r="BP55" s="22">
        <f t="shared" si="283"/>
        <v>0.37956080243093765</v>
      </c>
      <c r="BQ55" s="22">
        <f t="shared" si="283"/>
        <v>0.38715201847955644</v>
      </c>
      <c r="BR55" s="22">
        <f t="shared" si="283"/>
        <v>0.39489505884914755</v>
      </c>
      <c r="BS55" s="22">
        <f t="shared" si="283"/>
        <v>0.40279296002613052</v>
      </c>
      <c r="BT55" s="22">
        <f t="shared" si="283"/>
        <v>0.41084881922665312</v>
      </c>
      <c r="BU55" s="22">
        <f t="shared" si="283"/>
        <v>0.41906579561118618</v>
      </c>
      <c r="BV55" s="22">
        <f t="shared" si="283"/>
        <v>0.42744711152340997</v>
      </c>
      <c r="BW55" s="22">
        <f t="shared" si="283"/>
        <v>0.43599605375387818</v>
      </c>
      <c r="BX55" s="22">
        <f t="shared" si="283"/>
        <v>0.44471597482895575</v>
      </c>
      <c r="BY55" s="22">
        <f t="shared" si="283"/>
        <v>0.4536102943255349</v>
      </c>
      <c r="BZ55" s="22">
        <f t="shared" si="283"/>
        <v>0.4626825002120456</v>
      </c>
      <c r="CA55" s="22">
        <f t="shared" si="283"/>
        <v>0.47193615021628643</v>
      </c>
      <c r="CB55" s="22">
        <f t="shared" si="283"/>
        <v>0.48137487322061218</v>
      </c>
      <c r="CC55" s="22">
        <f t="shared" si="283"/>
        <v>0.49100237068502445</v>
      </c>
      <c r="CD55" s="22">
        <f t="shared" si="283"/>
        <v>0.50082241809872496</v>
      </c>
      <c r="CE55" s="22">
        <f t="shared" si="283"/>
        <v>0.51083886646069943</v>
      </c>
      <c r="CF55" s="22">
        <f t="shared" si="283"/>
        <v>0.52105564378991343</v>
      </c>
      <c r="CG55" s="22">
        <f t="shared" si="283"/>
        <v>0.5314767566657117</v>
      </c>
      <c r="CH55" s="22">
        <f t="shared" si="283"/>
        <v>0.54210629179902603</v>
      </c>
      <c r="CI55" s="22">
        <f t="shared" si="283"/>
        <v>0.55294841763500646</v>
      </c>
      <c r="CJ55" s="22">
        <f t="shared" si="283"/>
        <v>0.56400738598770672</v>
      </c>
      <c r="CK55" s="22">
        <f t="shared" si="283"/>
        <v>0.57528753370746077</v>
      </c>
      <c r="CM55" s="10">
        <f t="shared" si="280"/>
        <v>0</v>
      </c>
      <c r="CN55" s="10">
        <f t="shared" si="280"/>
        <v>13.335981050000003</v>
      </c>
      <c r="CO55" s="10">
        <f t="shared" si="280"/>
        <v>1.5090876678459926</v>
      </c>
      <c r="CP55" s="10">
        <f t="shared" si="280"/>
        <v>3.0420989804146115</v>
      </c>
      <c r="CQ55" s="10">
        <f t="shared" si="280"/>
        <v>3.8581170701579177</v>
      </c>
      <c r="CR55" s="10">
        <f t="shared" si="214"/>
        <v>4.8930253166894682</v>
      </c>
      <c r="CS55" s="10">
        <f t="shared" si="214"/>
        <v>6.2055392084782186</v>
      </c>
    </row>
    <row r="56" spans="2:97" outlineLevel="2" x14ac:dyDescent="0.2">
      <c r="B56" s="95" t="s">
        <v>21</v>
      </c>
      <c r="C56" s="92" t="s">
        <v>39</v>
      </c>
      <c r="D56" s="105">
        <v>0.01</v>
      </c>
      <c r="E56" s="8" t="s">
        <v>320</v>
      </c>
      <c r="F56" s="22"/>
      <c r="G56" s="22"/>
      <c r="H56" s="22"/>
      <c r="I56" s="22"/>
      <c r="J56" s="22"/>
      <c r="K56" s="22"/>
      <c r="L56" s="22"/>
      <c r="M56" s="22"/>
      <c r="N56" s="22"/>
      <c r="O56" s="22"/>
      <c r="P56" s="22">
        <f t="shared" si="281"/>
        <v>0</v>
      </c>
      <c r="Q56" s="22">
        <f t="shared" si="281"/>
        <v>0</v>
      </c>
      <c r="R56" s="22">
        <f t="shared" si="281"/>
        <v>0</v>
      </c>
      <c r="S56" s="22">
        <f t="shared" si="282"/>
        <v>0</v>
      </c>
      <c r="T56" s="22">
        <f t="shared" si="282"/>
        <v>0.4719892</v>
      </c>
      <c r="U56" s="22">
        <f t="shared" si="282"/>
        <v>0.66995049999999989</v>
      </c>
      <c r="V56" s="22">
        <f t="shared" si="282"/>
        <v>0.63640320000000006</v>
      </c>
      <c r="W56" s="22">
        <f t="shared" si="282"/>
        <v>3.58</v>
      </c>
      <c r="X56" s="22">
        <f t="shared" si="282"/>
        <v>9.2672731000000006</v>
      </c>
      <c r="Y56" s="22">
        <f t="shared" si="282"/>
        <v>5.7851324000000002</v>
      </c>
      <c r="Z56" s="22">
        <f t="shared" si="282"/>
        <v>3.0727909000000007</v>
      </c>
      <c r="AA56" s="22">
        <f t="shared" si="282"/>
        <v>2.6303269</v>
      </c>
      <c r="AB56" s="22">
        <f t="shared" si="282"/>
        <v>0.25707799999999997</v>
      </c>
      <c r="AC56" s="22">
        <f t="shared" si="282"/>
        <v>0.3010179</v>
      </c>
      <c r="AD56" s="22">
        <f t="shared" si="282"/>
        <v>0</v>
      </c>
      <c r="AE56" s="22">
        <f t="shared" si="282"/>
        <v>0</v>
      </c>
      <c r="AF56" s="22">
        <f t="shared" si="282"/>
        <v>0</v>
      </c>
      <c r="AG56" s="22">
        <f t="shared" si="282"/>
        <v>0</v>
      </c>
      <c r="AH56" s="22">
        <f t="shared" si="282"/>
        <v>0.31606879500000001</v>
      </c>
      <c r="AI56" s="22">
        <f t="shared" si="283"/>
        <v>0.33187223475000005</v>
      </c>
      <c r="AJ56" s="22">
        <f t="shared" si="283"/>
        <v>0.34846584648750006</v>
      </c>
      <c r="AK56" s="22">
        <f t="shared" si="283"/>
        <v>0.36588913881187507</v>
      </c>
      <c r="AL56" s="22">
        <f t="shared" si="283"/>
        <v>0.38418359575246885</v>
      </c>
      <c r="AM56" s="22">
        <f t="shared" si="283"/>
        <v>0.40339277554009229</v>
      </c>
      <c r="AN56" s="22">
        <f t="shared" si="283"/>
        <v>0.4235624143170969</v>
      </c>
      <c r="AO56" s="22">
        <f t="shared" si="283"/>
        <v>0.4447405350329518</v>
      </c>
      <c r="AP56" s="22">
        <f t="shared" si="283"/>
        <v>0.45363534573361081</v>
      </c>
      <c r="AQ56" s="22">
        <f t="shared" si="283"/>
        <v>0.46270805264828313</v>
      </c>
      <c r="AR56" s="22">
        <f t="shared" si="283"/>
        <v>0.47196221370124875</v>
      </c>
      <c r="AS56" s="22">
        <f t="shared" si="283"/>
        <v>0.48140145797527373</v>
      </c>
      <c r="AT56" s="22">
        <f t="shared" si="283"/>
        <v>0.49102948713477917</v>
      </c>
      <c r="AU56" s="22">
        <f t="shared" si="283"/>
        <v>0.50085007687747474</v>
      </c>
      <c r="AV56" s="22">
        <f t="shared" si="283"/>
        <v>0.51086707841502432</v>
      </c>
      <c r="AW56" s="22">
        <f t="shared" si="283"/>
        <v>0.52108441998332478</v>
      </c>
      <c r="AX56" s="22">
        <f t="shared" si="283"/>
        <v>0.53150610838299128</v>
      </c>
      <c r="AY56" s="22">
        <f t="shared" si="283"/>
        <v>0.54213623055065108</v>
      </c>
      <c r="AZ56" s="22">
        <f t="shared" si="283"/>
        <v>0.55297895516166418</v>
      </c>
      <c r="BA56" s="22">
        <f t="shared" si="283"/>
        <v>0.56403853426489747</v>
      </c>
      <c r="BB56" s="22">
        <f t="shared" si="283"/>
        <v>0.57531930495019534</v>
      </c>
      <c r="BC56" s="22">
        <f t="shared" si="283"/>
        <v>0.58682569104919924</v>
      </c>
      <c r="BD56" s="22">
        <f t="shared" si="283"/>
        <v>0.5985622048701833</v>
      </c>
      <c r="BE56" s="22">
        <f t="shared" si="283"/>
        <v>0.61053344896758699</v>
      </c>
      <c r="BF56" s="22">
        <f t="shared" si="283"/>
        <v>0.62274411794693874</v>
      </c>
      <c r="BG56" s="22">
        <f t="shared" si="283"/>
        <v>0.6351990003058775</v>
      </c>
      <c r="BH56" s="22">
        <f t="shared" si="283"/>
        <v>0.64790298031199511</v>
      </c>
      <c r="BI56" s="22">
        <f t="shared" si="283"/>
        <v>0.66086103991823508</v>
      </c>
      <c r="BJ56" s="22">
        <f t="shared" si="283"/>
        <v>0.67407826071659982</v>
      </c>
      <c r="BK56" s="22">
        <f t="shared" si="283"/>
        <v>0.68755982593093179</v>
      </c>
      <c r="BL56" s="22">
        <f t="shared" si="283"/>
        <v>0.70131102244955046</v>
      </c>
      <c r="BM56" s="22">
        <f t="shared" si="283"/>
        <v>0.7153372428985415</v>
      </c>
      <c r="BN56" s="22">
        <f t="shared" si="283"/>
        <v>0.72964398775651229</v>
      </c>
      <c r="BO56" s="22">
        <f t="shared" si="283"/>
        <v>0.74423686751164253</v>
      </c>
      <c r="BP56" s="22">
        <f t="shared" si="283"/>
        <v>0.7591216048618753</v>
      </c>
      <c r="BQ56" s="22">
        <f t="shared" si="283"/>
        <v>0.77430403695911287</v>
      </c>
      <c r="BR56" s="22">
        <f t="shared" si="283"/>
        <v>0.7897901176982951</v>
      </c>
      <c r="BS56" s="22">
        <f t="shared" si="283"/>
        <v>0.80558592005226104</v>
      </c>
      <c r="BT56" s="22">
        <f t="shared" si="283"/>
        <v>0.82169763845330623</v>
      </c>
      <c r="BU56" s="22">
        <f t="shared" si="283"/>
        <v>0.83813159122237235</v>
      </c>
      <c r="BV56" s="22">
        <f t="shared" si="283"/>
        <v>0.85489422304681995</v>
      </c>
      <c r="BW56" s="22">
        <f t="shared" si="283"/>
        <v>0.87199210750775635</v>
      </c>
      <c r="BX56" s="22">
        <f t="shared" si="283"/>
        <v>0.8894319496579115</v>
      </c>
      <c r="BY56" s="22">
        <f t="shared" si="283"/>
        <v>0.9072205886510698</v>
      </c>
      <c r="BZ56" s="22">
        <f t="shared" si="283"/>
        <v>0.9253650004240912</v>
      </c>
      <c r="CA56" s="22">
        <f t="shared" si="283"/>
        <v>0.94387230043257286</v>
      </c>
      <c r="CB56" s="22">
        <f t="shared" si="283"/>
        <v>0.96274974644122435</v>
      </c>
      <c r="CC56" s="22">
        <f t="shared" si="283"/>
        <v>0.98200474137004889</v>
      </c>
      <c r="CD56" s="22">
        <f t="shared" si="283"/>
        <v>1.0016448361974499</v>
      </c>
      <c r="CE56" s="22">
        <f t="shared" si="283"/>
        <v>1.0216777329213989</v>
      </c>
      <c r="CF56" s="22">
        <f t="shared" si="283"/>
        <v>1.0421112875798269</v>
      </c>
      <c r="CG56" s="22">
        <f t="shared" si="283"/>
        <v>1.0629535133314234</v>
      </c>
      <c r="CH56" s="22">
        <f t="shared" si="283"/>
        <v>1.0842125835980521</v>
      </c>
      <c r="CI56" s="22">
        <f t="shared" si="283"/>
        <v>1.1058968352700129</v>
      </c>
      <c r="CJ56" s="22">
        <f t="shared" si="283"/>
        <v>1.1280147719754134</v>
      </c>
      <c r="CK56" s="22">
        <f t="shared" si="283"/>
        <v>1.1505750674149215</v>
      </c>
      <c r="CM56" s="10">
        <f t="shared" si="280"/>
        <v>0</v>
      </c>
      <c r="CN56" s="10">
        <f t="shared" si="280"/>
        <v>26.671962100000005</v>
      </c>
      <c r="CO56" s="10">
        <f t="shared" si="280"/>
        <v>3.0181753356919852</v>
      </c>
      <c r="CP56" s="10">
        <f t="shared" si="280"/>
        <v>6.0841979608292229</v>
      </c>
      <c r="CQ56" s="10">
        <f t="shared" si="280"/>
        <v>7.7162341403158354</v>
      </c>
      <c r="CR56" s="10">
        <f t="shared" si="214"/>
        <v>9.7860506333789363</v>
      </c>
      <c r="CS56" s="10">
        <f t="shared" si="214"/>
        <v>12.411078416956437</v>
      </c>
    </row>
    <row r="57" spans="2:97" outlineLevel="2" x14ac:dyDescent="0.2">
      <c r="B57" s="95" t="s">
        <v>22</v>
      </c>
      <c r="C57" s="92" t="s">
        <v>39</v>
      </c>
      <c r="D57" s="105">
        <v>0.05</v>
      </c>
      <c r="E57" s="231">
        <v>0.03</v>
      </c>
      <c r="F57" s="22"/>
      <c r="G57" s="22"/>
      <c r="H57" s="22"/>
      <c r="I57" s="22"/>
      <c r="J57" s="22"/>
      <c r="K57" s="22"/>
      <c r="L57" s="22"/>
      <c r="M57" s="22"/>
      <c r="N57" s="22"/>
      <c r="O57" s="22"/>
      <c r="P57" s="22"/>
      <c r="Q57" s="22"/>
      <c r="R57" s="22"/>
      <c r="S57" s="22"/>
      <c r="T57" s="22"/>
      <c r="U57" s="22">
        <v>7</v>
      </c>
      <c r="V57" s="22">
        <v>6</v>
      </c>
      <c r="W57" s="22">
        <f t="shared" si="282"/>
        <v>17.900000000000002</v>
      </c>
      <c r="X57" s="22">
        <f t="shared" si="282"/>
        <v>46.336365500000007</v>
      </c>
      <c r="Y57" s="22">
        <f t="shared" si="282"/>
        <v>28.925662000000003</v>
      </c>
      <c r="Z57" s="22">
        <f t="shared" si="282"/>
        <v>15.363954500000004</v>
      </c>
      <c r="AA57" s="22">
        <f t="shared" si="282"/>
        <v>13.1516345</v>
      </c>
      <c r="AB57" s="22">
        <f t="shared" si="282"/>
        <v>1.28539</v>
      </c>
      <c r="AC57" s="22">
        <f t="shared" si="282"/>
        <v>1.5050895000000002</v>
      </c>
      <c r="AD57" s="22">
        <f t="shared" si="282"/>
        <v>0</v>
      </c>
      <c r="AE57" s="22">
        <f t="shared" si="282"/>
        <v>0</v>
      </c>
      <c r="AF57" s="22">
        <f t="shared" si="282"/>
        <v>0</v>
      </c>
      <c r="AG57" s="22">
        <f t="shared" si="282"/>
        <v>0</v>
      </c>
      <c r="AH57" s="22">
        <f t="shared" si="282"/>
        <v>1.5803439750000001</v>
      </c>
      <c r="AI57" s="22">
        <f t="shared" si="283"/>
        <v>1.6593611737500003</v>
      </c>
      <c r="AJ57" s="22">
        <f t="shared" si="283"/>
        <v>1.7423292324375002</v>
      </c>
      <c r="AK57" s="22">
        <f t="shared" si="283"/>
        <v>1.8294456940593755</v>
      </c>
      <c r="AL57" s="22">
        <f t="shared" si="283"/>
        <v>1.9209179787623443</v>
      </c>
      <c r="AM57" s="22">
        <f t="shared" si="283"/>
        <v>2.0169638777004617</v>
      </c>
      <c r="AN57" s="22">
        <f t="shared" si="283"/>
        <v>2.1178120715854845</v>
      </c>
      <c r="AO57" s="22">
        <f t="shared" si="283"/>
        <v>2.2237026751647591</v>
      </c>
      <c r="AP57" s="22">
        <f t="shared" si="283"/>
        <v>2.2681767286680539</v>
      </c>
      <c r="AQ57" s="22">
        <f t="shared" si="283"/>
        <v>2.3135402632414155</v>
      </c>
      <c r="AR57" s="22">
        <f t="shared" si="283"/>
        <v>2.3598110685062439</v>
      </c>
      <c r="AS57" s="22">
        <f t="shared" si="283"/>
        <v>2.4070072898763688</v>
      </c>
      <c r="AT57" s="22">
        <f t="shared" si="283"/>
        <v>2.4551474356738958</v>
      </c>
      <c r="AU57" s="22">
        <f t="shared" si="283"/>
        <v>2.5042503843873742</v>
      </c>
      <c r="AV57" s="22">
        <f t="shared" si="283"/>
        <v>2.5543353920751217</v>
      </c>
      <c r="AW57" s="22">
        <f t="shared" si="283"/>
        <v>2.6054220999166242</v>
      </c>
      <c r="AX57" s="22">
        <f t="shared" si="283"/>
        <v>2.6575305419149569</v>
      </c>
      <c r="AY57" s="22">
        <f t="shared" si="283"/>
        <v>2.7106811527532555</v>
      </c>
      <c r="AZ57" s="22">
        <f t="shared" si="283"/>
        <v>2.7648947758083207</v>
      </c>
      <c r="BA57" s="22">
        <f t="shared" si="283"/>
        <v>2.8201926713244876</v>
      </c>
      <c r="BB57" s="22">
        <f>BB$39*$E57</f>
        <v>1.7259579148505861</v>
      </c>
      <c r="BC57" s="22">
        <f t="shared" ref="BC57:CK57" si="284">BC$39*$E57</f>
        <v>1.7604770731475978</v>
      </c>
      <c r="BD57" s="22">
        <f t="shared" si="284"/>
        <v>1.7956866146105497</v>
      </c>
      <c r="BE57" s="22">
        <f t="shared" si="284"/>
        <v>1.8316003469027609</v>
      </c>
      <c r="BF57" s="22">
        <f t="shared" si="284"/>
        <v>1.8682323538408161</v>
      </c>
      <c r="BG57" s="22">
        <f t="shared" si="284"/>
        <v>1.9055970009176324</v>
      </c>
      <c r="BH57" s="22">
        <f t="shared" si="284"/>
        <v>1.9437089409359853</v>
      </c>
      <c r="BI57" s="22">
        <f t="shared" si="284"/>
        <v>1.982583119754705</v>
      </c>
      <c r="BJ57" s="22">
        <f t="shared" si="284"/>
        <v>2.0222347821497992</v>
      </c>
      <c r="BK57" s="22">
        <f t="shared" si="284"/>
        <v>2.0626794777927953</v>
      </c>
      <c r="BL57" s="22">
        <f t="shared" si="284"/>
        <v>2.1039330673486512</v>
      </c>
      <c r="BM57" s="22">
        <f t="shared" si="284"/>
        <v>2.1460117286956244</v>
      </c>
      <c r="BN57" s="22">
        <f t="shared" si="284"/>
        <v>2.1889319632695368</v>
      </c>
      <c r="BO57" s="22">
        <f t="shared" si="284"/>
        <v>2.2327106025349277</v>
      </c>
      <c r="BP57" s="22">
        <f t="shared" si="284"/>
        <v>2.277364814585626</v>
      </c>
      <c r="BQ57" s="22">
        <f t="shared" si="284"/>
        <v>2.3229121108773385</v>
      </c>
      <c r="BR57" s="22">
        <f t="shared" si="284"/>
        <v>2.3693703530948853</v>
      </c>
      <c r="BS57" s="22">
        <f t="shared" si="284"/>
        <v>2.4167577601567829</v>
      </c>
      <c r="BT57" s="22">
        <f t="shared" si="284"/>
        <v>2.4650929153599184</v>
      </c>
      <c r="BU57" s="22">
        <f t="shared" si="284"/>
        <v>2.5143947736671168</v>
      </c>
      <c r="BV57" s="22">
        <f t="shared" si="284"/>
        <v>2.5646826691404598</v>
      </c>
      <c r="BW57" s="22">
        <f t="shared" si="284"/>
        <v>2.6159763225232688</v>
      </c>
      <c r="BX57" s="22">
        <f t="shared" si="284"/>
        <v>2.6682958489737345</v>
      </c>
      <c r="BY57" s="22">
        <f t="shared" si="284"/>
        <v>2.721661765953209</v>
      </c>
      <c r="BZ57" s="22">
        <f t="shared" si="284"/>
        <v>2.7760950012722736</v>
      </c>
      <c r="CA57" s="22">
        <f t="shared" si="284"/>
        <v>2.8316169012977186</v>
      </c>
      <c r="CB57" s="22">
        <f t="shared" si="284"/>
        <v>2.8882492393236729</v>
      </c>
      <c r="CC57" s="22">
        <f t="shared" si="284"/>
        <v>2.9460142241101464</v>
      </c>
      <c r="CD57" s="22">
        <f t="shared" si="284"/>
        <v>3.0049345085923496</v>
      </c>
      <c r="CE57" s="22">
        <f t="shared" si="284"/>
        <v>3.0650331987641963</v>
      </c>
      <c r="CF57" s="22">
        <f t="shared" si="284"/>
        <v>3.1263338627394801</v>
      </c>
      <c r="CG57" s="22">
        <f t="shared" si="284"/>
        <v>3.1888605399942702</v>
      </c>
      <c r="CH57" s="22">
        <f t="shared" si="284"/>
        <v>3.2526377507941557</v>
      </c>
      <c r="CI57" s="22">
        <f t="shared" si="284"/>
        <v>3.317690505810039</v>
      </c>
      <c r="CJ57" s="22">
        <f t="shared" si="284"/>
        <v>3.3840443159262397</v>
      </c>
      <c r="CK57" s="22">
        <f t="shared" si="284"/>
        <v>3.4517252022447642</v>
      </c>
      <c r="CM57" s="10">
        <f t="shared" si="280"/>
        <v>0</v>
      </c>
      <c r="CN57" s="10">
        <f t="shared" si="280"/>
        <v>137.468096</v>
      </c>
      <c r="CO57" s="10">
        <f t="shared" si="280"/>
        <v>15.090876678459926</v>
      </c>
      <c r="CP57" s="10">
        <f t="shared" si="280"/>
        <v>30.420989804146114</v>
      </c>
      <c r="CQ57" s="10">
        <f t="shared" si="280"/>
        <v>23.148702420947508</v>
      </c>
      <c r="CR57" s="10">
        <f t="shared" si="214"/>
        <v>29.358151900136804</v>
      </c>
      <c r="CS57" s="10">
        <f t="shared" si="214"/>
        <v>37.233235250869313</v>
      </c>
    </row>
    <row r="58" spans="2:97" outlineLevel="2" x14ac:dyDescent="0.2">
      <c r="B58" s="95" t="s">
        <v>15</v>
      </c>
      <c r="C58" s="95" t="s">
        <v>4</v>
      </c>
      <c r="D58" s="92"/>
      <c r="P58" s="8">
        <f t="shared" ref="P58:R58" si="285">$D$58</f>
        <v>0</v>
      </c>
      <c r="Q58" s="8">
        <f t="shared" si="285"/>
        <v>0</v>
      </c>
      <c r="R58" s="8">
        <f t="shared" si="285"/>
        <v>0</v>
      </c>
      <c r="S58" s="8">
        <f t="shared" ref="S58:CK58" si="286">$D$58</f>
        <v>0</v>
      </c>
      <c r="T58" s="8">
        <f t="shared" si="286"/>
        <v>0</v>
      </c>
      <c r="U58" s="8">
        <f t="shared" si="286"/>
        <v>0</v>
      </c>
      <c r="V58" s="8">
        <f t="shared" si="286"/>
        <v>0</v>
      </c>
      <c r="W58" s="8">
        <f t="shared" si="286"/>
        <v>0</v>
      </c>
      <c r="X58" s="8">
        <f t="shared" si="286"/>
        <v>0</v>
      </c>
      <c r="Y58" s="8">
        <f t="shared" si="286"/>
        <v>0</v>
      </c>
      <c r="Z58" s="8">
        <f t="shared" si="286"/>
        <v>0</v>
      </c>
      <c r="AA58" s="8">
        <f t="shared" si="286"/>
        <v>0</v>
      </c>
      <c r="AB58" s="8">
        <f t="shared" si="286"/>
        <v>0</v>
      </c>
      <c r="AC58" s="8">
        <f t="shared" si="286"/>
        <v>0</v>
      </c>
      <c r="AD58" s="8">
        <f t="shared" si="286"/>
        <v>0</v>
      </c>
      <c r="AE58" s="8">
        <f t="shared" si="286"/>
        <v>0</v>
      </c>
      <c r="AF58" s="8">
        <f t="shared" si="286"/>
        <v>0</v>
      </c>
      <c r="AG58" s="8">
        <f t="shared" si="286"/>
        <v>0</v>
      </c>
      <c r="AH58" s="8">
        <f t="shared" si="286"/>
        <v>0</v>
      </c>
      <c r="AI58" s="8">
        <f t="shared" si="286"/>
        <v>0</v>
      </c>
      <c r="AJ58" s="8">
        <f t="shared" si="286"/>
        <v>0</v>
      </c>
      <c r="AK58" s="8">
        <f t="shared" si="286"/>
        <v>0</v>
      </c>
      <c r="AL58" s="8">
        <f t="shared" si="286"/>
        <v>0</v>
      </c>
      <c r="AM58" s="8">
        <f t="shared" si="286"/>
        <v>0</v>
      </c>
      <c r="AN58" s="8">
        <f t="shared" si="286"/>
        <v>0</v>
      </c>
      <c r="AO58" s="8">
        <f t="shared" si="286"/>
        <v>0</v>
      </c>
      <c r="AP58" s="8">
        <f t="shared" si="286"/>
        <v>0</v>
      </c>
      <c r="AQ58" s="8">
        <f t="shared" si="286"/>
        <v>0</v>
      </c>
      <c r="AR58" s="8">
        <f t="shared" si="286"/>
        <v>0</v>
      </c>
      <c r="AS58" s="8">
        <f t="shared" si="286"/>
        <v>0</v>
      </c>
      <c r="AT58" s="8">
        <f t="shared" si="286"/>
        <v>0</v>
      </c>
      <c r="AU58" s="8">
        <f t="shared" si="286"/>
        <v>0</v>
      </c>
      <c r="AV58" s="8">
        <f t="shared" si="286"/>
        <v>0</v>
      </c>
      <c r="AW58" s="8">
        <f t="shared" si="286"/>
        <v>0</v>
      </c>
      <c r="AX58" s="8">
        <f t="shared" si="286"/>
        <v>0</v>
      </c>
      <c r="AY58" s="8">
        <f t="shared" si="286"/>
        <v>0</v>
      </c>
      <c r="AZ58" s="8">
        <f t="shared" si="286"/>
        <v>0</v>
      </c>
      <c r="BA58" s="8">
        <f t="shared" si="286"/>
        <v>0</v>
      </c>
      <c r="BB58" s="8">
        <f t="shared" si="286"/>
        <v>0</v>
      </c>
      <c r="BC58" s="8">
        <f t="shared" si="286"/>
        <v>0</v>
      </c>
      <c r="BD58" s="8">
        <f t="shared" si="286"/>
        <v>0</v>
      </c>
      <c r="BE58" s="8">
        <f t="shared" si="286"/>
        <v>0</v>
      </c>
      <c r="BF58" s="8">
        <f t="shared" si="286"/>
        <v>0</v>
      </c>
      <c r="BG58" s="8">
        <f t="shared" si="286"/>
        <v>0</v>
      </c>
      <c r="BH58" s="8">
        <f t="shared" si="286"/>
        <v>0</v>
      </c>
      <c r="BI58" s="8">
        <f t="shared" si="286"/>
        <v>0</v>
      </c>
      <c r="BJ58" s="8">
        <f t="shared" si="286"/>
        <v>0</v>
      </c>
      <c r="BK58" s="8">
        <f t="shared" si="286"/>
        <v>0</v>
      </c>
      <c r="BL58" s="8">
        <f t="shared" si="286"/>
        <v>0</v>
      </c>
      <c r="BM58" s="8">
        <f t="shared" si="286"/>
        <v>0</v>
      </c>
      <c r="BN58" s="8">
        <f t="shared" si="286"/>
        <v>0</v>
      </c>
      <c r="BO58" s="8">
        <f t="shared" si="286"/>
        <v>0</v>
      </c>
      <c r="BP58" s="8">
        <f t="shared" si="286"/>
        <v>0</v>
      </c>
      <c r="BQ58" s="8">
        <f t="shared" si="286"/>
        <v>0</v>
      </c>
      <c r="BR58" s="8">
        <f t="shared" si="286"/>
        <v>0</v>
      </c>
      <c r="BS58" s="8">
        <f t="shared" si="286"/>
        <v>0</v>
      </c>
      <c r="BT58" s="8">
        <f t="shared" si="286"/>
        <v>0</v>
      </c>
      <c r="BU58" s="8">
        <f t="shared" si="286"/>
        <v>0</v>
      </c>
      <c r="BV58" s="8">
        <f t="shared" si="286"/>
        <v>0</v>
      </c>
      <c r="BW58" s="8">
        <f t="shared" si="286"/>
        <v>0</v>
      </c>
      <c r="BX58" s="8">
        <f t="shared" si="286"/>
        <v>0</v>
      </c>
      <c r="BY58" s="8">
        <f t="shared" si="286"/>
        <v>0</v>
      </c>
      <c r="BZ58" s="8">
        <f t="shared" si="286"/>
        <v>0</v>
      </c>
      <c r="CA58" s="8">
        <f t="shared" si="286"/>
        <v>0</v>
      </c>
      <c r="CB58" s="8">
        <f t="shared" si="286"/>
        <v>0</v>
      </c>
      <c r="CC58" s="8">
        <f t="shared" si="286"/>
        <v>0</v>
      </c>
      <c r="CD58" s="8">
        <f t="shared" si="286"/>
        <v>0</v>
      </c>
      <c r="CE58" s="8">
        <f t="shared" si="286"/>
        <v>0</v>
      </c>
      <c r="CF58" s="8">
        <f t="shared" si="286"/>
        <v>0</v>
      </c>
      <c r="CG58" s="8">
        <f t="shared" si="286"/>
        <v>0</v>
      </c>
      <c r="CH58" s="8">
        <f t="shared" si="286"/>
        <v>0</v>
      </c>
      <c r="CI58" s="8">
        <f t="shared" si="286"/>
        <v>0</v>
      </c>
      <c r="CJ58" s="8">
        <f t="shared" si="286"/>
        <v>0</v>
      </c>
      <c r="CK58" s="8">
        <f t="shared" si="286"/>
        <v>0</v>
      </c>
      <c r="CM58" s="10">
        <f t="shared" si="280"/>
        <v>0</v>
      </c>
      <c r="CN58" s="10">
        <f t="shared" si="280"/>
        <v>0</v>
      </c>
      <c r="CO58" s="10">
        <f t="shared" si="280"/>
        <v>0</v>
      </c>
      <c r="CP58" s="10">
        <f t="shared" si="280"/>
        <v>0</v>
      </c>
      <c r="CQ58" s="10">
        <f t="shared" si="280"/>
        <v>0</v>
      </c>
      <c r="CR58" s="10">
        <f t="shared" si="214"/>
        <v>0</v>
      </c>
      <c r="CS58" s="10">
        <f t="shared" si="214"/>
        <v>0</v>
      </c>
    </row>
    <row r="59" spans="2:97" outlineLevel="2" x14ac:dyDescent="0.2">
      <c r="B59" s="95" t="s">
        <v>23</v>
      </c>
      <c r="C59" s="92" t="s">
        <v>39</v>
      </c>
      <c r="D59" s="105"/>
      <c r="F59" s="22"/>
      <c r="G59" s="22"/>
      <c r="H59" s="22"/>
      <c r="I59" s="22"/>
      <c r="J59" s="22"/>
      <c r="K59" s="22"/>
      <c r="L59" s="22"/>
      <c r="M59" s="22"/>
      <c r="N59" s="22"/>
      <c r="O59" s="22"/>
      <c r="P59" s="22">
        <f t="shared" ref="P59:R60" si="287">P$39*$D59</f>
        <v>0</v>
      </c>
      <c r="Q59" s="22">
        <f t="shared" si="287"/>
        <v>0</v>
      </c>
      <c r="R59" s="22">
        <f t="shared" si="287"/>
        <v>0</v>
      </c>
      <c r="S59" s="22">
        <f t="shared" ref="S59:CK60" si="288">S$39*$D59</f>
        <v>0</v>
      </c>
      <c r="T59" s="22">
        <f t="shared" si="288"/>
        <v>0</v>
      </c>
      <c r="U59" s="22">
        <f t="shared" si="288"/>
        <v>0</v>
      </c>
      <c r="V59" s="22">
        <f t="shared" si="288"/>
        <v>0</v>
      </c>
      <c r="W59" s="22">
        <f t="shared" si="288"/>
        <v>0</v>
      </c>
      <c r="X59" s="22">
        <f t="shared" si="288"/>
        <v>0</v>
      </c>
      <c r="Y59" s="22">
        <f t="shared" si="288"/>
        <v>0</v>
      </c>
      <c r="Z59" s="22">
        <f t="shared" si="288"/>
        <v>0</v>
      </c>
      <c r="AA59" s="22">
        <f t="shared" si="288"/>
        <v>0</v>
      </c>
      <c r="AB59" s="22">
        <f t="shared" si="288"/>
        <v>0</v>
      </c>
      <c r="AC59" s="22">
        <f t="shared" si="288"/>
        <v>0</v>
      </c>
      <c r="AD59" s="22">
        <f t="shared" si="288"/>
        <v>0</v>
      </c>
      <c r="AE59" s="22">
        <f t="shared" si="288"/>
        <v>0</v>
      </c>
      <c r="AF59" s="22">
        <f t="shared" si="288"/>
        <v>0</v>
      </c>
      <c r="AG59" s="22">
        <f t="shared" si="288"/>
        <v>0</v>
      </c>
      <c r="AH59" s="22">
        <f t="shared" si="288"/>
        <v>0</v>
      </c>
      <c r="AI59" s="22">
        <f t="shared" si="288"/>
        <v>0</v>
      </c>
      <c r="AJ59" s="22">
        <f t="shared" si="288"/>
        <v>0</v>
      </c>
      <c r="AK59" s="22">
        <f t="shared" si="288"/>
        <v>0</v>
      </c>
      <c r="AL59" s="22">
        <f t="shared" si="288"/>
        <v>0</v>
      </c>
      <c r="AM59" s="22">
        <f t="shared" si="288"/>
        <v>0</v>
      </c>
      <c r="AN59" s="22">
        <f t="shared" si="288"/>
        <v>0</v>
      </c>
      <c r="AO59" s="22">
        <f t="shared" si="288"/>
        <v>0</v>
      </c>
      <c r="AP59" s="22">
        <f t="shared" si="288"/>
        <v>0</v>
      </c>
      <c r="AQ59" s="22">
        <f t="shared" si="288"/>
        <v>0</v>
      </c>
      <c r="AR59" s="22">
        <f t="shared" si="288"/>
        <v>0</v>
      </c>
      <c r="AS59" s="22">
        <f t="shared" si="288"/>
        <v>0</v>
      </c>
      <c r="AT59" s="22">
        <f t="shared" si="288"/>
        <v>0</v>
      </c>
      <c r="AU59" s="22">
        <f t="shared" si="288"/>
        <v>0</v>
      </c>
      <c r="AV59" s="22">
        <f t="shared" si="288"/>
        <v>0</v>
      </c>
      <c r="AW59" s="22">
        <f t="shared" si="288"/>
        <v>0</v>
      </c>
      <c r="AX59" s="22">
        <f t="shared" si="288"/>
        <v>0</v>
      </c>
      <c r="AY59" s="22">
        <f t="shared" si="288"/>
        <v>0</v>
      </c>
      <c r="AZ59" s="22">
        <f t="shared" si="288"/>
        <v>0</v>
      </c>
      <c r="BA59" s="22">
        <f t="shared" si="288"/>
        <v>0</v>
      </c>
      <c r="BB59" s="22">
        <f t="shared" si="288"/>
        <v>0</v>
      </c>
      <c r="BC59" s="22">
        <f t="shared" si="288"/>
        <v>0</v>
      </c>
      <c r="BD59" s="22">
        <f t="shared" si="288"/>
        <v>0</v>
      </c>
      <c r="BE59" s="22">
        <f t="shared" si="288"/>
        <v>0</v>
      </c>
      <c r="BF59" s="22">
        <f t="shared" si="288"/>
        <v>0</v>
      </c>
      <c r="BG59" s="22">
        <f t="shared" si="288"/>
        <v>0</v>
      </c>
      <c r="BH59" s="22">
        <f t="shared" si="288"/>
        <v>0</v>
      </c>
      <c r="BI59" s="22">
        <f t="shared" si="288"/>
        <v>0</v>
      </c>
      <c r="BJ59" s="22">
        <f t="shared" si="288"/>
        <v>0</v>
      </c>
      <c r="BK59" s="22">
        <f t="shared" si="288"/>
        <v>0</v>
      </c>
      <c r="BL59" s="22">
        <f t="shared" si="288"/>
        <v>0</v>
      </c>
      <c r="BM59" s="22">
        <f t="shared" si="288"/>
        <v>0</v>
      </c>
      <c r="BN59" s="22">
        <f t="shared" si="288"/>
        <v>0</v>
      </c>
      <c r="BO59" s="22">
        <f t="shared" si="288"/>
        <v>0</v>
      </c>
      <c r="BP59" s="22">
        <f t="shared" si="288"/>
        <v>0</v>
      </c>
      <c r="BQ59" s="22">
        <f t="shared" si="288"/>
        <v>0</v>
      </c>
      <c r="BR59" s="22">
        <f t="shared" si="288"/>
        <v>0</v>
      </c>
      <c r="BS59" s="22">
        <f t="shared" si="288"/>
        <v>0</v>
      </c>
      <c r="BT59" s="22">
        <f t="shared" si="288"/>
        <v>0</v>
      </c>
      <c r="BU59" s="22">
        <f t="shared" si="288"/>
        <v>0</v>
      </c>
      <c r="BV59" s="22">
        <f t="shared" si="288"/>
        <v>0</v>
      </c>
      <c r="BW59" s="22">
        <f t="shared" si="288"/>
        <v>0</v>
      </c>
      <c r="BX59" s="22">
        <f t="shared" si="288"/>
        <v>0</v>
      </c>
      <c r="BY59" s="22">
        <f t="shared" si="288"/>
        <v>0</v>
      </c>
      <c r="BZ59" s="22">
        <f t="shared" si="288"/>
        <v>0</v>
      </c>
      <c r="CA59" s="22">
        <f t="shared" si="288"/>
        <v>0</v>
      </c>
      <c r="CB59" s="22">
        <f t="shared" si="288"/>
        <v>0</v>
      </c>
      <c r="CC59" s="22">
        <f t="shared" si="288"/>
        <v>0</v>
      </c>
      <c r="CD59" s="22">
        <f t="shared" si="288"/>
        <v>0</v>
      </c>
      <c r="CE59" s="22">
        <f t="shared" si="288"/>
        <v>0</v>
      </c>
      <c r="CF59" s="22">
        <f t="shared" si="288"/>
        <v>0</v>
      </c>
      <c r="CG59" s="22">
        <f t="shared" si="288"/>
        <v>0</v>
      </c>
      <c r="CH59" s="22">
        <f t="shared" si="288"/>
        <v>0</v>
      </c>
      <c r="CI59" s="22">
        <f t="shared" si="288"/>
        <v>0</v>
      </c>
      <c r="CJ59" s="22">
        <f t="shared" si="288"/>
        <v>0</v>
      </c>
      <c r="CK59" s="22">
        <f t="shared" si="288"/>
        <v>0</v>
      </c>
      <c r="CM59" s="10">
        <f t="shared" si="280"/>
        <v>0</v>
      </c>
      <c r="CN59" s="10">
        <f t="shared" si="280"/>
        <v>0</v>
      </c>
      <c r="CO59" s="10">
        <f t="shared" si="280"/>
        <v>0</v>
      </c>
      <c r="CP59" s="10">
        <f t="shared" si="280"/>
        <v>0</v>
      </c>
      <c r="CQ59" s="10">
        <f t="shared" si="280"/>
        <v>0</v>
      </c>
      <c r="CR59" s="10">
        <f t="shared" si="214"/>
        <v>0</v>
      </c>
      <c r="CS59" s="10">
        <f t="shared" si="214"/>
        <v>0</v>
      </c>
    </row>
    <row r="60" spans="2:97" outlineLevel="2" x14ac:dyDescent="0.2">
      <c r="B60" s="95" t="s">
        <v>24</v>
      </c>
      <c r="C60" s="92"/>
      <c r="D60" s="106">
        <v>5.0000000000000001E-3</v>
      </c>
      <c r="F60" s="22"/>
      <c r="G60" s="22"/>
      <c r="H60" s="22"/>
      <c r="I60" s="22"/>
      <c r="J60" s="22"/>
      <c r="K60" s="22"/>
      <c r="L60" s="22"/>
      <c r="M60" s="22"/>
      <c r="N60" s="22"/>
      <c r="O60" s="22"/>
      <c r="P60" s="22">
        <f t="shared" si="287"/>
        <v>0</v>
      </c>
      <c r="Q60" s="22">
        <f t="shared" si="287"/>
        <v>0</v>
      </c>
      <c r="R60" s="22">
        <f t="shared" si="287"/>
        <v>0</v>
      </c>
      <c r="S60" s="22">
        <f t="shared" si="288"/>
        <v>0</v>
      </c>
      <c r="T60" s="22">
        <f t="shared" si="288"/>
        <v>0.2359946</v>
      </c>
      <c r="U60" s="22">
        <f t="shared" si="288"/>
        <v>0.33497524999999995</v>
      </c>
      <c r="V60" s="22">
        <f t="shared" si="288"/>
        <v>0.31820160000000003</v>
      </c>
      <c r="W60" s="22">
        <f t="shared" si="288"/>
        <v>1.79</v>
      </c>
      <c r="X60" s="22">
        <f t="shared" si="288"/>
        <v>4.6336365500000003</v>
      </c>
      <c r="Y60" s="22">
        <f t="shared" si="288"/>
        <v>2.8925662000000001</v>
      </c>
      <c r="Z60" s="22">
        <f t="shared" si="288"/>
        <v>1.5363954500000003</v>
      </c>
      <c r="AA60" s="22">
        <f t="shared" si="288"/>
        <v>1.31516345</v>
      </c>
      <c r="AB60" s="22">
        <f t="shared" si="288"/>
        <v>0.12853899999999999</v>
      </c>
      <c r="AC60" s="22">
        <f t="shared" si="288"/>
        <v>0.15050895</v>
      </c>
      <c r="AD60" s="22">
        <f t="shared" si="288"/>
        <v>0</v>
      </c>
      <c r="AE60" s="22">
        <f t="shared" si="288"/>
        <v>0</v>
      </c>
      <c r="AF60" s="22">
        <f t="shared" si="288"/>
        <v>0</v>
      </c>
      <c r="AG60" s="22">
        <f t="shared" si="288"/>
        <v>0</v>
      </c>
      <c r="AH60" s="22">
        <f t="shared" si="288"/>
        <v>0.15803439750000001</v>
      </c>
      <c r="AI60" s="22">
        <f t="shared" si="288"/>
        <v>0.16593611737500003</v>
      </c>
      <c r="AJ60" s="22">
        <f t="shared" si="288"/>
        <v>0.17423292324375003</v>
      </c>
      <c r="AK60" s="22">
        <f t="shared" si="288"/>
        <v>0.18294456940593753</v>
      </c>
      <c r="AL60" s="22">
        <f t="shared" si="288"/>
        <v>0.19209179787623443</v>
      </c>
      <c r="AM60" s="22">
        <f t="shared" si="288"/>
        <v>0.20169638777004614</v>
      </c>
      <c r="AN60" s="22">
        <f t="shared" si="288"/>
        <v>0.21178120715854845</v>
      </c>
      <c r="AO60" s="22">
        <f t="shared" si="288"/>
        <v>0.2223702675164759</v>
      </c>
      <c r="AP60" s="22">
        <f t="shared" si="288"/>
        <v>0.2268176728668054</v>
      </c>
      <c r="AQ60" s="22">
        <f t="shared" si="288"/>
        <v>0.23135402632414157</v>
      </c>
      <c r="AR60" s="22">
        <f t="shared" si="288"/>
        <v>0.23598110685062437</v>
      </c>
      <c r="AS60" s="22">
        <f t="shared" si="288"/>
        <v>0.24070072898763686</v>
      </c>
      <c r="AT60" s="22">
        <f t="shared" si="288"/>
        <v>0.24551474356738959</v>
      </c>
      <c r="AU60" s="22">
        <f t="shared" si="288"/>
        <v>0.25042503843873737</v>
      </c>
      <c r="AV60" s="22">
        <f t="shared" si="288"/>
        <v>0.25543353920751216</v>
      </c>
      <c r="AW60" s="22">
        <f t="shared" si="288"/>
        <v>0.26054220999166239</v>
      </c>
      <c r="AX60" s="22">
        <f t="shared" si="288"/>
        <v>0.26575305419149564</v>
      </c>
      <c r="AY60" s="22">
        <f t="shared" si="288"/>
        <v>0.27106811527532554</v>
      </c>
      <c r="AZ60" s="22">
        <f t="shared" si="288"/>
        <v>0.27648947758083209</v>
      </c>
      <c r="BA60" s="22">
        <f t="shared" si="288"/>
        <v>0.28201926713244874</v>
      </c>
      <c r="BB60" s="22">
        <f t="shared" si="288"/>
        <v>0.28765965247509767</v>
      </c>
      <c r="BC60" s="22">
        <f t="shared" si="288"/>
        <v>0.29341284552459962</v>
      </c>
      <c r="BD60" s="22">
        <f t="shared" si="288"/>
        <v>0.29928110243509165</v>
      </c>
      <c r="BE60" s="22">
        <f t="shared" si="288"/>
        <v>0.30526672448379349</v>
      </c>
      <c r="BF60" s="22">
        <f t="shared" si="288"/>
        <v>0.31137205897346937</v>
      </c>
      <c r="BG60" s="22">
        <f t="shared" si="288"/>
        <v>0.31759950015293875</v>
      </c>
      <c r="BH60" s="22">
        <f t="shared" si="288"/>
        <v>0.32395149015599756</v>
      </c>
      <c r="BI60" s="22">
        <f t="shared" si="288"/>
        <v>0.33043051995911754</v>
      </c>
      <c r="BJ60" s="22">
        <f t="shared" si="288"/>
        <v>0.33703913035829991</v>
      </c>
      <c r="BK60" s="22">
        <f t="shared" si="288"/>
        <v>0.34377991296546589</v>
      </c>
      <c r="BL60" s="22">
        <f t="shared" si="288"/>
        <v>0.35065551122477523</v>
      </c>
      <c r="BM60" s="22">
        <f t="shared" si="288"/>
        <v>0.35766862144927075</v>
      </c>
      <c r="BN60" s="22">
        <f t="shared" si="288"/>
        <v>0.36482199387825615</v>
      </c>
      <c r="BO60" s="22">
        <f t="shared" si="288"/>
        <v>0.37211843375582127</v>
      </c>
      <c r="BP60" s="22">
        <f t="shared" si="288"/>
        <v>0.37956080243093765</v>
      </c>
      <c r="BQ60" s="22">
        <f t="shared" si="288"/>
        <v>0.38715201847955644</v>
      </c>
      <c r="BR60" s="22">
        <f t="shared" si="288"/>
        <v>0.39489505884914755</v>
      </c>
      <c r="BS60" s="22">
        <f t="shared" si="288"/>
        <v>0.40279296002613052</v>
      </c>
      <c r="BT60" s="22">
        <f t="shared" si="288"/>
        <v>0.41084881922665312</v>
      </c>
      <c r="BU60" s="22">
        <f t="shared" si="288"/>
        <v>0.41906579561118618</v>
      </c>
      <c r="BV60" s="22">
        <f t="shared" si="288"/>
        <v>0.42744711152340997</v>
      </c>
      <c r="BW60" s="22">
        <f t="shared" si="288"/>
        <v>0.43599605375387818</v>
      </c>
      <c r="BX60" s="22">
        <f t="shared" si="288"/>
        <v>0.44471597482895575</v>
      </c>
      <c r="BY60" s="22">
        <f t="shared" si="288"/>
        <v>0.4536102943255349</v>
      </c>
      <c r="BZ60" s="22">
        <f t="shared" si="288"/>
        <v>0.4626825002120456</v>
      </c>
      <c r="CA60" s="22">
        <f t="shared" si="288"/>
        <v>0.47193615021628643</v>
      </c>
      <c r="CB60" s="22">
        <f t="shared" si="288"/>
        <v>0.48137487322061218</v>
      </c>
      <c r="CC60" s="22">
        <f t="shared" si="288"/>
        <v>0.49100237068502445</v>
      </c>
      <c r="CD60" s="22">
        <f t="shared" si="288"/>
        <v>0.50082241809872496</v>
      </c>
      <c r="CE60" s="22">
        <f t="shared" si="288"/>
        <v>0.51083886646069943</v>
      </c>
      <c r="CF60" s="22">
        <f t="shared" si="288"/>
        <v>0.52105564378991343</v>
      </c>
      <c r="CG60" s="22">
        <f t="shared" si="288"/>
        <v>0.5314767566657117</v>
      </c>
      <c r="CH60" s="22">
        <f t="shared" si="288"/>
        <v>0.54210629179902603</v>
      </c>
      <c r="CI60" s="22">
        <f t="shared" si="288"/>
        <v>0.55294841763500646</v>
      </c>
      <c r="CJ60" s="22">
        <f t="shared" si="288"/>
        <v>0.56400738598770672</v>
      </c>
      <c r="CK60" s="22">
        <f t="shared" si="288"/>
        <v>0.57528753370746077</v>
      </c>
      <c r="CM60" s="10">
        <f t="shared" si="280"/>
        <v>0</v>
      </c>
      <c r="CN60" s="10">
        <f t="shared" si="280"/>
        <v>13.335981050000003</v>
      </c>
      <c r="CO60" s="10">
        <f t="shared" si="280"/>
        <v>1.5090876678459926</v>
      </c>
      <c r="CP60" s="10">
        <f t="shared" si="280"/>
        <v>3.0420989804146115</v>
      </c>
      <c r="CQ60" s="10">
        <f t="shared" si="280"/>
        <v>3.8581170701579177</v>
      </c>
      <c r="CR60" s="10">
        <f t="shared" ref="CR60:CS60" si="289">SUMIF($L$2:$CK$2,CR$3,$L60:$CK60)</f>
        <v>4.8930253166894682</v>
      </c>
      <c r="CS60" s="10">
        <f t="shared" si="289"/>
        <v>6.2055392084782186</v>
      </c>
    </row>
    <row r="61" spans="2:97" hidden="1" x14ac:dyDescent="0.2">
      <c r="B61" s="12" t="s">
        <v>25</v>
      </c>
      <c r="F61" s="14">
        <f t="shared" ref="F61:K61" si="290">SUM(F62:F74)</f>
        <v>0</v>
      </c>
      <c r="G61" s="14">
        <f t="shared" si="290"/>
        <v>0</v>
      </c>
      <c r="H61" s="14">
        <f t="shared" si="290"/>
        <v>0</v>
      </c>
      <c r="I61" s="14">
        <f t="shared" si="290"/>
        <v>0</v>
      </c>
      <c r="J61" s="14">
        <f t="shared" si="290"/>
        <v>0</v>
      </c>
      <c r="K61" s="14">
        <f t="shared" si="290"/>
        <v>0</v>
      </c>
      <c r="L61" s="14">
        <f>SUM(L62:L74)</f>
        <v>0</v>
      </c>
    </row>
    <row r="62" spans="2:97" hidden="1" x14ac:dyDescent="0.2">
      <c r="B62" s="214" t="s">
        <v>26</v>
      </c>
    </row>
    <row r="63" spans="2:97" hidden="1" x14ac:dyDescent="0.2">
      <c r="B63" s="214" t="s">
        <v>27</v>
      </c>
    </row>
    <row r="64" spans="2:97" hidden="1" x14ac:dyDescent="0.2">
      <c r="B64" s="214" t="s">
        <v>28</v>
      </c>
    </row>
    <row r="65" spans="2:97" hidden="1" x14ac:dyDescent="0.2">
      <c r="B65" s="214" t="s">
        <v>29</v>
      </c>
    </row>
    <row r="66" spans="2:97" hidden="1" x14ac:dyDescent="0.2">
      <c r="B66" s="214" t="s">
        <v>15</v>
      </c>
    </row>
    <row r="67" spans="2:97" hidden="1" x14ac:dyDescent="0.2">
      <c r="B67" s="214" t="s">
        <v>30</v>
      </c>
    </row>
    <row r="68" spans="2:97" hidden="1" x14ac:dyDescent="0.2">
      <c r="B68" s="214" t="s">
        <v>31</v>
      </c>
    </row>
    <row r="69" spans="2:97" hidden="1" x14ac:dyDescent="0.2">
      <c r="B69" s="214" t="s">
        <v>32</v>
      </c>
    </row>
    <row r="70" spans="2:97" hidden="1" x14ac:dyDescent="0.2">
      <c r="B70" s="214" t="s">
        <v>33</v>
      </c>
    </row>
    <row r="71" spans="2:97" hidden="1" x14ac:dyDescent="0.2">
      <c r="B71" s="214" t="s">
        <v>34</v>
      </c>
    </row>
    <row r="72" spans="2:97" hidden="1" x14ac:dyDescent="0.2">
      <c r="B72" s="214" t="s">
        <v>35</v>
      </c>
    </row>
    <row r="73" spans="2:97" hidden="1" x14ac:dyDescent="0.2">
      <c r="B73" s="214" t="s">
        <v>36</v>
      </c>
    </row>
    <row r="74" spans="2:97" hidden="1" x14ac:dyDescent="0.2">
      <c r="B74" s="214" t="s">
        <v>37</v>
      </c>
    </row>
    <row r="75" spans="2:97" x14ac:dyDescent="0.2">
      <c r="B75" s="20" t="s">
        <v>6</v>
      </c>
      <c r="C75" s="23" t="s">
        <v>4</v>
      </c>
      <c r="D75" s="23"/>
      <c r="F75" s="24">
        <f t="shared" ref="F75:K75" si="291">F44+F47</f>
        <v>0</v>
      </c>
      <c r="G75" s="24">
        <f t="shared" si="291"/>
        <v>0</v>
      </c>
      <c r="H75" s="24">
        <f t="shared" si="291"/>
        <v>0</v>
      </c>
      <c r="I75" s="24">
        <f t="shared" si="291"/>
        <v>0</v>
      </c>
      <c r="J75" s="24">
        <f t="shared" si="291"/>
        <v>0</v>
      </c>
      <c r="K75" s="24">
        <f t="shared" si="291"/>
        <v>0</v>
      </c>
      <c r="L75" s="24">
        <f t="shared" ref="L75:AW75" si="292">L44+L47</f>
        <v>0</v>
      </c>
      <c r="M75" s="24">
        <f t="shared" si="292"/>
        <v>0</v>
      </c>
      <c r="N75" s="24">
        <f t="shared" si="292"/>
        <v>0</v>
      </c>
      <c r="O75" s="24">
        <f t="shared" si="292"/>
        <v>0</v>
      </c>
      <c r="P75" s="24">
        <f t="shared" si="292"/>
        <v>0</v>
      </c>
      <c r="Q75" s="24">
        <f t="shared" si="292"/>
        <v>0</v>
      </c>
      <c r="R75" s="24">
        <f t="shared" si="292"/>
        <v>0</v>
      </c>
      <c r="S75" s="24">
        <f t="shared" si="292"/>
        <v>0</v>
      </c>
      <c r="T75" s="24">
        <f t="shared" si="292"/>
        <v>45.115967600000005</v>
      </c>
      <c r="U75" s="24">
        <f t="shared" si="292"/>
        <v>77.389653500000009</v>
      </c>
      <c r="V75" s="24">
        <f t="shared" si="292"/>
        <v>70.6548224</v>
      </c>
      <c r="W75" s="24">
        <f t="shared" si="292"/>
        <v>360.36</v>
      </c>
      <c r="X75" s="24">
        <f t="shared" si="292"/>
        <v>697.24366320000001</v>
      </c>
      <c r="Y75" s="24">
        <f t="shared" si="292"/>
        <v>446.52953279999997</v>
      </c>
      <c r="Z75" s="24">
        <f t="shared" si="292"/>
        <v>261.24094480000008</v>
      </c>
      <c r="AA75" s="24">
        <f t="shared" si="292"/>
        <v>229.3835368</v>
      </c>
      <c r="AB75" s="24">
        <f t="shared" si="292"/>
        <v>58.509615999999994</v>
      </c>
      <c r="AC75" s="24">
        <f t="shared" si="292"/>
        <v>61.673288800000009</v>
      </c>
      <c r="AD75" s="24">
        <f t="shared" si="292"/>
        <v>40</v>
      </c>
      <c r="AE75" s="24">
        <f t="shared" si="292"/>
        <v>40</v>
      </c>
      <c r="AF75" s="24">
        <f t="shared" si="292"/>
        <v>40</v>
      </c>
      <c r="AG75" s="24">
        <f t="shared" si="292"/>
        <v>40</v>
      </c>
      <c r="AH75" s="24">
        <f t="shared" si="292"/>
        <v>62.756953240000001</v>
      </c>
      <c r="AI75" s="24">
        <f t="shared" si="292"/>
        <v>63.894800902</v>
      </c>
      <c r="AJ75" s="24">
        <f t="shared" si="292"/>
        <v>65.089540947100005</v>
      </c>
      <c r="AK75" s="24">
        <f t="shared" si="292"/>
        <v>66.344017994455015</v>
      </c>
      <c r="AL75" s="24">
        <f t="shared" si="292"/>
        <v>67.66121889417775</v>
      </c>
      <c r="AM75" s="24">
        <f t="shared" si="292"/>
        <v>69.044279838886638</v>
      </c>
      <c r="AN75" s="24">
        <f t="shared" si="292"/>
        <v>70.496493830830971</v>
      </c>
      <c r="AO75" s="24">
        <f t="shared" si="292"/>
        <v>72.021318522372525</v>
      </c>
      <c r="AP75" s="24">
        <f t="shared" si="292"/>
        <v>72.661744892819968</v>
      </c>
      <c r="AQ75" s="24">
        <f t="shared" si="292"/>
        <v>73.314979790676375</v>
      </c>
      <c r="AR75" s="24">
        <f t="shared" si="292"/>
        <v>73.981279386489916</v>
      </c>
      <c r="AS75" s="24">
        <f t="shared" si="292"/>
        <v>74.660904974219704</v>
      </c>
      <c r="AT75" s="24">
        <f t="shared" si="292"/>
        <v>75.354123073704102</v>
      </c>
      <c r="AU75" s="24">
        <f t="shared" si="292"/>
        <v>76.061205535178175</v>
      </c>
      <c r="AV75" s="24">
        <f t="shared" si="292"/>
        <v>76.782429645881749</v>
      </c>
      <c r="AW75" s="24">
        <f t="shared" si="292"/>
        <v>77.518078238799376</v>
      </c>
      <c r="AX75" s="24">
        <f t="shared" ref="AX75:BU75" si="293">AX44+AX47</f>
        <v>78.268439803575376</v>
      </c>
      <c r="AY75" s="24">
        <f t="shared" si="293"/>
        <v>79.033808599646875</v>
      </c>
      <c r="AZ75" s="24">
        <f t="shared" si="293"/>
        <v>79.814484771639826</v>
      </c>
      <c r="BA75" s="24">
        <f t="shared" si="293"/>
        <v>80.610774467072616</v>
      </c>
      <c r="BB75" s="24">
        <f t="shared" si="293"/>
        <v>80.272351346513673</v>
      </c>
      <c r="BC75" s="24">
        <f t="shared" si="293"/>
        <v>81.077798373443954</v>
      </c>
      <c r="BD75" s="24">
        <f t="shared" si="293"/>
        <v>81.899354340912822</v>
      </c>
      <c r="BE75" s="24">
        <f t="shared" si="293"/>
        <v>82.737341427731081</v>
      </c>
      <c r="BF75" s="24">
        <f t="shared" si="293"/>
        <v>83.592088256285706</v>
      </c>
      <c r="BG75" s="24">
        <f t="shared" si="293"/>
        <v>84.463930021411414</v>
      </c>
      <c r="BH75" s="24">
        <f t="shared" si="293"/>
        <v>85.353208621839656</v>
      </c>
      <c r="BI75" s="24">
        <f t="shared" si="293"/>
        <v>86.26027279427646</v>
      </c>
      <c r="BJ75" s="24">
        <f t="shared" si="293"/>
        <v>87.185478250161992</v>
      </c>
      <c r="BK75" s="24">
        <f t="shared" si="293"/>
        <v>88.129187815165224</v>
      </c>
      <c r="BL75" s="24">
        <f t="shared" si="293"/>
        <v>89.091771571468541</v>
      </c>
      <c r="BM75" s="24">
        <f t="shared" si="293"/>
        <v>90.073607002897901</v>
      </c>
      <c r="BN75" s="24">
        <f t="shared" si="293"/>
        <v>91.075079142955857</v>
      </c>
      <c r="BO75" s="24">
        <f t="shared" si="293"/>
        <v>92.096580725814988</v>
      </c>
      <c r="BP75" s="24">
        <f t="shared" si="293"/>
        <v>93.138512340331275</v>
      </c>
      <c r="BQ75" s="24">
        <f t="shared" si="293"/>
        <v>94.201282587137896</v>
      </c>
      <c r="BR75" s="24">
        <f t="shared" si="293"/>
        <v>95.285308238880646</v>
      </c>
      <c r="BS75" s="24">
        <f t="shared" si="293"/>
        <v>96.391014403658275</v>
      </c>
      <c r="BT75" s="24">
        <f t="shared" si="293"/>
        <v>97.518834691731428</v>
      </c>
      <c r="BU75" s="24">
        <f t="shared" si="293"/>
        <v>98.669211385566058</v>
      </c>
      <c r="BV75" s="24">
        <f t="shared" ref="BV75:BX75" si="294">BV44+BV47</f>
        <v>99.842595613277396</v>
      </c>
      <c r="BW75" s="24">
        <f t="shared" si="294"/>
        <v>101.03944752554295</v>
      </c>
      <c r="BX75" s="24">
        <f t="shared" si="294"/>
        <v>102.26023647605381</v>
      </c>
      <c r="BY75" s="24">
        <f t="shared" ref="BY75:CK75" si="295">BY44+BY47</f>
        <v>103.50544120557488</v>
      </c>
      <c r="BZ75" s="24">
        <f t="shared" si="295"/>
        <v>104.77555002968637</v>
      </c>
      <c r="CA75" s="24">
        <f t="shared" si="295"/>
        <v>106.07106103028011</v>
      </c>
      <c r="CB75" s="24">
        <f t="shared" si="295"/>
        <v>107.39248225088571</v>
      </c>
      <c r="CC75" s="24">
        <f t="shared" si="295"/>
        <v>108.74033189590342</v>
      </c>
      <c r="CD75" s="24">
        <f t="shared" si="295"/>
        <v>110.11513853382148</v>
      </c>
      <c r="CE75" s="24">
        <f t="shared" si="295"/>
        <v>111.51744130449791</v>
      </c>
      <c r="CF75" s="24">
        <f t="shared" si="295"/>
        <v>112.94779013058788</v>
      </c>
      <c r="CG75" s="24">
        <f t="shared" si="295"/>
        <v>114.40674593319964</v>
      </c>
      <c r="CH75" s="24">
        <f t="shared" si="295"/>
        <v>115.89488085186363</v>
      </c>
      <c r="CI75" s="24">
        <f t="shared" si="295"/>
        <v>117.41277846890091</v>
      </c>
      <c r="CJ75" s="24">
        <f t="shared" si="295"/>
        <v>118.96103403827894</v>
      </c>
      <c r="CK75" s="24">
        <f t="shared" si="295"/>
        <v>120.5402547190445</v>
      </c>
      <c r="CM75" s="24">
        <f>SUMIF($L$2:$CK$2,CM$3,$L75:$CK75)</f>
        <v>0</v>
      </c>
      <c r="CN75" s="24">
        <f>SUMIF($L$2:$CK$2,CN$3,$L75:$CK75)</f>
        <v>2308.1010259</v>
      </c>
      <c r="CO75" s="24">
        <f>SUMIF($L$2:$CK$2,CO$3,$L75:$CK75)</f>
        <v>697.30862416982302</v>
      </c>
      <c r="CP75" s="24">
        <f>SUMIF($L$2:$CK$2,CP$3,$L75:$CK75)</f>
        <v>918.06225317970393</v>
      </c>
      <c r="CQ75" s="24">
        <f>SUMIF($L$2:$CK$2,CQ$3,$L75:$CK75)</f>
        <v>1020.1363898221084</v>
      </c>
      <c r="CR75" s="24">
        <f t="shared" ref="CR75:CS75" si="296">SUMIF($L$2:$CK$2,CR$3,$L75:$CK75)</f>
        <v>1165.0235443365254</v>
      </c>
      <c r="CS75" s="24">
        <f t="shared" si="296"/>
        <v>1348.7754891869504</v>
      </c>
    </row>
    <row r="78" spans="2:97" x14ac:dyDescent="0.2">
      <c r="B78" s="12" t="s">
        <v>42</v>
      </c>
    </row>
    <row r="79" spans="2:97" x14ac:dyDescent="0.2">
      <c r="B79" s="200" t="s">
        <v>1</v>
      </c>
      <c r="C79" s="200" t="s">
        <v>2</v>
      </c>
      <c r="D79" s="200" t="s">
        <v>38</v>
      </c>
      <c r="F79" s="201">
        <f t="shared" ref="F79:K79" si="297">F43</f>
        <v>45292</v>
      </c>
      <c r="G79" s="201">
        <f t="shared" si="297"/>
        <v>45323</v>
      </c>
      <c r="H79" s="201">
        <f t="shared" si="297"/>
        <v>45352</v>
      </c>
      <c r="I79" s="201">
        <f t="shared" si="297"/>
        <v>45383</v>
      </c>
      <c r="J79" s="201">
        <f t="shared" si="297"/>
        <v>45413</v>
      </c>
      <c r="K79" s="201">
        <f t="shared" si="297"/>
        <v>45444</v>
      </c>
      <c r="L79" s="201">
        <f>L43</f>
        <v>45474</v>
      </c>
      <c r="M79" s="201">
        <f t="shared" ref="M79:BU79" si="298">M43</f>
        <v>45505</v>
      </c>
      <c r="N79" s="201">
        <f t="shared" si="298"/>
        <v>45536</v>
      </c>
      <c r="O79" s="201">
        <f t="shared" si="298"/>
        <v>45566</v>
      </c>
      <c r="P79" s="201">
        <f t="shared" si="298"/>
        <v>45597</v>
      </c>
      <c r="Q79" s="201">
        <f t="shared" si="298"/>
        <v>45627</v>
      </c>
      <c r="R79" s="201">
        <f t="shared" si="298"/>
        <v>45658</v>
      </c>
      <c r="S79" s="201">
        <f t="shared" si="298"/>
        <v>45689</v>
      </c>
      <c r="T79" s="201">
        <f t="shared" si="298"/>
        <v>45717</v>
      </c>
      <c r="U79" s="201">
        <f t="shared" si="298"/>
        <v>45748</v>
      </c>
      <c r="V79" s="201">
        <f t="shared" si="298"/>
        <v>45778</v>
      </c>
      <c r="W79" s="201">
        <f t="shared" si="298"/>
        <v>45809</v>
      </c>
      <c r="X79" s="201">
        <f t="shared" si="298"/>
        <v>45839</v>
      </c>
      <c r="Y79" s="201">
        <f t="shared" si="298"/>
        <v>45870</v>
      </c>
      <c r="Z79" s="201">
        <f t="shared" si="298"/>
        <v>45901</v>
      </c>
      <c r="AA79" s="201">
        <f t="shared" si="298"/>
        <v>45931</v>
      </c>
      <c r="AB79" s="201">
        <f t="shared" si="298"/>
        <v>45962</v>
      </c>
      <c r="AC79" s="201">
        <f t="shared" si="298"/>
        <v>45992</v>
      </c>
      <c r="AD79" s="201">
        <f t="shared" si="298"/>
        <v>46023</v>
      </c>
      <c r="AE79" s="201">
        <f t="shared" si="298"/>
        <v>46054</v>
      </c>
      <c r="AF79" s="201">
        <f t="shared" si="298"/>
        <v>46082</v>
      </c>
      <c r="AG79" s="201">
        <f t="shared" si="298"/>
        <v>46113</v>
      </c>
      <c r="AH79" s="201">
        <f t="shared" si="298"/>
        <v>46143</v>
      </c>
      <c r="AI79" s="201">
        <f t="shared" si="298"/>
        <v>46174</v>
      </c>
      <c r="AJ79" s="201">
        <f t="shared" si="298"/>
        <v>46204</v>
      </c>
      <c r="AK79" s="201">
        <f t="shared" si="298"/>
        <v>46235</v>
      </c>
      <c r="AL79" s="201">
        <f t="shared" si="298"/>
        <v>46266</v>
      </c>
      <c r="AM79" s="201">
        <f t="shared" si="298"/>
        <v>46296</v>
      </c>
      <c r="AN79" s="201">
        <f t="shared" si="298"/>
        <v>46327</v>
      </c>
      <c r="AO79" s="201">
        <f t="shared" si="298"/>
        <v>46357</v>
      </c>
      <c r="AP79" s="201">
        <f t="shared" si="298"/>
        <v>46388</v>
      </c>
      <c r="AQ79" s="201">
        <f t="shared" si="298"/>
        <v>46419</v>
      </c>
      <c r="AR79" s="201">
        <f t="shared" si="298"/>
        <v>46447</v>
      </c>
      <c r="AS79" s="201">
        <f t="shared" si="298"/>
        <v>46478</v>
      </c>
      <c r="AT79" s="201">
        <f t="shared" si="298"/>
        <v>46508</v>
      </c>
      <c r="AU79" s="201">
        <f t="shared" si="298"/>
        <v>46539</v>
      </c>
      <c r="AV79" s="201">
        <f t="shared" si="298"/>
        <v>46569</v>
      </c>
      <c r="AW79" s="201">
        <f t="shared" si="298"/>
        <v>46600</v>
      </c>
      <c r="AX79" s="201">
        <f t="shared" si="298"/>
        <v>46631</v>
      </c>
      <c r="AY79" s="201">
        <f t="shared" si="298"/>
        <v>46661</v>
      </c>
      <c r="AZ79" s="201">
        <f t="shared" si="298"/>
        <v>46692</v>
      </c>
      <c r="BA79" s="201">
        <f t="shared" si="298"/>
        <v>46722</v>
      </c>
      <c r="BB79" s="201">
        <f t="shared" si="298"/>
        <v>46753</v>
      </c>
      <c r="BC79" s="201">
        <f t="shared" si="298"/>
        <v>46784</v>
      </c>
      <c r="BD79" s="201">
        <f t="shared" si="298"/>
        <v>46813</v>
      </c>
      <c r="BE79" s="201">
        <f t="shared" si="298"/>
        <v>46844</v>
      </c>
      <c r="BF79" s="201">
        <f t="shared" si="298"/>
        <v>46874</v>
      </c>
      <c r="BG79" s="201">
        <f t="shared" si="298"/>
        <v>46905</v>
      </c>
      <c r="BH79" s="201">
        <f t="shared" si="298"/>
        <v>46935</v>
      </c>
      <c r="BI79" s="201">
        <f t="shared" si="298"/>
        <v>46966</v>
      </c>
      <c r="BJ79" s="201">
        <f t="shared" si="298"/>
        <v>46997</v>
      </c>
      <c r="BK79" s="201">
        <f t="shared" si="298"/>
        <v>47027</v>
      </c>
      <c r="BL79" s="201">
        <f t="shared" si="298"/>
        <v>47058</v>
      </c>
      <c r="BM79" s="201">
        <f t="shared" si="298"/>
        <v>47088</v>
      </c>
      <c r="BN79" s="201">
        <f t="shared" si="298"/>
        <v>47119</v>
      </c>
      <c r="BO79" s="201">
        <f t="shared" si="298"/>
        <v>47150</v>
      </c>
      <c r="BP79" s="201">
        <f t="shared" si="298"/>
        <v>47178</v>
      </c>
      <c r="BQ79" s="201">
        <f t="shared" si="298"/>
        <v>47209</v>
      </c>
      <c r="BR79" s="201">
        <f t="shared" si="298"/>
        <v>47239</v>
      </c>
      <c r="BS79" s="201">
        <f t="shared" si="298"/>
        <v>47270</v>
      </c>
      <c r="BT79" s="201">
        <f t="shared" si="298"/>
        <v>47300</v>
      </c>
      <c r="BU79" s="201">
        <f t="shared" si="298"/>
        <v>47331</v>
      </c>
      <c r="BV79" s="201">
        <f t="shared" ref="BV79:BX79" si="299">BV43</f>
        <v>47362</v>
      </c>
      <c r="BW79" s="201">
        <f t="shared" si="299"/>
        <v>47392</v>
      </c>
      <c r="BX79" s="201">
        <f t="shared" si="299"/>
        <v>47423</v>
      </c>
      <c r="BY79" s="201">
        <f t="shared" ref="BY79:CK79" si="300">BY43</f>
        <v>47453</v>
      </c>
      <c r="BZ79" s="201">
        <f t="shared" si="300"/>
        <v>47484</v>
      </c>
      <c r="CA79" s="201">
        <f t="shared" si="300"/>
        <v>47515</v>
      </c>
      <c r="CB79" s="201">
        <f t="shared" si="300"/>
        <v>47543</v>
      </c>
      <c r="CC79" s="201">
        <f t="shared" si="300"/>
        <v>47574</v>
      </c>
      <c r="CD79" s="201">
        <f t="shared" si="300"/>
        <v>47604</v>
      </c>
      <c r="CE79" s="201">
        <f t="shared" si="300"/>
        <v>47635</v>
      </c>
      <c r="CF79" s="201">
        <f t="shared" si="300"/>
        <v>47665</v>
      </c>
      <c r="CG79" s="201">
        <f t="shared" si="300"/>
        <v>47696</v>
      </c>
      <c r="CH79" s="201">
        <f t="shared" si="300"/>
        <v>47727</v>
      </c>
      <c r="CI79" s="201">
        <f t="shared" si="300"/>
        <v>47757</v>
      </c>
      <c r="CJ79" s="201">
        <f t="shared" si="300"/>
        <v>47788</v>
      </c>
      <c r="CK79" s="201">
        <f t="shared" si="300"/>
        <v>47818</v>
      </c>
      <c r="CM79" s="202">
        <v>2024</v>
      </c>
      <c r="CN79" s="202">
        <f>CM79+1</f>
        <v>2025</v>
      </c>
      <c r="CO79" s="202">
        <f t="shared" ref="CO79" si="301">CN79+1</f>
        <v>2026</v>
      </c>
      <c r="CP79" s="202">
        <f t="shared" ref="CP79" si="302">CO79+1</f>
        <v>2027</v>
      </c>
      <c r="CQ79" s="202">
        <f t="shared" ref="CQ79" si="303">CP79+1</f>
        <v>2028</v>
      </c>
      <c r="CR79" s="202">
        <f t="shared" ref="CR79" si="304">CQ79+1</f>
        <v>2029</v>
      </c>
      <c r="CS79" s="202">
        <f t="shared" ref="CS79" si="305">CR79+1</f>
        <v>2030</v>
      </c>
    </row>
    <row r="80" spans="2:97" outlineLevel="1" x14ac:dyDescent="0.2">
      <c r="B80" s="92" t="s">
        <v>43</v>
      </c>
      <c r="C80" s="91" t="s">
        <v>39</v>
      </c>
      <c r="D80" s="232">
        <v>0</v>
      </c>
      <c r="F80" s="22"/>
      <c r="G80" s="22"/>
      <c r="H80" s="22"/>
      <c r="I80" s="22"/>
      <c r="J80" s="22"/>
      <c r="K80" s="22"/>
      <c r="L80" s="22"/>
      <c r="M80" s="22"/>
      <c r="N80" s="22"/>
      <c r="O80" s="22"/>
      <c r="P80" s="22"/>
      <c r="Q80" s="22"/>
      <c r="R80" s="22"/>
      <c r="S80" s="22"/>
      <c r="T80" s="22"/>
      <c r="U80" s="22"/>
      <c r="V80" s="22"/>
      <c r="W80" s="22"/>
      <c r="X80" s="22">
        <f t="shared" ref="X80:CK80" si="306">X$39*$D80</f>
        <v>0</v>
      </c>
      <c r="Y80" s="22">
        <f t="shared" si="306"/>
        <v>0</v>
      </c>
      <c r="Z80" s="22">
        <f t="shared" si="306"/>
        <v>0</v>
      </c>
      <c r="AA80" s="22">
        <f t="shared" si="306"/>
        <v>0</v>
      </c>
      <c r="AB80" s="22">
        <f t="shared" si="306"/>
        <v>0</v>
      </c>
      <c r="AC80" s="22">
        <f t="shared" si="306"/>
        <v>0</v>
      </c>
      <c r="AD80" s="22">
        <f t="shared" si="306"/>
        <v>0</v>
      </c>
      <c r="AE80" s="22">
        <f t="shared" si="306"/>
        <v>0</v>
      </c>
      <c r="AF80" s="22">
        <f t="shared" si="306"/>
        <v>0</v>
      </c>
      <c r="AG80" s="22">
        <f t="shared" si="306"/>
        <v>0</v>
      </c>
      <c r="AH80" s="22">
        <f t="shared" si="306"/>
        <v>0</v>
      </c>
      <c r="AI80" s="22">
        <f t="shared" si="306"/>
        <v>0</v>
      </c>
      <c r="AJ80" s="22">
        <f t="shared" si="306"/>
        <v>0</v>
      </c>
      <c r="AK80" s="22">
        <f t="shared" si="306"/>
        <v>0</v>
      </c>
      <c r="AL80" s="22">
        <f t="shared" si="306"/>
        <v>0</v>
      </c>
      <c r="AM80" s="22">
        <f t="shared" si="306"/>
        <v>0</v>
      </c>
      <c r="AN80" s="22">
        <f t="shared" si="306"/>
        <v>0</v>
      </c>
      <c r="AO80" s="22">
        <f t="shared" si="306"/>
        <v>0</v>
      </c>
      <c r="AP80" s="22">
        <f t="shared" si="306"/>
        <v>0</v>
      </c>
      <c r="AQ80" s="22">
        <f t="shared" si="306"/>
        <v>0</v>
      </c>
      <c r="AR80" s="22">
        <f t="shared" si="306"/>
        <v>0</v>
      </c>
      <c r="AS80" s="22">
        <f t="shared" si="306"/>
        <v>0</v>
      </c>
      <c r="AT80" s="22">
        <f t="shared" si="306"/>
        <v>0</v>
      </c>
      <c r="AU80" s="22">
        <f t="shared" si="306"/>
        <v>0</v>
      </c>
      <c r="AV80" s="22">
        <f t="shared" si="306"/>
        <v>0</v>
      </c>
      <c r="AW80" s="22">
        <f t="shared" si="306"/>
        <v>0</v>
      </c>
      <c r="AX80" s="22">
        <f t="shared" si="306"/>
        <v>0</v>
      </c>
      <c r="AY80" s="22">
        <f t="shared" si="306"/>
        <v>0</v>
      </c>
      <c r="AZ80" s="22">
        <f t="shared" si="306"/>
        <v>0</v>
      </c>
      <c r="BA80" s="22">
        <f t="shared" si="306"/>
        <v>0</v>
      </c>
      <c r="BB80" s="22">
        <f t="shared" si="306"/>
        <v>0</v>
      </c>
      <c r="BC80" s="22">
        <f t="shared" si="306"/>
        <v>0</v>
      </c>
      <c r="BD80" s="22">
        <f t="shared" si="306"/>
        <v>0</v>
      </c>
      <c r="BE80" s="22">
        <f t="shared" si="306"/>
        <v>0</v>
      </c>
      <c r="BF80" s="22">
        <f t="shared" si="306"/>
        <v>0</v>
      </c>
      <c r="BG80" s="22">
        <f t="shared" si="306"/>
        <v>0</v>
      </c>
      <c r="BH80" s="22">
        <f t="shared" si="306"/>
        <v>0</v>
      </c>
      <c r="BI80" s="22">
        <f t="shared" si="306"/>
        <v>0</v>
      </c>
      <c r="BJ80" s="22">
        <f t="shared" si="306"/>
        <v>0</v>
      </c>
      <c r="BK80" s="22">
        <f t="shared" si="306"/>
        <v>0</v>
      </c>
      <c r="BL80" s="22">
        <f t="shared" si="306"/>
        <v>0</v>
      </c>
      <c r="BM80" s="22">
        <f t="shared" si="306"/>
        <v>0</v>
      </c>
      <c r="BN80" s="22">
        <f t="shared" si="306"/>
        <v>0</v>
      </c>
      <c r="BO80" s="22">
        <f t="shared" si="306"/>
        <v>0</v>
      </c>
      <c r="BP80" s="22">
        <f t="shared" si="306"/>
        <v>0</v>
      </c>
      <c r="BQ80" s="22">
        <f t="shared" si="306"/>
        <v>0</v>
      </c>
      <c r="BR80" s="22">
        <f t="shared" si="306"/>
        <v>0</v>
      </c>
      <c r="BS80" s="22">
        <f t="shared" si="306"/>
        <v>0</v>
      </c>
      <c r="BT80" s="22">
        <f t="shared" si="306"/>
        <v>0</v>
      </c>
      <c r="BU80" s="22">
        <f t="shared" si="306"/>
        <v>0</v>
      </c>
      <c r="BV80" s="22">
        <f t="shared" si="306"/>
        <v>0</v>
      </c>
      <c r="BW80" s="22">
        <f t="shared" si="306"/>
        <v>0</v>
      </c>
      <c r="BX80" s="22">
        <f t="shared" si="306"/>
        <v>0</v>
      </c>
      <c r="BY80" s="22">
        <f t="shared" si="306"/>
        <v>0</v>
      </c>
      <c r="BZ80" s="22">
        <f t="shared" si="306"/>
        <v>0</v>
      </c>
      <c r="CA80" s="22">
        <f t="shared" si="306"/>
        <v>0</v>
      </c>
      <c r="CB80" s="22">
        <f t="shared" si="306"/>
        <v>0</v>
      </c>
      <c r="CC80" s="22">
        <f t="shared" si="306"/>
        <v>0</v>
      </c>
      <c r="CD80" s="22">
        <f t="shared" si="306"/>
        <v>0</v>
      </c>
      <c r="CE80" s="22">
        <f t="shared" si="306"/>
        <v>0</v>
      </c>
      <c r="CF80" s="22">
        <f t="shared" si="306"/>
        <v>0</v>
      </c>
      <c r="CG80" s="22">
        <f t="shared" si="306"/>
        <v>0</v>
      </c>
      <c r="CH80" s="22">
        <f t="shared" si="306"/>
        <v>0</v>
      </c>
      <c r="CI80" s="22">
        <f t="shared" si="306"/>
        <v>0</v>
      </c>
      <c r="CJ80" s="22">
        <f t="shared" si="306"/>
        <v>0</v>
      </c>
      <c r="CK80" s="22">
        <f t="shared" si="306"/>
        <v>0</v>
      </c>
      <c r="CM80" s="10">
        <f t="shared" ref="CM80:CQ84" si="307">SUMIF($L$2:$CK$2,CM$3,$L80:$CK80)</f>
        <v>0</v>
      </c>
      <c r="CN80" s="10">
        <f t="shared" si="307"/>
        <v>0</v>
      </c>
      <c r="CO80" s="10">
        <f t="shared" si="307"/>
        <v>0</v>
      </c>
      <c r="CP80" s="10">
        <f t="shared" si="307"/>
        <v>0</v>
      </c>
      <c r="CQ80" s="10">
        <f t="shared" si="307"/>
        <v>0</v>
      </c>
      <c r="CR80" s="10">
        <f t="shared" ref="CR80:CS84" si="308">SUMIF($L$2:$CK$2,CR$3,$L80:$CK80)</f>
        <v>0</v>
      </c>
      <c r="CS80" s="10">
        <f t="shared" si="308"/>
        <v>0</v>
      </c>
    </row>
    <row r="81" spans="2:97" outlineLevel="1" x14ac:dyDescent="0.2">
      <c r="B81" s="92" t="s">
        <v>44</v>
      </c>
      <c r="C81" s="97" t="s">
        <v>4</v>
      </c>
      <c r="D81" s="91"/>
      <c r="X81" s="8">
        <v>30</v>
      </c>
      <c r="Y81" s="8">
        <f t="shared" ref="Y81:AW81" si="309">X81</f>
        <v>30</v>
      </c>
      <c r="Z81" s="227">
        <v>35</v>
      </c>
      <c r="AA81" s="8">
        <f t="shared" si="309"/>
        <v>35</v>
      </c>
      <c r="AB81" s="8">
        <f t="shared" si="309"/>
        <v>35</v>
      </c>
      <c r="AC81" s="8">
        <f t="shared" si="309"/>
        <v>35</v>
      </c>
      <c r="AD81" s="8">
        <f t="shared" si="309"/>
        <v>35</v>
      </c>
      <c r="AE81" s="8">
        <v>50</v>
      </c>
      <c r="AF81" s="8">
        <f t="shared" si="309"/>
        <v>50</v>
      </c>
      <c r="AG81" s="8">
        <f t="shared" si="309"/>
        <v>50</v>
      </c>
      <c r="AH81" s="8">
        <f t="shared" si="309"/>
        <v>50</v>
      </c>
      <c r="AI81" s="8">
        <f t="shared" si="309"/>
        <v>50</v>
      </c>
      <c r="AJ81" s="227">
        <v>40</v>
      </c>
      <c r="AK81" s="8">
        <f t="shared" si="309"/>
        <v>40</v>
      </c>
      <c r="AL81" s="8">
        <f t="shared" si="309"/>
        <v>40</v>
      </c>
      <c r="AM81" s="8">
        <f t="shared" si="309"/>
        <v>40</v>
      </c>
      <c r="AN81" s="8">
        <f t="shared" si="309"/>
        <v>40</v>
      </c>
      <c r="AO81" s="8">
        <f t="shared" si="309"/>
        <v>40</v>
      </c>
      <c r="AP81" s="8">
        <f t="shared" si="309"/>
        <v>40</v>
      </c>
      <c r="AQ81" s="8">
        <f t="shared" si="309"/>
        <v>40</v>
      </c>
      <c r="AR81" s="8">
        <f t="shared" si="309"/>
        <v>40</v>
      </c>
      <c r="AS81" s="8">
        <f t="shared" si="309"/>
        <v>40</v>
      </c>
      <c r="AT81" s="8">
        <f t="shared" si="309"/>
        <v>40</v>
      </c>
      <c r="AU81" s="8">
        <f t="shared" si="309"/>
        <v>40</v>
      </c>
      <c r="AV81" s="8">
        <f t="shared" si="309"/>
        <v>40</v>
      </c>
      <c r="AW81" s="8">
        <f t="shared" si="309"/>
        <v>40</v>
      </c>
      <c r="AX81" s="227">
        <v>45</v>
      </c>
      <c r="AY81" s="8">
        <f t="shared" ref="AY81" si="310">AX81</f>
        <v>45</v>
      </c>
      <c r="AZ81" s="8">
        <f t="shared" ref="AZ81" si="311">AY81</f>
        <v>45</v>
      </c>
      <c r="BA81" s="8">
        <f t="shared" ref="BA81" si="312">AZ81</f>
        <v>45</v>
      </c>
      <c r="BB81" s="8">
        <f t="shared" ref="BB81" si="313">BA81</f>
        <v>45</v>
      </c>
      <c r="BC81" s="8">
        <f t="shared" ref="BC81" si="314">BB81</f>
        <v>45</v>
      </c>
      <c r="BD81" s="8">
        <f t="shared" ref="BD81" si="315">BC81</f>
        <v>45</v>
      </c>
      <c r="BE81" s="8">
        <f t="shared" ref="BE81" si="316">BD81</f>
        <v>45</v>
      </c>
      <c r="BF81" s="8">
        <f t="shared" ref="BF81" si="317">BE81</f>
        <v>45</v>
      </c>
      <c r="BG81" s="8">
        <f t="shared" ref="BG81" si="318">BF81</f>
        <v>45</v>
      </c>
      <c r="BH81" s="8">
        <f t="shared" ref="BH81" si="319">BG81</f>
        <v>45</v>
      </c>
      <c r="BI81" s="8">
        <f t="shared" ref="BI81" si="320">BH81</f>
        <v>45</v>
      </c>
      <c r="BJ81" s="8">
        <f t="shared" ref="BJ81" si="321">BI81</f>
        <v>45</v>
      </c>
      <c r="BK81" s="8">
        <f t="shared" ref="BK81" si="322">BJ81</f>
        <v>45</v>
      </c>
      <c r="BL81" s="8">
        <f t="shared" ref="BL81" si="323">BK81</f>
        <v>45</v>
      </c>
      <c r="BM81" s="8">
        <f t="shared" ref="BM81" si="324">BL81</f>
        <v>45</v>
      </c>
      <c r="BN81" s="8">
        <f t="shared" ref="BN81" si="325">BM81</f>
        <v>45</v>
      </c>
      <c r="BO81" s="8">
        <f t="shared" ref="BO81" si="326">BN81</f>
        <v>45</v>
      </c>
      <c r="BP81" s="8">
        <f t="shared" ref="BP81" si="327">BO81</f>
        <v>45</v>
      </c>
      <c r="BQ81" s="8">
        <f t="shared" ref="BQ81" si="328">BP81</f>
        <v>45</v>
      </c>
      <c r="BR81" s="8">
        <f t="shared" ref="BR81" si="329">BQ81</f>
        <v>45</v>
      </c>
      <c r="BS81" s="8">
        <f t="shared" ref="BS81" si="330">BR81</f>
        <v>45</v>
      </c>
      <c r="BT81" s="8">
        <f t="shared" ref="BT81" si="331">BS81</f>
        <v>45</v>
      </c>
      <c r="BU81" s="8">
        <f t="shared" ref="BU81" si="332">BT81</f>
        <v>45</v>
      </c>
      <c r="BV81" s="8">
        <f t="shared" ref="BV81" si="333">BU81</f>
        <v>45</v>
      </c>
      <c r="BW81" s="8">
        <f t="shared" ref="BW81" si="334">BV81</f>
        <v>45</v>
      </c>
      <c r="BX81" s="8">
        <f t="shared" ref="BX81" si="335">BW81</f>
        <v>45</v>
      </c>
      <c r="BY81" s="8">
        <f t="shared" ref="BY81" si="336">BX81</f>
        <v>45</v>
      </c>
      <c r="BZ81" s="8">
        <f t="shared" ref="BZ81" si="337">BY81</f>
        <v>45</v>
      </c>
      <c r="CA81" s="8">
        <f t="shared" ref="CA81" si="338">BZ81</f>
        <v>45</v>
      </c>
      <c r="CB81" s="8">
        <f t="shared" ref="CB81" si="339">CA81</f>
        <v>45</v>
      </c>
      <c r="CC81" s="8">
        <f t="shared" ref="CC81" si="340">CB81</f>
        <v>45</v>
      </c>
      <c r="CD81" s="8">
        <f t="shared" ref="CD81" si="341">CC81</f>
        <v>45</v>
      </c>
      <c r="CE81" s="8">
        <f t="shared" ref="CE81" si="342">CD81</f>
        <v>45</v>
      </c>
      <c r="CF81" s="8">
        <f t="shared" ref="CF81" si="343">CE81</f>
        <v>45</v>
      </c>
      <c r="CG81" s="8">
        <f t="shared" ref="CG81" si="344">CF81</f>
        <v>45</v>
      </c>
      <c r="CH81" s="8">
        <f t="shared" ref="CH81" si="345">CG81</f>
        <v>45</v>
      </c>
      <c r="CI81" s="8">
        <f t="shared" ref="CI81" si="346">CH81</f>
        <v>45</v>
      </c>
      <c r="CJ81" s="8">
        <f t="shared" ref="CJ81" si="347">CI81</f>
        <v>45</v>
      </c>
      <c r="CK81" s="8">
        <f t="shared" ref="CK81" si="348">CJ81</f>
        <v>45</v>
      </c>
      <c r="CM81" s="10">
        <f t="shared" si="307"/>
        <v>0</v>
      </c>
      <c r="CN81" s="10">
        <f t="shared" si="307"/>
        <v>200</v>
      </c>
      <c r="CO81" s="10">
        <f t="shared" si="307"/>
        <v>525</v>
      </c>
      <c r="CP81" s="10">
        <f t="shared" si="307"/>
        <v>500</v>
      </c>
      <c r="CQ81" s="10">
        <f t="shared" si="307"/>
        <v>540</v>
      </c>
      <c r="CR81" s="10">
        <f t="shared" si="308"/>
        <v>540</v>
      </c>
      <c r="CS81" s="10">
        <f t="shared" si="308"/>
        <v>540</v>
      </c>
    </row>
    <row r="82" spans="2:97" outlineLevel="1" x14ac:dyDescent="0.2">
      <c r="B82" s="92" t="s">
        <v>17</v>
      </c>
      <c r="C82" s="91" t="s">
        <v>39</v>
      </c>
      <c r="D82" s="229">
        <v>8.9999999999999993E-3</v>
      </c>
      <c r="F82" s="10"/>
      <c r="G82" s="10"/>
      <c r="H82" s="10"/>
      <c r="I82" s="10"/>
      <c r="J82" s="10"/>
      <c r="K82" s="10"/>
      <c r="L82" s="10"/>
      <c r="M82" s="10"/>
      <c r="N82" s="10"/>
      <c r="O82" s="10"/>
      <c r="P82" s="22"/>
      <c r="Q82" s="22"/>
      <c r="R82" s="22"/>
      <c r="S82" s="22"/>
      <c r="T82" s="22"/>
      <c r="U82" s="22"/>
      <c r="V82" s="22"/>
      <c r="W82" s="22"/>
      <c r="X82" s="22">
        <f t="shared" ref="X82:CK82" si="349">X$39*$D82</f>
        <v>8.3405457900000002</v>
      </c>
      <c r="Y82" s="22">
        <f t="shared" si="349"/>
        <v>5.2066191599999998</v>
      </c>
      <c r="Z82" s="22">
        <f t="shared" si="349"/>
        <v>2.7655118100000005</v>
      </c>
      <c r="AA82" s="22">
        <f t="shared" si="349"/>
        <v>2.3672942099999998</v>
      </c>
      <c r="AB82" s="22">
        <f t="shared" si="349"/>
        <v>0.23137019999999997</v>
      </c>
      <c r="AC82" s="22">
        <f t="shared" si="349"/>
        <v>0.27091610999999999</v>
      </c>
      <c r="AD82" s="22">
        <f t="shared" si="349"/>
        <v>0</v>
      </c>
      <c r="AE82" s="22">
        <f t="shared" si="349"/>
        <v>0</v>
      </c>
      <c r="AF82" s="22">
        <f t="shared" si="349"/>
        <v>0</v>
      </c>
      <c r="AG82" s="22">
        <f t="shared" si="349"/>
        <v>0</v>
      </c>
      <c r="AH82" s="22">
        <f t="shared" si="349"/>
        <v>0.2844619155</v>
      </c>
      <c r="AI82" s="22">
        <f t="shared" si="349"/>
        <v>0.29868501127500002</v>
      </c>
      <c r="AJ82" s="22">
        <f t="shared" si="349"/>
        <v>0.31361926183875</v>
      </c>
      <c r="AK82" s="22">
        <f t="shared" si="349"/>
        <v>0.32930022493068756</v>
      </c>
      <c r="AL82" s="22">
        <f t="shared" si="349"/>
        <v>0.34576523617722194</v>
      </c>
      <c r="AM82" s="22">
        <f t="shared" si="349"/>
        <v>0.36305349798608305</v>
      </c>
      <c r="AN82" s="22">
        <f t="shared" si="349"/>
        <v>0.38120617288538716</v>
      </c>
      <c r="AO82" s="22">
        <f t="shared" si="349"/>
        <v>0.4002664815296566</v>
      </c>
      <c r="AP82" s="22">
        <f t="shared" si="349"/>
        <v>0.40827181116024969</v>
      </c>
      <c r="AQ82" s="22">
        <f t="shared" si="349"/>
        <v>0.41643724738345478</v>
      </c>
      <c r="AR82" s="22">
        <f t="shared" si="349"/>
        <v>0.42476599233112383</v>
      </c>
      <c r="AS82" s="22">
        <f t="shared" si="349"/>
        <v>0.43326131217774633</v>
      </c>
      <c r="AT82" s="22">
        <f t="shared" si="349"/>
        <v>0.4419265384213012</v>
      </c>
      <c r="AU82" s="22">
        <f t="shared" si="349"/>
        <v>0.45076506918972725</v>
      </c>
      <c r="AV82" s="22">
        <f t="shared" si="349"/>
        <v>0.45978037057352183</v>
      </c>
      <c r="AW82" s="22">
        <f t="shared" si="349"/>
        <v>0.4689759779849923</v>
      </c>
      <c r="AX82" s="22">
        <f t="shared" si="349"/>
        <v>0.47835549754469214</v>
      </c>
      <c r="AY82" s="22">
        <f t="shared" si="349"/>
        <v>0.48792260749558591</v>
      </c>
      <c r="AZ82" s="22">
        <f t="shared" si="349"/>
        <v>0.49768105964549769</v>
      </c>
      <c r="BA82" s="22">
        <f t="shared" si="349"/>
        <v>0.50763468083840768</v>
      </c>
      <c r="BB82" s="22">
        <f t="shared" si="349"/>
        <v>0.51778737445517575</v>
      </c>
      <c r="BC82" s="22">
        <f t="shared" si="349"/>
        <v>0.52814312194427926</v>
      </c>
      <c r="BD82" s="22">
        <f t="shared" si="349"/>
        <v>0.53870598438316486</v>
      </c>
      <c r="BE82" s="22">
        <f t="shared" si="349"/>
        <v>0.54948010407082826</v>
      </c>
      <c r="BF82" s="22">
        <f t="shared" si="349"/>
        <v>0.56046970615224478</v>
      </c>
      <c r="BG82" s="22">
        <f t="shared" si="349"/>
        <v>0.57167910027528968</v>
      </c>
      <c r="BH82" s="22">
        <f t="shared" si="349"/>
        <v>0.5831126822807956</v>
      </c>
      <c r="BI82" s="22">
        <f t="shared" si="349"/>
        <v>0.59477493592641151</v>
      </c>
      <c r="BJ82" s="22">
        <f t="shared" si="349"/>
        <v>0.60667043464493975</v>
      </c>
      <c r="BK82" s="22">
        <f t="shared" si="349"/>
        <v>0.61880384333783855</v>
      </c>
      <c r="BL82" s="22">
        <f t="shared" si="349"/>
        <v>0.63117992020459535</v>
      </c>
      <c r="BM82" s="22">
        <f t="shared" si="349"/>
        <v>0.64380351860868734</v>
      </c>
      <c r="BN82" s="22">
        <f t="shared" si="349"/>
        <v>0.6566795889808611</v>
      </c>
      <c r="BO82" s="22">
        <f t="shared" si="349"/>
        <v>0.66981318076047824</v>
      </c>
      <c r="BP82" s="22">
        <f t="shared" si="349"/>
        <v>0.68320944437568776</v>
      </c>
      <c r="BQ82" s="22">
        <f t="shared" si="349"/>
        <v>0.69687363326320151</v>
      </c>
      <c r="BR82" s="22">
        <f t="shared" si="349"/>
        <v>0.71081110592846553</v>
      </c>
      <c r="BS82" s="22">
        <f t="shared" si="349"/>
        <v>0.72502732804703485</v>
      </c>
      <c r="BT82" s="22">
        <f t="shared" si="349"/>
        <v>0.73952787460797553</v>
      </c>
      <c r="BU82" s="22">
        <f t="shared" si="349"/>
        <v>0.75431843210013505</v>
      </c>
      <c r="BV82" s="22">
        <f t="shared" si="349"/>
        <v>0.76940480074213791</v>
      </c>
      <c r="BW82" s="22">
        <f t="shared" si="349"/>
        <v>0.78479289675698061</v>
      </c>
      <c r="BX82" s="22">
        <f t="shared" si="349"/>
        <v>0.80048875469212033</v>
      </c>
      <c r="BY82" s="22">
        <f t="shared" si="349"/>
        <v>0.81649852978596271</v>
      </c>
      <c r="BZ82" s="22">
        <f t="shared" si="349"/>
        <v>0.83282850038168199</v>
      </c>
      <c r="CA82" s="22">
        <f t="shared" si="349"/>
        <v>0.84948507038931553</v>
      </c>
      <c r="CB82" s="22">
        <f t="shared" si="349"/>
        <v>0.86647477179710186</v>
      </c>
      <c r="CC82" s="22">
        <f t="shared" si="349"/>
        <v>0.88380426723304395</v>
      </c>
      <c r="CD82" s="22">
        <f t="shared" si="349"/>
        <v>0.90148035257770476</v>
      </c>
      <c r="CE82" s="22">
        <f t="shared" si="349"/>
        <v>0.91950995962925886</v>
      </c>
      <c r="CF82" s="22">
        <f t="shared" si="349"/>
        <v>0.93790015882184408</v>
      </c>
      <c r="CG82" s="22">
        <f t="shared" si="349"/>
        <v>0.95665816199828102</v>
      </c>
      <c r="CH82" s="22">
        <f t="shared" si="349"/>
        <v>0.97579132523824663</v>
      </c>
      <c r="CI82" s="22">
        <f t="shared" si="349"/>
        <v>0.99530715174301165</v>
      </c>
      <c r="CJ82" s="22">
        <f t="shared" si="349"/>
        <v>1.0152132947778718</v>
      </c>
      <c r="CK82" s="22">
        <f t="shared" si="349"/>
        <v>1.0355175606734293</v>
      </c>
      <c r="CM82" s="10">
        <f t="shared" si="307"/>
        <v>0</v>
      </c>
      <c r="CN82" s="10">
        <f t="shared" si="307"/>
        <v>19.182257280000002</v>
      </c>
      <c r="CO82" s="10">
        <f t="shared" si="307"/>
        <v>2.7163578021227863</v>
      </c>
      <c r="CP82" s="10">
        <f t="shared" si="307"/>
        <v>5.4757781647463002</v>
      </c>
      <c r="CQ82" s="10">
        <f t="shared" si="307"/>
        <v>6.9446107262842522</v>
      </c>
      <c r="CR82" s="10">
        <f t="shared" si="308"/>
        <v>8.8074455700410397</v>
      </c>
      <c r="CS82" s="10">
        <f t="shared" si="308"/>
        <v>11.169970575260791</v>
      </c>
    </row>
    <row r="83" spans="2:97" outlineLevel="1" x14ac:dyDescent="0.2">
      <c r="B83" s="92" t="s">
        <v>45</v>
      </c>
      <c r="C83" s="91" t="s">
        <v>39</v>
      </c>
      <c r="D83" s="229">
        <v>4.4999999999999998E-2</v>
      </c>
      <c r="F83" s="22">
        <f t="shared" ref="F83:K83" si="350">F$39*$D83</f>
        <v>0</v>
      </c>
      <c r="G83" s="22">
        <f t="shared" si="350"/>
        <v>0</v>
      </c>
      <c r="H83" s="22">
        <f t="shared" si="350"/>
        <v>0</v>
      </c>
      <c r="I83" s="22">
        <f t="shared" si="350"/>
        <v>0</v>
      </c>
      <c r="J83" s="22">
        <f t="shared" si="350"/>
        <v>0</v>
      </c>
      <c r="K83" s="22">
        <f t="shared" si="350"/>
        <v>0</v>
      </c>
      <c r="L83" s="22">
        <f>L$39*$D83</f>
        <v>0</v>
      </c>
      <c r="M83" s="22">
        <f t="shared" ref="M83:CK83" si="351">M$39*$D83</f>
        <v>0</v>
      </c>
      <c r="N83" s="22"/>
      <c r="O83" s="22"/>
      <c r="P83" s="22"/>
      <c r="Q83" s="22"/>
      <c r="R83" s="22"/>
      <c r="S83" s="22"/>
      <c r="T83" s="22"/>
      <c r="U83" s="22"/>
      <c r="V83" s="22"/>
      <c r="W83" s="22"/>
      <c r="X83" s="22">
        <f t="shared" si="351"/>
        <v>41.702728950000001</v>
      </c>
      <c r="Y83" s="22">
        <f t="shared" si="351"/>
        <v>26.033095799999998</v>
      </c>
      <c r="Z83" s="22">
        <f t="shared" si="351"/>
        <v>13.827559050000001</v>
      </c>
      <c r="AA83" s="22">
        <f t="shared" si="351"/>
        <v>11.83647105</v>
      </c>
      <c r="AB83" s="22">
        <f t="shared" si="351"/>
        <v>1.1568509999999999</v>
      </c>
      <c r="AC83" s="22">
        <f t="shared" si="351"/>
        <v>1.3545805500000001</v>
      </c>
      <c r="AD83" s="22">
        <f t="shared" si="351"/>
        <v>0</v>
      </c>
      <c r="AE83" s="22">
        <f t="shared" si="351"/>
        <v>0</v>
      </c>
      <c r="AF83" s="22">
        <f t="shared" si="351"/>
        <v>0</v>
      </c>
      <c r="AG83" s="22">
        <f t="shared" si="351"/>
        <v>0</v>
      </c>
      <c r="AH83" s="22">
        <f t="shared" si="351"/>
        <v>1.4223095775000001</v>
      </c>
      <c r="AI83" s="22">
        <f t="shared" si="351"/>
        <v>1.493425056375</v>
      </c>
      <c r="AJ83" s="22">
        <f t="shared" si="351"/>
        <v>1.5680963091937501</v>
      </c>
      <c r="AK83" s="22">
        <f t="shared" si="351"/>
        <v>1.6465011246534378</v>
      </c>
      <c r="AL83" s="22">
        <f t="shared" si="351"/>
        <v>1.7288261808861096</v>
      </c>
      <c r="AM83" s="22">
        <f t="shared" si="351"/>
        <v>1.8152674899304153</v>
      </c>
      <c r="AN83" s="22">
        <f t="shared" si="351"/>
        <v>1.9060308644269359</v>
      </c>
      <c r="AO83" s="22">
        <f t="shared" si="351"/>
        <v>2.0013324076482832</v>
      </c>
      <c r="AP83" s="22">
        <f t="shared" si="351"/>
        <v>2.0413590558012484</v>
      </c>
      <c r="AQ83" s="22">
        <f t="shared" si="351"/>
        <v>2.0821862369172739</v>
      </c>
      <c r="AR83" s="22">
        <f t="shared" si="351"/>
        <v>2.1238299616556193</v>
      </c>
      <c r="AS83" s="22">
        <f t="shared" si="351"/>
        <v>2.166306560888732</v>
      </c>
      <c r="AT83" s="22">
        <f t="shared" si="351"/>
        <v>2.2096326921065059</v>
      </c>
      <c r="AU83" s="22">
        <f t="shared" si="351"/>
        <v>2.2538253459486364</v>
      </c>
      <c r="AV83" s="22">
        <f t="shared" si="351"/>
        <v>2.2989018528676093</v>
      </c>
      <c r="AW83" s="22">
        <f t="shared" si="351"/>
        <v>2.3448798899249614</v>
      </c>
      <c r="AX83" s="22">
        <f t="shared" si="351"/>
        <v>2.3917774877234605</v>
      </c>
      <c r="AY83" s="22">
        <f t="shared" si="351"/>
        <v>2.4396130374779297</v>
      </c>
      <c r="AZ83" s="22">
        <f t="shared" si="351"/>
        <v>2.4884052982274887</v>
      </c>
      <c r="BA83" s="22">
        <f t="shared" si="351"/>
        <v>2.5381734041920385</v>
      </c>
      <c r="BB83" s="22">
        <f t="shared" si="351"/>
        <v>2.588936872275879</v>
      </c>
      <c r="BC83" s="22">
        <f t="shared" si="351"/>
        <v>2.6407156097213966</v>
      </c>
      <c r="BD83" s="22">
        <f t="shared" si="351"/>
        <v>2.6935299219158244</v>
      </c>
      <c r="BE83" s="22">
        <f t="shared" si="351"/>
        <v>2.747400520354141</v>
      </c>
      <c r="BF83" s="22">
        <f t="shared" si="351"/>
        <v>2.8023485307612241</v>
      </c>
      <c r="BG83" s="22">
        <f t="shared" si="351"/>
        <v>2.8583955013764486</v>
      </c>
      <c r="BH83" s="22">
        <f t="shared" si="351"/>
        <v>2.9155634114039781</v>
      </c>
      <c r="BI83" s="22">
        <f t="shared" si="351"/>
        <v>2.9738746796320576</v>
      </c>
      <c r="BJ83" s="22">
        <f t="shared" si="351"/>
        <v>3.0333521732246993</v>
      </c>
      <c r="BK83" s="22">
        <f t="shared" si="351"/>
        <v>3.0940192166891931</v>
      </c>
      <c r="BL83" s="22">
        <f t="shared" si="351"/>
        <v>3.155899601022977</v>
      </c>
      <c r="BM83" s="22">
        <f t="shared" si="351"/>
        <v>3.2190175930434366</v>
      </c>
      <c r="BN83" s="22">
        <f t="shared" si="351"/>
        <v>3.2833979449043054</v>
      </c>
      <c r="BO83" s="22">
        <f t="shared" si="351"/>
        <v>3.3490659038023911</v>
      </c>
      <c r="BP83" s="22">
        <f t="shared" si="351"/>
        <v>3.4160472218784386</v>
      </c>
      <c r="BQ83" s="22">
        <f t="shared" si="351"/>
        <v>3.4843681663160075</v>
      </c>
      <c r="BR83" s="22">
        <f t="shared" si="351"/>
        <v>3.5540555296423277</v>
      </c>
      <c r="BS83" s="22">
        <f t="shared" si="351"/>
        <v>3.6251366402351746</v>
      </c>
      <c r="BT83" s="22">
        <f t="shared" si="351"/>
        <v>3.6976393730398778</v>
      </c>
      <c r="BU83" s="22">
        <f t="shared" si="351"/>
        <v>3.7715921605006755</v>
      </c>
      <c r="BV83" s="22">
        <f t="shared" si="351"/>
        <v>3.8470240037106898</v>
      </c>
      <c r="BW83" s="22">
        <f t="shared" si="351"/>
        <v>3.9239644837849035</v>
      </c>
      <c r="BX83" s="22">
        <f t="shared" si="351"/>
        <v>4.0024437734606018</v>
      </c>
      <c r="BY83" s="22">
        <f t="shared" si="351"/>
        <v>4.0824926489298132</v>
      </c>
      <c r="BZ83" s="22">
        <f t="shared" si="351"/>
        <v>4.16414250190841</v>
      </c>
      <c r="CA83" s="22">
        <f t="shared" si="351"/>
        <v>4.2474253519465783</v>
      </c>
      <c r="CB83" s="22">
        <f t="shared" si="351"/>
        <v>4.3323738589855099</v>
      </c>
      <c r="CC83" s="22">
        <f t="shared" si="351"/>
        <v>4.41902133616522</v>
      </c>
      <c r="CD83" s="22">
        <f t="shared" si="351"/>
        <v>4.5074017628885246</v>
      </c>
      <c r="CE83" s="22">
        <f t="shared" si="351"/>
        <v>4.5975497981462947</v>
      </c>
      <c r="CF83" s="22">
        <f t="shared" si="351"/>
        <v>4.6895007941092199</v>
      </c>
      <c r="CG83" s="22">
        <f t="shared" si="351"/>
        <v>4.7832908099914055</v>
      </c>
      <c r="CH83" s="22">
        <f t="shared" si="351"/>
        <v>4.8789566261912336</v>
      </c>
      <c r="CI83" s="22">
        <f t="shared" si="351"/>
        <v>4.976535758715058</v>
      </c>
      <c r="CJ83" s="22">
        <f t="shared" si="351"/>
        <v>5.0760664738893597</v>
      </c>
      <c r="CK83" s="22">
        <f t="shared" si="351"/>
        <v>5.1775878033671461</v>
      </c>
      <c r="CM83" s="10">
        <f t="shared" si="307"/>
        <v>0</v>
      </c>
      <c r="CN83" s="10">
        <f t="shared" si="307"/>
        <v>95.911286400000009</v>
      </c>
      <c r="CO83" s="10">
        <f t="shared" si="307"/>
        <v>13.581789010613932</v>
      </c>
      <c r="CP83" s="10">
        <f t="shared" si="307"/>
        <v>27.378890823731503</v>
      </c>
      <c r="CQ83" s="10">
        <f t="shared" si="307"/>
        <v>34.723053631421251</v>
      </c>
      <c r="CR83" s="10">
        <f t="shared" si="308"/>
        <v>44.037227850205198</v>
      </c>
      <c r="CS83" s="10">
        <f t="shared" si="308"/>
        <v>55.849852876303963</v>
      </c>
    </row>
    <row r="84" spans="2:97" x14ac:dyDescent="0.2">
      <c r="B84" s="20" t="s">
        <v>6</v>
      </c>
      <c r="C84" s="23" t="s">
        <v>4</v>
      </c>
      <c r="D84" s="23"/>
      <c r="F84" s="24">
        <f t="shared" ref="F84:K84" si="352">SUM(F80:F83)</f>
        <v>0</v>
      </c>
      <c r="G84" s="24">
        <f t="shared" si="352"/>
        <v>0</v>
      </c>
      <c r="H84" s="24">
        <f t="shared" si="352"/>
        <v>0</v>
      </c>
      <c r="I84" s="24">
        <f t="shared" si="352"/>
        <v>0</v>
      </c>
      <c r="J84" s="24">
        <f t="shared" si="352"/>
        <v>0</v>
      </c>
      <c r="K84" s="24">
        <f t="shared" si="352"/>
        <v>0</v>
      </c>
      <c r="L84" s="24">
        <f>SUM(L80:L83)</f>
        <v>0</v>
      </c>
      <c r="M84" s="24">
        <f t="shared" ref="M84:BU84" si="353">SUM(M80:M83)</f>
        <v>0</v>
      </c>
      <c r="N84" s="24">
        <f t="shared" si="353"/>
        <v>0</v>
      </c>
      <c r="O84" s="24">
        <f t="shared" si="353"/>
        <v>0</v>
      </c>
      <c r="P84" s="24">
        <f t="shared" si="353"/>
        <v>0</v>
      </c>
      <c r="Q84" s="24">
        <f t="shared" si="353"/>
        <v>0</v>
      </c>
      <c r="R84" s="24">
        <v>0</v>
      </c>
      <c r="S84" s="24">
        <v>0</v>
      </c>
      <c r="T84" s="24">
        <v>0</v>
      </c>
      <c r="U84" s="24">
        <v>8</v>
      </c>
      <c r="V84" s="24">
        <v>6</v>
      </c>
      <c r="W84" s="24">
        <v>38</v>
      </c>
      <c r="X84" s="24">
        <f t="shared" si="353"/>
        <v>80.043274740000001</v>
      </c>
      <c r="Y84" s="24">
        <f t="shared" si="353"/>
        <v>61.239714960000001</v>
      </c>
      <c r="Z84" s="24">
        <f t="shared" si="353"/>
        <v>51.593070859999997</v>
      </c>
      <c r="AA84" s="24">
        <f t="shared" si="353"/>
        <v>49.203765259999997</v>
      </c>
      <c r="AB84" s="24">
        <f t="shared" si="353"/>
        <v>36.388221200000004</v>
      </c>
      <c r="AC84" s="24">
        <f t="shared" si="353"/>
        <v>36.625496660000003</v>
      </c>
      <c r="AD84" s="24">
        <f t="shared" si="353"/>
        <v>35</v>
      </c>
      <c r="AE84" s="24">
        <f t="shared" si="353"/>
        <v>50</v>
      </c>
      <c r="AF84" s="24">
        <f t="shared" si="353"/>
        <v>50</v>
      </c>
      <c r="AG84" s="24">
        <f t="shared" si="353"/>
        <v>50</v>
      </c>
      <c r="AH84" s="24">
        <f t="shared" si="353"/>
        <v>51.706771493000005</v>
      </c>
      <c r="AI84" s="24">
        <f t="shared" si="353"/>
        <v>51.79211006765</v>
      </c>
      <c r="AJ84" s="24">
        <f t="shared" si="353"/>
        <v>41.881715571032501</v>
      </c>
      <c r="AK84" s="24">
        <f t="shared" si="353"/>
        <v>41.975801349584131</v>
      </c>
      <c r="AL84" s="24">
        <f t="shared" si="353"/>
        <v>42.074591417063331</v>
      </c>
      <c r="AM84" s="24">
        <f t="shared" si="353"/>
        <v>42.178320987916493</v>
      </c>
      <c r="AN84" s="24">
        <f t="shared" si="353"/>
        <v>42.287237037312323</v>
      </c>
      <c r="AO84" s="24">
        <f t="shared" si="353"/>
        <v>42.40159888917794</v>
      </c>
      <c r="AP84" s="24">
        <f t="shared" si="353"/>
        <v>42.449630866961499</v>
      </c>
      <c r="AQ84" s="24">
        <f t="shared" si="353"/>
        <v>42.49862348430073</v>
      </c>
      <c r="AR84" s="24">
        <f t="shared" si="353"/>
        <v>42.548595953986741</v>
      </c>
      <c r="AS84" s="24">
        <f t="shared" si="353"/>
        <v>42.599567873066484</v>
      </c>
      <c r="AT84" s="24">
        <f t="shared" si="353"/>
        <v>42.651559230527802</v>
      </c>
      <c r="AU84" s="24">
        <f t="shared" si="353"/>
        <v>42.704590415138362</v>
      </c>
      <c r="AV84" s="24">
        <f t="shared" si="353"/>
        <v>42.758682223441127</v>
      </c>
      <c r="AW84" s="24">
        <f t="shared" si="353"/>
        <v>42.81385586790995</v>
      </c>
      <c r="AX84" s="24">
        <f t="shared" si="353"/>
        <v>47.87013298526815</v>
      </c>
      <c r="AY84" s="24">
        <f t="shared" si="353"/>
        <v>47.927535644973517</v>
      </c>
      <c r="AZ84" s="24">
        <f t="shared" si="353"/>
        <v>47.986086357872992</v>
      </c>
      <c r="BA84" s="24">
        <f t="shared" si="353"/>
        <v>48.045808085030444</v>
      </c>
      <c r="BB84" s="24">
        <f t="shared" si="353"/>
        <v>48.106724246731055</v>
      </c>
      <c r="BC84" s="24">
        <f t="shared" si="353"/>
        <v>48.168858731665679</v>
      </c>
      <c r="BD84" s="24">
        <f t="shared" si="353"/>
        <v>48.232235906298989</v>
      </c>
      <c r="BE84" s="24">
        <f t="shared" si="353"/>
        <v>48.296880624424972</v>
      </c>
      <c r="BF84" s="24">
        <f t="shared" si="353"/>
        <v>48.362818236913469</v>
      </c>
      <c r="BG84" s="24">
        <f t="shared" si="353"/>
        <v>48.430074601651739</v>
      </c>
      <c r="BH84" s="24">
        <f t="shared" si="353"/>
        <v>48.498676093684779</v>
      </c>
      <c r="BI84" s="24">
        <f t="shared" si="353"/>
        <v>48.568649615558471</v>
      </c>
      <c r="BJ84" s="24">
        <f t="shared" si="353"/>
        <v>48.640022607869639</v>
      </c>
      <c r="BK84" s="24">
        <f t="shared" si="353"/>
        <v>48.712823060027027</v>
      </c>
      <c r="BL84" s="24">
        <f t="shared" si="353"/>
        <v>48.787079521227568</v>
      </c>
      <c r="BM84" s="24">
        <f t="shared" si="353"/>
        <v>48.862821111652124</v>
      </c>
      <c r="BN84" s="24">
        <f t="shared" si="353"/>
        <v>48.940077533885173</v>
      </c>
      <c r="BO84" s="24">
        <f t="shared" si="353"/>
        <v>49.018879084562869</v>
      </c>
      <c r="BP84" s="24">
        <f t="shared" si="353"/>
        <v>49.099256666254121</v>
      </c>
      <c r="BQ84" s="24">
        <f t="shared" si="353"/>
        <v>49.181241799579212</v>
      </c>
      <c r="BR84" s="24">
        <f t="shared" si="353"/>
        <v>49.26486663557079</v>
      </c>
      <c r="BS84" s="24">
        <f t="shared" si="353"/>
        <v>49.35016396828221</v>
      </c>
      <c r="BT84" s="24">
        <f t="shared" si="353"/>
        <v>49.437167247647849</v>
      </c>
      <c r="BU84" s="24">
        <f t="shared" si="353"/>
        <v>49.525910592600809</v>
      </c>
      <c r="BV84" s="24">
        <f t="shared" ref="BV84:BX84" si="354">SUM(BV80:BV83)</f>
        <v>49.616428804452823</v>
      </c>
      <c r="BW84" s="24">
        <f t="shared" si="354"/>
        <v>49.708757380541883</v>
      </c>
      <c r="BX84" s="24">
        <f t="shared" si="354"/>
        <v>49.802932528152724</v>
      </c>
      <c r="BY84" s="24">
        <f t="shared" ref="BY84:CK84" si="355">SUM(BY80:BY83)</f>
        <v>49.898991178715775</v>
      </c>
      <c r="BZ84" s="24">
        <f t="shared" si="355"/>
        <v>49.996971002290088</v>
      </c>
      <c r="CA84" s="24">
        <f t="shared" si="355"/>
        <v>50.096910422335895</v>
      </c>
      <c r="CB84" s="24">
        <f t="shared" si="355"/>
        <v>50.198848630782614</v>
      </c>
      <c r="CC84" s="24">
        <f t="shared" si="355"/>
        <v>50.302825603398269</v>
      </c>
      <c r="CD84" s="24">
        <f t="shared" si="355"/>
        <v>50.408882115466234</v>
      </c>
      <c r="CE84" s="24">
        <f t="shared" si="355"/>
        <v>50.517059757775556</v>
      </c>
      <c r="CF84" s="24">
        <f t="shared" si="355"/>
        <v>50.627400952931069</v>
      </c>
      <c r="CG84" s="24">
        <f t="shared" si="355"/>
        <v>50.739948971989691</v>
      </c>
      <c r="CH84" s="24">
        <f t="shared" si="355"/>
        <v>50.854747951429481</v>
      </c>
      <c r="CI84" s="24">
        <f t="shared" si="355"/>
        <v>50.971842910458072</v>
      </c>
      <c r="CJ84" s="24">
        <f t="shared" si="355"/>
        <v>51.091279768667235</v>
      </c>
      <c r="CK84" s="24">
        <f t="shared" si="355"/>
        <v>51.213105364040572</v>
      </c>
      <c r="CM84" s="24">
        <f t="shared" si="307"/>
        <v>0</v>
      </c>
      <c r="CN84" s="24">
        <f t="shared" si="307"/>
        <v>367.0935436800001</v>
      </c>
      <c r="CO84" s="24">
        <f t="shared" si="307"/>
        <v>541.29814681273672</v>
      </c>
      <c r="CP84" s="24">
        <f t="shared" si="307"/>
        <v>532.85466898847778</v>
      </c>
      <c r="CQ84" s="24">
        <f t="shared" si="307"/>
        <v>581.66766435770546</v>
      </c>
      <c r="CR84" s="24">
        <f t="shared" si="308"/>
        <v>592.84467342024618</v>
      </c>
      <c r="CS84" s="24">
        <f t="shared" si="308"/>
        <v>607.01982345156478</v>
      </c>
    </row>
    <row r="87" spans="2:97" x14ac:dyDescent="0.2">
      <c r="B87" s="12" t="s">
        <v>67</v>
      </c>
    </row>
    <row r="88" spans="2:97" x14ac:dyDescent="0.2">
      <c r="B88" s="200" t="s">
        <v>1</v>
      </c>
      <c r="C88" s="200" t="s">
        <v>2</v>
      </c>
      <c r="D88" s="102" t="s">
        <v>38</v>
      </c>
      <c r="F88" s="201">
        <f t="shared" ref="F88:K88" si="356">F79</f>
        <v>45292</v>
      </c>
      <c r="G88" s="201">
        <f t="shared" si="356"/>
        <v>45323</v>
      </c>
      <c r="H88" s="201">
        <f t="shared" si="356"/>
        <v>45352</v>
      </c>
      <c r="I88" s="201">
        <f t="shared" si="356"/>
        <v>45383</v>
      </c>
      <c r="J88" s="201">
        <f t="shared" si="356"/>
        <v>45413</v>
      </c>
      <c r="K88" s="201">
        <f t="shared" si="356"/>
        <v>45444</v>
      </c>
      <c r="L88" s="201">
        <f>L79</f>
        <v>45474</v>
      </c>
      <c r="M88" s="201">
        <f t="shared" ref="M88:BU88" si="357">M79</f>
        <v>45505</v>
      </c>
      <c r="N88" s="201">
        <f t="shared" si="357"/>
        <v>45536</v>
      </c>
      <c r="O88" s="201">
        <f t="shared" si="357"/>
        <v>45566</v>
      </c>
      <c r="P88" s="201">
        <f t="shared" si="357"/>
        <v>45597</v>
      </c>
      <c r="Q88" s="201">
        <f t="shared" si="357"/>
        <v>45627</v>
      </c>
      <c r="R88" s="201">
        <f t="shared" si="357"/>
        <v>45658</v>
      </c>
      <c r="S88" s="201">
        <f t="shared" si="357"/>
        <v>45689</v>
      </c>
      <c r="T88" s="201">
        <f t="shared" si="357"/>
        <v>45717</v>
      </c>
      <c r="U88" s="201">
        <f t="shared" si="357"/>
        <v>45748</v>
      </c>
      <c r="V88" s="201">
        <f t="shared" si="357"/>
        <v>45778</v>
      </c>
      <c r="W88" s="201">
        <f t="shared" si="357"/>
        <v>45809</v>
      </c>
      <c r="X88" s="201">
        <f t="shared" si="357"/>
        <v>45839</v>
      </c>
      <c r="Y88" s="201">
        <f t="shared" si="357"/>
        <v>45870</v>
      </c>
      <c r="Z88" s="201">
        <f t="shared" si="357"/>
        <v>45901</v>
      </c>
      <c r="AA88" s="201">
        <f t="shared" si="357"/>
        <v>45931</v>
      </c>
      <c r="AB88" s="201">
        <f t="shared" si="357"/>
        <v>45962</v>
      </c>
      <c r="AC88" s="201">
        <f t="shared" si="357"/>
        <v>45992</v>
      </c>
      <c r="AD88" s="201">
        <f t="shared" si="357"/>
        <v>46023</v>
      </c>
      <c r="AE88" s="201">
        <f t="shared" si="357"/>
        <v>46054</v>
      </c>
      <c r="AF88" s="201">
        <f t="shared" si="357"/>
        <v>46082</v>
      </c>
      <c r="AG88" s="201">
        <f t="shared" si="357"/>
        <v>46113</v>
      </c>
      <c r="AH88" s="201">
        <f t="shared" si="357"/>
        <v>46143</v>
      </c>
      <c r="AI88" s="201">
        <f t="shared" si="357"/>
        <v>46174</v>
      </c>
      <c r="AJ88" s="201">
        <f t="shared" si="357"/>
        <v>46204</v>
      </c>
      <c r="AK88" s="201">
        <f t="shared" si="357"/>
        <v>46235</v>
      </c>
      <c r="AL88" s="201">
        <f t="shared" si="357"/>
        <v>46266</v>
      </c>
      <c r="AM88" s="201">
        <f t="shared" si="357"/>
        <v>46296</v>
      </c>
      <c r="AN88" s="201">
        <f t="shared" si="357"/>
        <v>46327</v>
      </c>
      <c r="AO88" s="201">
        <f t="shared" si="357"/>
        <v>46357</v>
      </c>
      <c r="AP88" s="201">
        <f t="shared" si="357"/>
        <v>46388</v>
      </c>
      <c r="AQ88" s="201">
        <f t="shared" si="357"/>
        <v>46419</v>
      </c>
      <c r="AR88" s="201">
        <f t="shared" si="357"/>
        <v>46447</v>
      </c>
      <c r="AS88" s="201">
        <f t="shared" si="357"/>
        <v>46478</v>
      </c>
      <c r="AT88" s="201">
        <f t="shared" si="357"/>
        <v>46508</v>
      </c>
      <c r="AU88" s="201">
        <f t="shared" si="357"/>
        <v>46539</v>
      </c>
      <c r="AV88" s="201">
        <f t="shared" si="357"/>
        <v>46569</v>
      </c>
      <c r="AW88" s="201">
        <f t="shared" si="357"/>
        <v>46600</v>
      </c>
      <c r="AX88" s="201">
        <f t="shared" si="357"/>
        <v>46631</v>
      </c>
      <c r="AY88" s="201">
        <f t="shared" si="357"/>
        <v>46661</v>
      </c>
      <c r="AZ88" s="201">
        <f t="shared" si="357"/>
        <v>46692</v>
      </c>
      <c r="BA88" s="201">
        <f t="shared" si="357"/>
        <v>46722</v>
      </c>
      <c r="BB88" s="201">
        <f t="shared" si="357"/>
        <v>46753</v>
      </c>
      <c r="BC88" s="201">
        <f t="shared" si="357"/>
        <v>46784</v>
      </c>
      <c r="BD88" s="201">
        <f t="shared" si="357"/>
        <v>46813</v>
      </c>
      <c r="BE88" s="201">
        <f t="shared" si="357"/>
        <v>46844</v>
      </c>
      <c r="BF88" s="201">
        <f t="shared" si="357"/>
        <v>46874</v>
      </c>
      <c r="BG88" s="201">
        <f t="shared" si="357"/>
        <v>46905</v>
      </c>
      <c r="BH88" s="201">
        <f t="shared" si="357"/>
        <v>46935</v>
      </c>
      <c r="BI88" s="201">
        <f t="shared" si="357"/>
        <v>46966</v>
      </c>
      <c r="BJ88" s="201">
        <f t="shared" si="357"/>
        <v>46997</v>
      </c>
      <c r="BK88" s="201">
        <f t="shared" si="357"/>
        <v>47027</v>
      </c>
      <c r="BL88" s="201">
        <f t="shared" si="357"/>
        <v>47058</v>
      </c>
      <c r="BM88" s="201">
        <f t="shared" si="357"/>
        <v>47088</v>
      </c>
      <c r="BN88" s="201">
        <f t="shared" si="357"/>
        <v>47119</v>
      </c>
      <c r="BO88" s="201">
        <f t="shared" si="357"/>
        <v>47150</v>
      </c>
      <c r="BP88" s="201">
        <f t="shared" si="357"/>
        <v>47178</v>
      </c>
      <c r="BQ88" s="201">
        <f t="shared" si="357"/>
        <v>47209</v>
      </c>
      <c r="BR88" s="201">
        <f t="shared" si="357"/>
        <v>47239</v>
      </c>
      <c r="BS88" s="201">
        <f t="shared" si="357"/>
        <v>47270</v>
      </c>
      <c r="BT88" s="201">
        <f t="shared" si="357"/>
        <v>47300</v>
      </c>
      <c r="BU88" s="201">
        <f t="shared" si="357"/>
        <v>47331</v>
      </c>
      <c r="BV88" s="201">
        <f t="shared" ref="BV88:BX88" si="358">BV79</f>
        <v>47362</v>
      </c>
      <c r="BW88" s="201">
        <f t="shared" si="358"/>
        <v>47392</v>
      </c>
      <c r="BX88" s="201">
        <f t="shared" si="358"/>
        <v>47423</v>
      </c>
      <c r="BY88" s="201">
        <f t="shared" ref="BY88:CK88" si="359">BY79</f>
        <v>47453</v>
      </c>
      <c r="BZ88" s="201">
        <f t="shared" si="359"/>
        <v>47484</v>
      </c>
      <c r="CA88" s="201">
        <f t="shared" si="359"/>
        <v>47515</v>
      </c>
      <c r="CB88" s="201">
        <f t="shared" si="359"/>
        <v>47543</v>
      </c>
      <c r="CC88" s="201">
        <f t="shared" si="359"/>
        <v>47574</v>
      </c>
      <c r="CD88" s="201">
        <f t="shared" si="359"/>
        <v>47604</v>
      </c>
      <c r="CE88" s="201">
        <f t="shared" si="359"/>
        <v>47635</v>
      </c>
      <c r="CF88" s="201">
        <f t="shared" si="359"/>
        <v>47665</v>
      </c>
      <c r="CG88" s="201">
        <f t="shared" si="359"/>
        <v>47696</v>
      </c>
      <c r="CH88" s="201">
        <f t="shared" si="359"/>
        <v>47727</v>
      </c>
      <c r="CI88" s="201">
        <f t="shared" si="359"/>
        <v>47757</v>
      </c>
      <c r="CJ88" s="201">
        <f t="shared" si="359"/>
        <v>47788</v>
      </c>
      <c r="CK88" s="201">
        <f t="shared" si="359"/>
        <v>47818</v>
      </c>
      <c r="CM88" s="202">
        <v>2024</v>
      </c>
      <c r="CN88" s="202">
        <f>CM88+1</f>
        <v>2025</v>
      </c>
      <c r="CO88" s="202">
        <f t="shared" ref="CO88" si="360">CN88+1</f>
        <v>2026</v>
      </c>
      <c r="CP88" s="202">
        <f t="shared" ref="CP88" si="361">CO88+1</f>
        <v>2027</v>
      </c>
      <c r="CQ88" s="202">
        <f t="shared" ref="CQ88" si="362">CP88+1</f>
        <v>2028</v>
      </c>
      <c r="CR88" s="202">
        <f t="shared" ref="CR88" si="363">CQ88+1</f>
        <v>2029</v>
      </c>
      <c r="CS88" s="202">
        <f t="shared" ref="CS88" si="364">CR88+1</f>
        <v>2030</v>
      </c>
    </row>
    <row r="89" spans="2:97" outlineLevel="1" x14ac:dyDescent="0.2">
      <c r="B89" s="92" t="s">
        <v>47</v>
      </c>
      <c r="C89" s="97" t="s">
        <v>4</v>
      </c>
      <c r="D89" s="9"/>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f t="shared" ref="CM89:CS91" si="365">SUMIF($L$2:$CK$2,CM$3,$L89:$CK89)</f>
        <v>0</v>
      </c>
      <c r="CN89" s="10">
        <f t="shared" si="365"/>
        <v>0</v>
      </c>
      <c r="CO89" s="10">
        <f t="shared" si="365"/>
        <v>0</v>
      </c>
      <c r="CP89" s="10">
        <f t="shared" si="365"/>
        <v>0</v>
      </c>
      <c r="CQ89" s="10">
        <f t="shared" si="365"/>
        <v>0</v>
      </c>
      <c r="CR89" s="10">
        <f t="shared" si="365"/>
        <v>0</v>
      </c>
      <c r="CS89" s="10">
        <f t="shared" si="365"/>
        <v>0</v>
      </c>
    </row>
    <row r="90" spans="2:97" outlineLevel="1" x14ac:dyDescent="0.2">
      <c r="B90" s="92" t="s">
        <v>48</v>
      </c>
      <c r="C90" s="97" t="s">
        <v>4</v>
      </c>
      <c r="D90" s="9"/>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f t="shared" si="365"/>
        <v>0</v>
      </c>
      <c r="CN90" s="10">
        <f t="shared" si="365"/>
        <v>0</v>
      </c>
      <c r="CO90" s="10">
        <f t="shared" si="365"/>
        <v>0</v>
      </c>
      <c r="CP90" s="10">
        <f t="shared" si="365"/>
        <v>0</v>
      </c>
      <c r="CQ90" s="10">
        <f t="shared" si="365"/>
        <v>0</v>
      </c>
      <c r="CR90" s="10">
        <f t="shared" si="365"/>
        <v>0</v>
      </c>
      <c r="CS90" s="10">
        <f t="shared" si="365"/>
        <v>0</v>
      </c>
    </row>
    <row r="91" spans="2:97" x14ac:dyDescent="0.2">
      <c r="B91" s="20" t="s">
        <v>6</v>
      </c>
      <c r="C91" s="23" t="s">
        <v>4</v>
      </c>
      <c r="D91" s="102"/>
      <c r="F91" s="24">
        <f t="shared" ref="F91:AK91" si="366">SUM(F89:F90)</f>
        <v>0</v>
      </c>
      <c r="G91" s="24">
        <f t="shared" si="366"/>
        <v>0</v>
      </c>
      <c r="H91" s="24">
        <f t="shared" si="366"/>
        <v>0</v>
      </c>
      <c r="I91" s="24">
        <f t="shared" si="366"/>
        <v>0</v>
      </c>
      <c r="J91" s="24">
        <f t="shared" si="366"/>
        <v>0</v>
      </c>
      <c r="K91" s="24">
        <f t="shared" si="366"/>
        <v>0</v>
      </c>
      <c r="L91" s="24">
        <f t="shared" si="366"/>
        <v>0</v>
      </c>
      <c r="M91" s="24">
        <f t="shared" si="366"/>
        <v>0</v>
      </c>
      <c r="N91" s="24">
        <f t="shared" si="366"/>
        <v>0</v>
      </c>
      <c r="O91" s="24">
        <f t="shared" si="366"/>
        <v>0</v>
      </c>
      <c r="P91" s="24">
        <f t="shared" si="366"/>
        <v>0</v>
      </c>
      <c r="Q91" s="24">
        <f t="shared" si="366"/>
        <v>0</v>
      </c>
      <c r="R91" s="24">
        <f t="shared" si="366"/>
        <v>0</v>
      </c>
      <c r="S91" s="24">
        <f t="shared" si="366"/>
        <v>0</v>
      </c>
      <c r="T91" s="24">
        <f t="shared" si="366"/>
        <v>0</v>
      </c>
      <c r="U91" s="24">
        <f t="shared" si="366"/>
        <v>0</v>
      </c>
      <c r="V91" s="24">
        <f t="shared" si="366"/>
        <v>0</v>
      </c>
      <c r="W91" s="24">
        <f t="shared" si="366"/>
        <v>0</v>
      </c>
      <c r="X91" s="24">
        <f t="shared" si="366"/>
        <v>0</v>
      </c>
      <c r="Y91" s="24">
        <f t="shared" si="366"/>
        <v>0</v>
      </c>
      <c r="Z91" s="24">
        <f t="shared" si="366"/>
        <v>0</v>
      </c>
      <c r="AA91" s="24">
        <f t="shared" si="366"/>
        <v>0</v>
      </c>
      <c r="AB91" s="24">
        <f t="shared" si="366"/>
        <v>0</v>
      </c>
      <c r="AC91" s="24">
        <f t="shared" si="366"/>
        <v>0</v>
      </c>
      <c r="AD91" s="24">
        <f t="shared" si="366"/>
        <v>0</v>
      </c>
      <c r="AE91" s="24">
        <f t="shared" si="366"/>
        <v>0</v>
      </c>
      <c r="AF91" s="24">
        <f t="shared" si="366"/>
        <v>0</v>
      </c>
      <c r="AG91" s="24">
        <f t="shared" si="366"/>
        <v>0</v>
      </c>
      <c r="AH91" s="24">
        <f t="shared" si="366"/>
        <v>0</v>
      </c>
      <c r="AI91" s="24">
        <f t="shared" si="366"/>
        <v>0</v>
      </c>
      <c r="AJ91" s="24">
        <f t="shared" si="366"/>
        <v>0</v>
      </c>
      <c r="AK91" s="24">
        <f t="shared" si="366"/>
        <v>0</v>
      </c>
      <c r="AL91" s="24">
        <f t="shared" ref="AL91:BQ91" si="367">SUM(AL89:AL90)</f>
        <v>0</v>
      </c>
      <c r="AM91" s="24">
        <f t="shared" si="367"/>
        <v>0</v>
      </c>
      <c r="AN91" s="24">
        <f t="shared" si="367"/>
        <v>0</v>
      </c>
      <c r="AO91" s="24">
        <f t="shared" si="367"/>
        <v>0</v>
      </c>
      <c r="AP91" s="24">
        <f t="shared" si="367"/>
        <v>0</v>
      </c>
      <c r="AQ91" s="24">
        <f t="shared" si="367"/>
        <v>0</v>
      </c>
      <c r="AR91" s="24">
        <f t="shared" si="367"/>
        <v>0</v>
      </c>
      <c r="AS91" s="24">
        <f t="shared" si="367"/>
        <v>0</v>
      </c>
      <c r="AT91" s="24">
        <f t="shared" si="367"/>
        <v>0</v>
      </c>
      <c r="AU91" s="24">
        <f t="shared" si="367"/>
        <v>0</v>
      </c>
      <c r="AV91" s="24">
        <f t="shared" si="367"/>
        <v>0</v>
      </c>
      <c r="AW91" s="24">
        <f t="shared" si="367"/>
        <v>0</v>
      </c>
      <c r="AX91" s="24">
        <f t="shared" si="367"/>
        <v>0</v>
      </c>
      <c r="AY91" s="24">
        <f t="shared" si="367"/>
        <v>0</v>
      </c>
      <c r="AZ91" s="24">
        <f t="shared" si="367"/>
        <v>0</v>
      </c>
      <c r="BA91" s="24">
        <f t="shared" si="367"/>
        <v>0</v>
      </c>
      <c r="BB91" s="24">
        <f t="shared" si="367"/>
        <v>0</v>
      </c>
      <c r="BC91" s="24">
        <f t="shared" si="367"/>
        <v>0</v>
      </c>
      <c r="BD91" s="24">
        <f t="shared" si="367"/>
        <v>0</v>
      </c>
      <c r="BE91" s="24">
        <f t="shared" si="367"/>
        <v>0</v>
      </c>
      <c r="BF91" s="24">
        <f t="shared" si="367"/>
        <v>0</v>
      </c>
      <c r="BG91" s="24">
        <f t="shared" si="367"/>
        <v>0</v>
      </c>
      <c r="BH91" s="24">
        <f t="shared" si="367"/>
        <v>0</v>
      </c>
      <c r="BI91" s="24">
        <f t="shared" si="367"/>
        <v>0</v>
      </c>
      <c r="BJ91" s="24">
        <f t="shared" si="367"/>
        <v>0</v>
      </c>
      <c r="BK91" s="24">
        <f t="shared" si="367"/>
        <v>0</v>
      </c>
      <c r="BL91" s="24">
        <f t="shared" si="367"/>
        <v>0</v>
      </c>
      <c r="BM91" s="24">
        <f t="shared" si="367"/>
        <v>0</v>
      </c>
      <c r="BN91" s="24">
        <f t="shared" si="367"/>
        <v>0</v>
      </c>
      <c r="BO91" s="24">
        <f t="shared" si="367"/>
        <v>0</v>
      </c>
      <c r="BP91" s="24">
        <f t="shared" si="367"/>
        <v>0</v>
      </c>
      <c r="BQ91" s="24">
        <f t="shared" si="367"/>
        <v>0</v>
      </c>
      <c r="BR91" s="24">
        <f t="shared" ref="BR91:BX91" si="368">SUM(BR89:BR90)</f>
        <v>0</v>
      </c>
      <c r="BS91" s="24">
        <f t="shared" si="368"/>
        <v>0</v>
      </c>
      <c r="BT91" s="24">
        <f t="shared" si="368"/>
        <v>0</v>
      </c>
      <c r="BU91" s="24">
        <f t="shared" si="368"/>
        <v>0</v>
      </c>
      <c r="BV91" s="24">
        <f t="shared" si="368"/>
        <v>0</v>
      </c>
      <c r="BW91" s="24">
        <f t="shared" si="368"/>
        <v>0</v>
      </c>
      <c r="BX91" s="24">
        <f t="shared" si="368"/>
        <v>0</v>
      </c>
      <c r="BY91" s="24">
        <f t="shared" ref="BY91:CK91" si="369">SUM(BY89:BY90)</f>
        <v>0</v>
      </c>
      <c r="BZ91" s="24">
        <f t="shared" si="369"/>
        <v>0</v>
      </c>
      <c r="CA91" s="24">
        <f t="shared" si="369"/>
        <v>0</v>
      </c>
      <c r="CB91" s="24">
        <f t="shared" si="369"/>
        <v>0</v>
      </c>
      <c r="CC91" s="24">
        <f t="shared" si="369"/>
        <v>0</v>
      </c>
      <c r="CD91" s="24">
        <f t="shared" si="369"/>
        <v>0</v>
      </c>
      <c r="CE91" s="24">
        <f t="shared" si="369"/>
        <v>0</v>
      </c>
      <c r="CF91" s="24">
        <f t="shared" si="369"/>
        <v>0</v>
      </c>
      <c r="CG91" s="24">
        <f t="shared" si="369"/>
        <v>0</v>
      </c>
      <c r="CH91" s="24">
        <f t="shared" si="369"/>
        <v>0</v>
      </c>
      <c r="CI91" s="24">
        <f t="shared" si="369"/>
        <v>0</v>
      </c>
      <c r="CJ91" s="24">
        <f t="shared" si="369"/>
        <v>0</v>
      </c>
      <c r="CK91" s="24">
        <f t="shared" si="369"/>
        <v>0</v>
      </c>
      <c r="CM91" s="24">
        <f t="shared" si="365"/>
        <v>0</v>
      </c>
      <c r="CN91" s="24">
        <f t="shared" si="365"/>
        <v>0</v>
      </c>
      <c r="CO91" s="24">
        <f t="shared" si="365"/>
        <v>0</v>
      </c>
      <c r="CP91" s="24">
        <f t="shared" si="365"/>
        <v>0</v>
      </c>
      <c r="CQ91" s="24">
        <f t="shared" si="365"/>
        <v>0</v>
      </c>
      <c r="CR91" s="24">
        <f t="shared" si="365"/>
        <v>0</v>
      </c>
      <c r="CS91" s="24">
        <f t="shared" si="365"/>
        <v>0</v>
      </c>
    </row>
    <row r="93" spans="2:97" s="27" customFormat="1" x14ac:dyDescent="0.2">
      <c r="B93" s="27" t="s">
        <v>88</v>
      </c>
      <c r="F93" s="28">
        <f t="shared" ref="F93:AK93" si="370">F39/1.2*0.2-F75/1.2*0.2-F91/1.2*0.2</f>
        <v>0</v>
      </c>
      <c r="G93" s="28">
        <f t="shared" si="370"/>
        <v>0</v>
      </c>
      <c r="H93" s="28">
        <f t="shared" si="370"/>
        <v>0</v>
      </c>
      <c r="I93" s="28">
        <f t="shared" si="370"/>
        <v>0</v>
      </c>
      <c r="J93" s="28">
        <f t="shared" si="370"/>
        <v>0</v>
      </c>
      <c r="K93" s="28">
        <f t="shared" si="370"/>
        <v>0</v>
      </c>
      <c r="L93" s="28">
        <f t="shared" si="370"/>
        <v>0</v>
      </c>
      <c r="M93" s="28">
        <f t="shared" si="370"/>
        <v>0</v>
      </c>
      <c r="N93" s="28">
        <f t="shared" si="370"/>
        <v>0</v>
      </c>
      <c r="O93" s="28">
        <f t="shared" si="370"/>
        <v>0</v>
      </c>
      <c r="P93" s="28">
        <f t="shared" si="370"/>
        <v>0</v>
      </c>
      <c r="Q93" s="28">
        <f t="shared" si="370"/>
        <v>0</v>
      </c>
      <c r="R93" s="28">
        <f t="shared" si="370"/>
        <v>0</v>
      </c>
      <c r="S93" s="28">
        <f t="shared" si="370"/>
        <v>0</v>
      </c>
      <c r="T93" s="28">
        <f t="shared" si="370"/>
        <v>0.34715873333333125</v>
      </c>
      <c r="U93" s="28">
        <f t="shared" si="370"/>
        <v>-1.7324339166666718</v>
      </c>
      <c r="V93" s="28">
        <f t="shared" si="370"/>
        <v>-1.1690837333333306</v>
      </c>
      <c r="W93" s="28">
        <f t="shared" si="370"/>
        <v>-0.39333333333332376</v>
      </c>
      <c r="X93" s="28">
        <f t="shared" si="370"/>
        <v>38.247274466666696</v>
      </c>
      <c r="Y93" s="28">
        <f t="shared" si="370"/>
        <v>21.997284533333357</v>
      </c>
      <c r="Z93" s="28">
        <f t="shared" si="370"/>
        <v>7.6730241999999933</v>
      </c>
      <c r="AA93" s="28">
        <f t="shared" si="370"/>
        <v>5.6081922000000048</v>
      </c>
      <c r="AB93" s="28">
        <f t="shared" si="370"/>
        <v>-5.4669693333333331</v>
      </c>
      <c r="AC93" s="28">
        <f t="shared" si="370"/>
        <v>-5.2619164666666673</v>
      </c>
      <c r="AD93" s="28">
        <f t="shared" si="370"/>
        <v>-6.6666666666666679</v>
      </c>
      <c r="AE93" s="28">
        <f t="shared" si="370"/>
        <v>-6.6666666666666679</v>
      </c>
      <c r="AF93" s="28">
        <f t="shared" si="370"/>
        <v>-6.6666666666666679</v>
      </c>
      <c r="AG93" s="28">
        <f t="shared" si="370"/>
        <v>-6.6666666666666679</v>
      </c>
      <c r="AH93" s="28">
        <f t="shared" si="370"/>
        <v>-5.1916789566666663</v>
      </c>
      <c r="AI93" s="28">
        <f t="shared" si="370"/>
        <v>-5.1179295711666661</v>
      </c>
      <c r="AJ93" s="28">
        <f t="shared" si="370"/>
        <v>-5.0404927163916664</v>
      </c>
      <c r="AK93" s="28">
        <f t="shared" si="370"/>
        <v>-4.9591840188779202</v>
      </c>
      <c r="AL93" s="28">
        <f t="shared" ref="AL93:BQ93" si="371">AL39/1.2*0.2-AL75/1.2*0.2-AL91/1.2*0.2</f>
        <v>-4.8738098864884805</v>
      </c>
      <c r="AM93" s="28">
        <f t="shared" si="371"/>
        <v>-4.7841670474795679</v>
      </c>
      <c r="AN93" s="28">
        <f t="shared" si="371"/>
        <v>-4.6900420665202143</v>
      </c>
      <c r="AO93" s="28">
        <f t="shared" si="371"/>
        <v>-4.5912108365128894</v>
      </c>
      <c r="AP93" s="28">
        <f t="shared" si="371"/>
        <v>-4.5497017199098133</v>
      </c>
      <c r="AQ93" s="28">
        <f t="shared" si="371"/>
        <v>-4.5073624209746761</v>
      </c>
      <c r="AR93" s="28">
        <f t="shared" si="371"/>
        <v>-4.4641763360608415</v>
      </c>
      <c r="AS93" s="28">
        <f t="shared" si="371"/>
        <v>-4.4201265294487211</v>
      </c>
      <c r="AT93" s="28">
        <f t="shared" si="371"/>
        <v>-4.3751957267043657</v>
      </c>
      <c r="AU93" s="28">
        <f t="shared" si="371"/>
        <v>-4.329366307905115</v>
      </c>
      <c r="AV93" s="28">
        <f t="shared" si="371"/>
        <v>-4.2826203007298869</v>
      </c>
      <c r="AW93" s="28">
        <f t="shared" si="371"/>
        <v>-4.2349393734111516</v>
      </c>
      <c r="AX93" s="28">
        <f t="shared" si="371"/>
        <v>-4.1863048275460422</v>
      </c>
      <c r="AY93" s="28">
        <f t="shared" si="371"/>
        <v>-4.1366975907636316</v>
      </c>
      <c r="AZ93" s="28">
        <f t="shared" si="371"/>
        <v>-4.08609820924557</v>
      </c>
      <c r="BA93" s="28">
        <f t="shared" si="371"/>
        <v>-4.0344868400971468</v>
      </c>
      <c r="BB93" s="28">
        <f t="shared" si="371"/>
        <v>-3.7900701419156899</v>
      </c>
      <c r="BC93" s="28">
        <f t="shared" si="371"/>
        <v>-3.7325382114206729</v>
      </c>
      <c r="BD93" s="28">
        <f t="shared" si="371"/>
        <v>-3.6738556423157505</v>
      </c>
      <c r="BE93" s="28">
        <f t="shared" si="371"/>
        <v>-3.6139994218287299</v>
      </c>
      <c r="BF93" s="28">
        <f t="shared" si="371"/>
        <v>-3.5529460769319705</v>
      </c>
      <c r="BG93" s="28">
        <f t="shared" si="371"/>
        <v>-3.4906716651372776</v>
      </c>
      <c r="BH93" s="28">
        <f t="shared" si="371"/>
        <v>-3.4271517651066894</v>
      </c>
      <c r="BI93" s="28">
        <f t="shared" si="371"/>
        <v>-3.3623614670754911</v>
      </c>
      <c r="BJ93" s="28">
        <f t="shared" si="371"/>
        <v>-3.2962753630836659</v>
      </c>
      <c r="BK93" s="28">
        <f t="shared" si="371"/>
        <v>-3.2288675370120057</v>
      </c>
      <c r="BL93" s="28">
        <f t="shared" si="371"/>
        <v>-3.1601115544189167</v>
      </c>
      <c r="BM93" s="28">
        <f t="shared" si="371"/>
        <v>-3.0899804521739593</v>
      </c>
      <c r="BN93" s="28">
        <f t="shared" si="371"/>
        <v>-3.0184467278841023</v>
      </c>
      <c r="BO93" s="28">
        <f t="shared" si="371"/>
        <v>-2.945482329108458</v>
      </c>
      <c r="BP93" s="28">
        <f t="shared" si="371"/>
        <v>-2.8710586423572888</v>
      </c>
      <c r="BQ93" s="28">
        <f t="shared" si="371"/>
        <v>-2.7951464818711003</v>
      </c>
      <c r="BR93" s="28">
        <f t="shared" ref="BR93:BX93" si="372">BR39/1.2*0.2-BR75/1.2*0.2-BR91/1.2*0.2</f>
        <v>-2.7177160781751901</v>
      </c>
      <c r="BS93" s="28">
        <f t="shared" si="372"/>
        <v>-2.6387370664053655</v>
      </c>
      <c r="BT93" s="28">
        <f t="shared" si="372"/>
        <v>-2.558178474400135</v>
      </c>
      <c r="BU93" s="28">
        <f t="shared" si="372"/>
        <v>-2.4760087105548045</v>
      </c>
      <c r="BV93" s="28">
        <f t="shared" si="372"/>
        <v>-2.3921955514325681</v>
      </c>
      <c r="BW93" s="28">
        <f t="shared" si="372"/>
        <v>-2.3067061291278872</v>
      </c>
      <c r="BX93" s="28">
        <f t="shared" si="372"/>
        <v>-2.219506918377105</v>
      </c>
      <c r="BY93" s="28">
        <f t="shared" ref="BY93:CK93" si="373">BY39/1.2*0.2-BY75/1.2*0.2-BY91/1.2*0.2</f>
        <v>-2.1305637234113153</v>
      </c>
      <c r="BZ93" s="28">
        <f t="shared" si="373"/>
        <v>-2.039841664546211</v>
      </c>
      <c r="CA93" s="28">
        <f t="shared" si="373"/>
        <v>-1.9473051645038009</v>
      </c>
      <c r="CB93" s="28">
        <f t="shared" si="373"/>
        <v>-1.852917934460546</v>
      </c>
      <c r="CC93" s="28">
        <f t="shared" si="373"/>
        <v>-1.7566429598164248</v>
      </c>
      <c r="CD93" s="28">
        <f t="shared" si="373"/>
        <v>-1.6584424856794158</v>
      </c>
      <c r="CE93" s="28">
        <f t="shared" si="373"/>
        <v>-1.5582780020596694</v>
      </c>
      <c r="CF93" s="28">
        <f t="shared" si="373"/>
        <v>-1.4561102287675354</v>
      </c>
      <c r="CG93" s="28">
        <f t="shared" si="373"/>
        <v>-1.3518991000095504</v>
      </c>
      <c r="CH93" s="28">
        <f t="shared" si="373"/>
        <v>-1.2456037486764053</v>
      </c>
      <c r="CI93" s="28">
        <f t="shared" si="373"/>
        <v>-1.1371824903166079</v>
      </c>
      <c r="CJ93" s="28">
        <f t="shared" si="373"/>
        <v>-1.0265928067896049</v>
      </c>
      <c r="CK93" s="28">
        <f t="shared" si="373"/>
        <v>-0.91379132959205833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7">
    <outlinePr summaryBelow="0"/>
  </sheetPr>
  <dimension ref="A2:CU93"/>
  <sheetViews>
    <sheetView showGridLines="0" zoomScale="70" zoomScaleNormal="70" workbookViewId="0">
      <pane xSplit="2" ySplit="3" topLeftCell="BZ13" activePane="bottomRight" state="frozen"/>
      <selection activeCell="BB40" sqref="BB40"/>
      <selection pane="topRight" activeCell="BB40" sqref="BB40"/>
      <selection pane="bottomLeft" activeCell="BB40" sqref="BB40"/>
      <selection pane="bottomRight" activeCell="BB40" sqref="BB40"/>
    </sheetView>
  </sheetViews>
  <sheetFormatPr defaultColWidth="8.7109375" defaultRowHeight="12.75" outlineLevelRow="2" outlineLevelCol="1" x14ac:dyDescent="0.2"/>
  <cols>
    <col min="1" max="1" width="8.7109375" style="8"/>
    <col min="2" max="2" width="38.7109375" style="8" customWidth="1"/>
    <col min="3" max="3" width="13.140625" style="8" bestFit="1" customWidth="1"/>
    <col min="4" max="4" width="11.42578125" style="8" customWidth="1"/>
    <col min="5" max="5" width="4" style="8" customWidth="1"/>
    <col min="6" max="6" width="6.7109375" style="8" bestFit="1" customWidth="1" outlineLevel="1"/>
    <col min="7" max="8" width="7.140625" style="8" bestFit="1" customWidth="1" outlineLevel="1"/>
    <col min="9" max="9" width="6.7109375" style="8" bestFit="1" customWidth="1" outlineLevel="1"/>
    <col min="10" max="10" width="7.140625" style="8" bestFit="1" customWidth="1" outlineLevel="1"/>
    <col min="11" max="11" width="7.42578125" style="8" bestFit="1" customWidth="1" outlineLevel="1"/>
    <col min="12" max="12" width="9.7109375" style="8" customWidth="1" outlineLevel="1"/>
    <col min="13" max="18" width="8.7109375" style="8" customWidth="1" outlineLevel="1"/>
    <col min="19" max="19" width="10.42578125" style="8" customWidth="1" outlineLevel="1"/>
    <col min="20" max="42" width="8.7109375" style="8" customWidth="1" outlineLevel="1"/>
    <col min="43" max="89" width="9.42578125" style="8" customWidth="1" outlineLevel="1"/>
    <col min="90" max="90" width="8.7109375" style="8" customWidth="1" outlineLevel="1"/>
    <col min="91" max="91" width="8.7109375" style="8"/>
    <col min="92" max="93" width="9.42578125" style="8" bestFit="1" customWidth="1"/>
    <col min="94" max="96" width="9.42578125" style="8" customWidth="1"/>
    <col min="97" max="97" width="10.140625" style="8" bestFit="1" customWidth="1"/>
    <col min="98" max="16384" width="8.7109375" style="8"/>
  </cols>
  <sheetData>
    <row r="2" spans="2:97" x14ac:dyDescent="0.2">
      <c r="B2" s="7" t="s">
        <v>49</v>
      </c>
      <c r="F2" s="5">
        <f t="shared" ref="F2:K2" si="0">YEAR(F3)</f>
        <v>2024</v>
      </c>
      <c r="G2" s="5">
        <f t="shared" si="0"/>
        <v>2024</v>
      </c>
      <c r="H2" s="5">
        <f t="shared" si="0"/>
        <v>2024</v>
      </c>
      <c r="I2" s="5">
        <f t="shared" si="0"/>
        <v>2024</v>
      </c>
      <c r="J2" s="5">
        <f t="shared" si="0"/>
        <v>2024</v>
      </c>
      <c r="K2" s="5">
        <f t="shared" si="0"/>
        <v>2024</v>
      </c>
      <c r="L2" s="5">
        <f>YEAR(L3)</f>
        <v>2024</v>
      </c>
      <c r="M2" s="5">
        <f t="shared" ref="M2:CK2" si="1">YEAR(M3)</f>
        <v>2024</v>
      </c>
      <c r="N2" s="5">
        <f t="shared" si="1"/>
        <v>2024</v>
      </c>
      <c r="O2" s="5">
        <f t="shared" si="1"/>
        <v>2024</v>
      </c>
      <c r="P2" s="5">
        <f t="shared" si="1"/>
        <v>2024</v>
      </c>
      <c r="Q2" s="5">
        <f t="shared" si="1"/>
        <v>2024</v>
      </c>
      <c r="R2" s="5">
        <f t="shared" si="1"/>
        <v>2025</v>
      </c>
      <c r="S2" s="5">
        <f t="shared" si="1"/>
        <v>2025</v>
      </c>
      <c r="T2" s="5">
        <f t="shared" si="1"/>
        <v>2025</v>
      </c>
      <c r="U2" s="5">
        <f t="shared" si="1"/>
        <v>2025</v>
      </c>
      <c r="V2" s="5">
        <f t="shared" si="1"/>
        <v>2025</v>
      </c>
      <c r="W2" s="5">
        <f t="shared" si="1"/>
        <v>2025</v>
      </c>
      <c r="X2" s="5">
        <f t="shared" si="1"/>
        <v>2025</v>
      </c>
      <c r="Y2" s="5">
        <f t="shared" si="1"/>
        <v>2025</v>
      </c>
      <c r="Z2" s="5">
        <f t="shared" si="1"/>
        <v>2025</v>
      </c>
      <c r="AA2" s="5">
        <f t="shared" si="1"/>
        <v>2025</v>
      </c>
      <c r="AB2" s="5">
        <f t="shared" si="1"/>
        <v>2025</v>
      </c>
      <c r="AC2" s="5">
        <f t="shared" si="1"/>
        <v>2025</v>
      </c>
      <c r="AD2" s="5">
        <f t="shared" si="1"/>
        <v>2026</v>
      </c>
      <c r="AE2" s="5">
        <f t="shared" si="1"/>
        <v>2026</v>
      </c>
      <c r="AF2" s="5">
        <f t="shared" si="1"/>
        <v>2026</v>
      </c>
      <c r="AG2" s="5">
        <f t="shared" si="1"/>
        <v>2026</v>
      </c>
      <c r="AH2" s="5">
        <f t="shared" si="1"/>
        <v>2026</v>
      </c>
      <c r="AI2" s="5">
        <f t="shared" si="1"/>
        <v>2026</v>
      </c>
      <c r="AJ2" s="5">
        <f t="shared" si="1"/>
        <v>2026</v>
      </c>
      <c r="AK2" s="5">
        <f t="shared" si="1"/>
        <v>2026</v>
      </c>
      <c r="AL2" s="5">
        <f t="shared" si="1"/>
        <v>2026</v>
      </c>
      <c r="AM2" s="5">
        <f t="shared" si="1"/>
        <v>2026</v>
      </c>
      <c r="AN2" s="5">
        <f t="shared" si="1"/>
        <v>2026</v>
      </c>
      <c r="AO2" s="5">
        <f t="shared" si="1"/>
        <v>2026</v>
      </c>
      <c r="AP2" s="5">
        <f t="shared" si="1"/>
        <v>2027</v>
      </c>
      <c r="AQ2" s="5">
        <f t="shared" si="1"/>
        <v>2027</v>
      </c>
      <c r="AR2" s="5">
        <f t="shared" si="1"/>
        <v>2027</v>
      </c>
      <c r="AS2" s="5">
        <f t="shared" si="1"/>
        <v>2027</v>
      </c>
      <c r="AT2" s="5">
        <f t="shared" si="1"/>
        <v>2027</v>
      </c>
      <c r="AU2" s="5">
        <f t="shared" si="1"/>
        <v>2027</v>
      </c>
      <c r="AV2" s="5">
        <f t="shared" si="1"/>
        <v>2027</v>
      </c>
      <c r="AW2" s="5">
        <f t="shared" si="1"/>
        <v>2027</v>
      </c>
      <c r="AX2" s="5">
        <f t="shared" si="1"/>
        <v>2027</v>
      </c>
      <c r="AY2" s="5">
        <f t="shared" si="1"/>
        <v>2027</v>
      </c>
      <c r="AZ2" s="5">
        <f t="shared" si="1"/>
        <v>2027</v>
      </c>
      <c r="BA2" s="5">
        <f t="shared" si="1"/>
        <v>2027</v>
      </c>
      <c r="BB2" s="5">
        <f t="shared" si="1"/>
        <v>2028</v>
      </c>
      <c r="BC2" s="5">
        <f t="shared" si="1"/>
        <v>2028</v>
      </c>
      <c r="BD2" s="5">
        <f t="shared" si="1"/>
        <v>2028</v>
      </c>
      <c r="BE2" s="5">
        <f t="shared" si="1"/>
        <v>2028</v>
      </c>
      <c r="BF2" s="5">
        <f t="shared" si="1"/>
        <v>2028</v>
      </c>
      <c r="BG2" s="5">
        <f t="shared" si="1"/>
        <v>2028</v>
      </c>
      <c r="BH2" s="5">
        <f t="shared" si="1"/>
        <v>2028</v>
      </c>
      <c r="BI2" s="5">
        <f t="shared" si="1"/>
        <v>2028</v>
      </c>
      <c r="BJ2" s="5">
        <f t="shared" si="1"/>
        <v>2028</v>
      </c>
      <c r="BK2" s="5">
        <f t="shared" si="1"/>
        <v>2028</v>
      </c>
      <c r="BL2" s="5">
        <f t="shared" si="1"/>
        <v>2028</v>
      </c>
      <c r="BM2" s="5">
        <f t="shared" si="1"/>
        <v>2028</v>
      </c>
      <c r="BN2" s="5">
        <f t="shared" si="1"/>
        <v>2029</v>
      </c>
      <c r="BO2" s="5">
        <f t="shared" si="1"/>
        <v>2029</v>
      </c>
      <c r="BP2" s="5">
        <f t="shared" si="1"/>
        <v>2029</v>
      </c>
      <c r="BQ2" s="5">
        <f t="shared" si="1"/>
        <v>2029</v>
      </c>
      <c r="BR2" s="5">
        <f t="shared" si="1"/>
        <v>2029</v>
      </c>
      <c r="BS2" s="5">
        <f t="shared" si="1"/>
        <v>2029</v>
      </c>
      <c r="BT2" s="5">
        <f t="shared" si="1"/>
        <v>2029</v>
      </c>
      <c r="BU2" s="5">
        <f t="shared" si="1"/>
        <v>2029</v>
      </c>
      <c r="BV2" s="5">
        <f t="shared" si="1"/>
        <v>2029</v>
      </c>
      <c r="BW2" s="5">
        <f t="shared" si="1"/>
        <v>2029</v>
      </c>
      <c r="BX2" s="5">
        <f t="shared" si="1"/>
        <v>2029</v>
      </c>
      <c r="BY2" s="5">
        <f t="shared" si="1"/>
        <v>2029</v>
      </c>
      <c r="BZ2" s="5">
        <f t="shared" si="1"/>
        <v>2030</v>
      </c>
      <c r="CA2" s="5">
        <f t="shared" si="1"/>
        <v>2030</v>
      </c>
      <c r="CB2" s="5">
        <f t="shared" si="1"/>
        <v>2030</v>
      </c>
      <c r="CC2" s="5">
        <f t="shared" si="1"/>
        <v>2030</v>
      </c>
      <c r="CD2" s="5">
        <f t="shared" si="1"/>
        <v>2030</v>
      </c>
      <c r="CE2" s="5">
        <f t="shared" si="1"/>
        <v>2030</v>
      </c>
      <c r="CF2" s="5">
        <f t="shared" si="1"/>
        <v>2030</v>
      </c>
      <c r="CG2" s="5">
        <f t="shared" si="1"/>
        <v>2030</v>
      </c>
      <c r="CH2" s="5">
        <f t="shared" si="1"/>
        <v>2030</v>
      </c>
      <c r="CI2" s="5">
        <f t="shared" si="1"/>
        <v>2030</v>
      </c>
      <c r="CJ2" s="5">
        <f t="shared" si="1"/>
        <v>2030</v>
      </c>
      <c r="CK2" s="5">
        <f t="shared" si="1"/>
        <v>2030</v>
      </c>
    </row>
    <row r="3" spans="2:97" x14ac:dyDescent="0.2">
      <c r="B3" s="128" t="s">
        <v>1</v>
      </c>
      <c r="C3" s="128" t="s">
        <v>2</v>
      </c>
      <c r="D3" s="102"/>
      <c r="F3" s="129">
        <f>Мясо!F3</f>
        <v>45292</v>
      </c>
      <c r="G3" s="129">
        <f>Мясо!G3</f>
        <v>45323</v>
      </c>
      <c r="H3" s="129">
        <f>Мясо!H3</f>
        <v>45352</v>
      </c>
      <c r="I3" s="129">
        <f>Мясо!I3</f>
        <v>45383</v>
      </c>
      <c r="J3" s="129">
        <f>Мясо!J3</f>
        <v>45413</v>
      </c>
      <c r="K3" s="129">
        <f>Мясо!K3</f>
        <v>45444</v>
      </c>
      <c r="L3" s="129">
        <f>Мясо!L3</f>
        <v>45474</v>
      </c>
      <c r="M3" s="129">
        <f>Мясо!M3</f>
        <v>45505</v>
      </c>
      <c r="N3" s="129">
        <f>Мясо!N3</f>
        <v>45536</v>
      </c>
      <c r="O3" s="129">
        <f>Мясо!O3</f>
        <v>45566</v>
      </c>
      <c r="P3" s="129">
        <f>Мясо!P3</f>
        <v>45597</v>
      </c>
      <c r="Q3" s="129">
        <f>Мясо!Q3</f>
        <v>45627</v>
      </c>
      <c r="R3" s="129">
        <f>Мясо!R3</f>
        <v>45658</v>
      </c>
      <c r="S3" s="129">
        <f>Мясо!S3</f>
        <v>45689</v>
      </c>
      <c r="T3" s="129">
        <f>Мясо!T3</f>
        <v>45717</v>
      </c>
      <c r="U3" s="129">
        <f>Мясо!U3</f>
        <v>45748</v>
      </c>
      <c r="V3" s="129">
        <f>Мясо!V3</f>
        <v>45778</v>
      </c>
      <c r="W3" s="129">
        <f>Мясо!W3</f>
        <v>45809</v>
      </c>
      <c r="X3" s="129">
        <f>Мясо!X3</f>
        <v>45839</v>
      </c>
      <c r="Y3" s="129">
        <f>Мясо!Y3</f>
        <v>45870</v>
      </c>
      <c r="Z3" s="129">
        <f>Мясо!Z3</f>
        <v>45901</v>
      </c>
      <c r="AA3" s="129">
        <f>Мясо!AA3</f>
        <v>45931</v>
      </c>
      <c r="AB3" s="129">
        <f>Мясо!AB3</f>
        <v>45962</v>
      </c>
      <c r="AC3" s="129">
        <f>Мясо!AC3</f>
        <v>45992</v>
      </c>
      <c r="AD3" s="129">
        <f>Мясо!AD3</f>
        <v>46023</v>
      </c>
      <c r="AE3" s="129">
        <f>Мясо!AE3</f>
        <v>46054</v>
      </c>
      <c r="AF3" s="129">
        <f>Мясо!AF3</f>
        <v>46082</v>
      </c>
      <c r="AG3" s="129">
        <f>Мясо!AG3</f>
        <v>46113</v>
      </c>
      <c r="AH3" s="129">
        <f>Мясо!AH3</f>
        <v>46143</v>
      </c>
      <c r="AI3" s="129">
        <f>Мясо!AI3</f>
        <v>46174</v>
      </c>
      <c r="AJ3" s="129">
        <f>Мясо!AJ3</f>
        <v>46204</v>
      </c>
      <c r="AK3" s="129">
        <f>Мясо!AK3</f>
        <v>46235</v>
      </c>
      <c r="AL3" s="129">
        <f>Мясо!AL3</f>
        <v>46266</v>
      </c>
      <c r="AM3" s="129">
        <f>Мясо!AM3</f>
        <v>46296</v>
      </c>
      <c r="AN3" s="129">
        <f>Мясо!AN3</f>
        <v>46327</v>
      </c>
      <c r="AO3" s="129">
        <f>Мясо!AO3</f>
        <v>46357</v>
      </c>
      <c r="AP3" s="129">
        <f>Мясо!AP3</f>
        <v>46388</v>
      </c>
      <c r="AQ3" s="129">
        <f>Мясо!AQ3</f>
        <v>46419</v>
      </c>
      <c r="AR3" s="129">
        <f>Мясо!AR3</f>
        <v>46447</v>
      </c>
      <c r="AS3" s="129">
        <f>Мясо!AS3</f>
        <v>46478</v>
      </c>
      <c r="AT3" s="129">
        <f>Мясо!AT3</f>
        <v>46508</v>
      </c>
      <c r="AU3" s="129">
        <f>Мясо!AU3</f>
        <v>46539</v>
      </c>
      <c r="AV3" s="129">
        <f>Мясо!AV3</f>
        <v>46569</v>
      </c>
      <c r="AW3" s="129">
        <f>Мясо!AW3</f>
        <v>46600</v>
      </c>
      <c r="AX3" s="129">
        <f>Мясо!AX3</f>
        <v>46631</v>
      </c>
      <c r="AY3" s="129">
        <f>Мясо!AY3</f>
        <v>46661</v>
      </c>
      <c r="AZ3" s="129">
        <f>Мясо!AZ3</f>
        <v>46692</v>
      </c>
      <c r="BA3" s="129">
        <f>Мясо!BA3</f>
        <v>46722</v>
      </c>
      <c r="BB3" s="129">
        <f>Мясо!BB3</f>
        <v>46753</v>
      </c>
      <c r="BC3" s="129">
        <f>Мясо!BC3</f>
        <v>46784</v>
      </c>
      <c r="BD3" s="129">
        <f>Мясо!BD3</f>
        <v>46813</v>
      </c>
      <c r="BE3" s="129">
        <f>Мясо!BE3</f>
        <v>46844</v>
      </c>
      <c r="BF3" s="129">
        <f>Мясо!BF3</f>
        <v>46874</v>
      </c>
      <c r="BG3" s="129">
        <f>Мясо!BG3</f>
        <v>46905</v>
      </c>
      <c r="BH3" s="129">
        <f>Мясо!BH3</f>
        <v>46935</v>
      </c>
      <c r="BI3" s="129">
        <f>Мясо!BI3</f>
        <v>46966</v>
      </c>
      <c r="BJ3" s="129">
        <f>Мясо!BJ3</f>
        <v>46997</v>
      </c>
      <c r="BK3" s="129">
        <f>Мясо!BK3</f>
        <v>47027</v>
      </c>
      <c r="BL3" s="129">
        <f>Мясо!BL3</f>
        <v>47058</v>
      </c>
      <c r="BM3" s="129">
        <f>Мясо!BM3</f>
        <v>47088</v>
      </c>
      <c r="BN3" s="129">
        <f>Мясо!BN3</f>
        <v>47119</v>
      </c>
      <c r="BO3" s="129">
        <f>Мясо!BO3</f>
        <v>47150</v>
      </c>
      <c r="BP3" s="129">
        <f>Мясо!BP3</f>
        <v>47178</v>
      </c>
      <c r="BQ3" s="129">
        <f>Мясо!BQ3</f>
        <v>47209</v>
      </c>
      <c r="BR3" s="129">
        <f>Мясо!BR3</f>
        <v>47239</v>
      </c>
      <c r="BS3" s="129">
        <f>Мясо!BS3</f>
        <v>47270</v>
      </c>
      <c r="BT3" s="129">
        <f>Мясо!BT3</f>
        <v>47300</v>
      </c>
      <c r="BU3" s="129">
        <f>Мясо!BU3</f>
        <v>47331</v>
      </c>
      <c r="BV3" s="129">
        <f>Мясо!BV3</f>
        <v>47362</v>
      </c>
      <c r="BW3" s="129">
        <f>Мясо!BW3</f>
        <v>47392</v>
      </c>
      <c r="BX3" s="129">
        <f>Мясо!BX3</f>
        <v>47423</v>
      </c>
      <c r="BY3" s="129">
        <f>Мясо!BY3</f>
        <v>47453</v>
      </c>
      <c r="BZ3" s="129">
        <f>Мясо!BZ3</f>
        <v>47484</v>
      </c>
      <c r="CA3" s="129">
        <f>Мясо!CA3</f>
        <v>47515</v>
      </c>
      <c r="CB3" s="129">
        <f>Мясо!CB3</f>
        <v>47543</v>
      </c>
      <c r="CC3" s="129">
        <f>Мясо!CC3</f>
        <v>47574</v>
      </c>
      <c r="CD3" s="129">
        <f>Мясо!CD3</f>
        <v>47604</v>
      </c>
      <c r="CE3" s="129">
        <f>Мясо!CE3</f>
        <v>47635</v>
      </c>
      <c r="CF3" s="129">
        <f>Мясо!CF3</f>
        <v>47665</v>
      </c>
      <c r="CG3" s="129">
        <f>Мясо!CG3</f>
        <v>47696</v>
      </c>
      <c r="CH3" s="129">
        <f>Мясо!CH3</f>
        <v>47727</v>
      </c>
      <c r="CI3" s="129">
        <f>Мясо!CI3</f>
        <v>47757</v>
      </c>
      <c r="CJ3" s="129">
        <f>Мясо!CJ3</f>
        <v>47788</v>
      </c>
      <c r="CK3" s="129">
        <f>Мясо!CK3</f>
        <v>47818</v>
      </c>
      <c r="CM3" s="233">
        <v>2024</v>
      </c>
      <c r="CN3" s="233">
        <f>CM3+1</f>
        <v>2025</v>
      </c>
      <c r="CO3" s="233">
        <f t="shared" ref="CO3" si="2">CN3+1</f>
        <v>2026</v>
      </c>
      <c r="CP3" s="233">
        <f t="shared" ref="CP3" si="3">CO3+1</f>
        <v>2027</v>
      </c>
      <c r="CQ3" s="233">
        <f t="shared" ref="CQ3" si="4">CP3+1</f>
        <v>2028</v>
      </c>
      <c r="CR3" s="233">
        <f t="shared" ref="CR3" si="5">CQ3+1</f>
        <v>2029</v>
      </c>
      <c r="CS3" s="233">
        <f t="shared" ref="CS3" si="6">CR3+1</f>
        <v>2030</v>
      </c>
    </row>
    <row r="4" spans="2:97" x14ac:dyDescent="0.2">
      <c r="B4" s="90" t="s">
        <v>0</v>
      </c>
      <c r="C4" s="91" t="s">
        <v>4</v>
      </c>
      <c r="D4" s="9"/>
      <c r="F4" s="10">
        <f t="shared" ref="F4:K4" si="7">F39/1.2</f>
        <v>0</v>
      </c>
      <c r="G4" s="10">
        <f t="shared" si="7"/>
        <v>0</v>
      </c>
      <c r="H4" s="10">
        <f t="shared" si="7"/>
        <v>0</v>
      </c>
      <c r="I4" s="10">
        <f t="shared" si="7"/>
        <v>0</v>
      </c>
      <c r="J4" s="10">
        <f t="shared" si="7"/>
        <v>0</v>
      </c>
      <c r="K4" s="10">
        <f t="shared" si="7"/>
        <v>0</v>
      </c>
      <c r="L4" s="10">
        <f>L39/1.2</f>
        <v>0</v>
      </c>
      <c r="M4" s="10">
        <f t="shared" ref="M4:AW4" si="8">M39/1.2</f>
        <v>0</v>
      </c>
      <c r="N4" s="10">
        <f t="shared" si="8"/>
        <v>0</v>
      </c>
      <c r="O4" s="10">
        <f t="shared" si="8"/>
        <v>0</v>
      </c>
      <c r="P4" s="10">
        <f t="shared" si="8"/>
        <v>0</v>
      </c>
      <c r="Q4" s="10">
        <f t="shared" si="8"/>
        <v>0</v>
      </c>
      <c r="R4" s="10">
        <f t="shared" si="8"/>
        <v>0</v>
      </c>
      <c r="S4" s="10">
        <f t="shared" si="8"/>
        <v>0</v>
      </c>
      <c r="T4" s="10">
        <f t="shared" si="8"/>
        <v>0</v>
      </c>
      <c r="U4" s="10">
        <f t="shared" si="8"/>
        <v>0</v>
      </c>
      <c r="V4" s="10">
        <f t="shared" si="8"/>
        <v>0</v>
      </c>
      <c r="W4" s="10">
        <f t="shared" si="8"/>
        <v>0</v>
      </c>
      <c r="X4" s="10">
        <f t="shared" si="8"/>
        <v>0</v>
      </c>
      <c r="Y4" s="10">
        <f t="shared" si="8"/>
        <v>0</v>
      </c>
      <c r="Z4" s="10">
        <f t="shared" si="8"/>
        <v>0</v>
      </c>
      <c r="AA4" s="10">
        <f t="shared" si="8"/>
        <v>0</v>
      </c>
      <c r="AB4" s="10">
        <f t="shared" si="8"/>
        <v>0</v>
      </c>
      <c r="AC4" s="10">
        <f t="shared" si="8"/>
        <v>0</v>
      </c>
      <c r="AD4" s="10">
        <f t="shared" si="8"/>
        <v>0</v>
      </c>
      <c r="AE4" s="10">
        <f>AE39/1.2</f>
        <v>0</v>
      </c>
      <c r="AF4" s="10">
        <f t="shared" si="8"/>
        <v>0</v>
      </c>
      <c r="AG4" s="10">
        <f t="shared" si="8"/>
        <v>0</v>
      </c>
      <c r="AH4" s="10">
        <f t="shared" si="8"/>
        <v>0</v>
      </c>
      <c r="AI4" s="10">
        <f t="shared" si="8"/>
        <v>0</v>
      </c>
      <c r="AJ4" s="10">
        <f t="shared" si="8"/>
        <v>225</v>
      </c>
      <c r="AK4" s="10">
        <f t="shared" si="8"/>
        <v>604.16666666666674</v>
      </c>
      <c r="AL4" s="10">
        <f t="shared" si="8"/>
        <v>673.54166666666674</v>
      </c>
      <c r="AM4" s="10">
        <f t="shared" si="8"/>
        <v>687.01250000000005</v>
      </c>
      <c r="AN4" s="10">
        <f t="shared" si="8"/>
        <v>700.75274999999999</v>
      </c>
      <c r="AO4" s="10">
        <f t="shared" si="8"/>
        <v>714.76780500000007</v>
      </c>
      <c r="AP4" s="10">
        <f t="shared" si="8"/>
        <v>840.28881375000003</v>
      </c>
      <c r="AQ4" s="10">
        <f t="shared" si="8"/>
        <v>924.31769512500011</v>
      </c>
      <c r="AR4" s="10">
        <f t="shared" si="8"/>
        <v>1016.7494646375002</v>
      </c>
      <c r="AS4" s="10">
        <f t="shared" si="8"/>
        <v>1118.4244111012501</v>
      </c>
      <c r="AT4" s="10">
        <f t="shared" si="8"/>
        <v>1134.0468204623664</v>
      </c>
      <c r="AU4" s="10">
        <f t="shared" si="8"/>
        <v>1150.750370600849</v>
      </c>
      <c r="AV4" s="10">
        <f t="shared" si="8"/>
        <v>1168.6407700936413</v>
      </c>
      <c r="AW4" s="10">
        <f t="shared" si="8"/>
        <v>1187.8342863478763</v>
      </c>
      <c r="AX4" s="10">
        <f t="shared" ref="AX4:BU4" si="9">AX39/1.2</f>
        <v>1208.4588014237593</v>
      </c>
      <c r="AY4" s="10">
        <f t="shared" si="9"/>
        <v>1230.6549734394362</v>
      </c>
      <c r="AZ4" s="10">
        <f t="shared" si="9"/>
        <v>1254.5775141160468</v>
      </c>
      <c r="BA4" s="10">
        <f t="shared" si="9"/>
        <v>1380.0352655276515</v>
      </c>
      <c r="BB4" s="10">
        <f t="shared" si="9"/>
        <v>1155.3971189062502</v>
      </c>
      <c r="BC4" s="10">
        <f t="shared" si="9"/>
        <v>1155.3971189062502</v>
      </c>
      <c r="BD4" s="10">
        <f t="shared" si="9"/>
        <v>1270.9368307968753</v>
      </c>
      <c r="BE4" s="10">
        <f t="shared" si="9"/>
        <v>1398.0305138765627</v>
      </c>
      <c r="BF4" s="10">
        <f t="shared" si="9"/>
        <v>1417.5585255779581</v>
      </c>
      <c r="BG4" s="10">
        <f t="shared" si="9"/>
        <v>1438.4379632510613</v>
      </c>
      <c r="BH4" s="10">
        <f t="shared" si="9"/>
        <v>1460.8009626170517</v>
      </c>
      <c r="BI4" s="10">
        <f t="shared" si="9"/>
        <v>1484.7928579348454</v>
      </c>
      <c r="BJ4" s="10">
        <f t="shared" si="9"/>
        <v>1510.5735017796992</v>
      </c>
      <c r="BK4" s="10">
        <f t="shared" si="9"/>
        <v>1538.3187167992951</v>
      </c>
      <c r="BL4" s="10">
        <f t="shared" si="9"/>
        <v>1568.2218926450587</v>
      </c>
      <c r="BM4" s="10">
        <f t="shared" si="9"/>
        <v>1725.0440819095647</v>
      </c>
      <c r="BN4" s="10">
        <f t="shared" si="9"/>
        <v>1409.5844850656254</v>
      </c>
      <c r="BO4" s="10">
        <f t="shared" si="9"/>
        <v>1409.5844850656254</v>
      </c>
      <c r="BP4" s="10">
        <f t="shared" si="9"/>
        <v>1550.5429335721876</v>
      </c>
      <c r="BQ4" s="10">
        <f t="shared" si="9"/>
        <v>1705.5972269294066</v>
      </c>
      <c r="BR4" s="10">
        <f t="shared" si="9"/>
        <v>1729.4214012051086</v>
      </c>
      <c r="BS4" s="10">
        <f t="shared" si="9"/>
        <v>1754.8943151662945</v>
      </c>
      <c r="BT4" s="10">
        <f t="shared" si="9"/>
        <v>1782.177174392803</v>
      </c>
      <c r="BU4" s="10">
        <f t="shared" si="9"/>
        <v>1811.4472866805113</v>
      </c>
      <c r="BV4" s="10">
        <f t="shared" ref="BV4:BX4" si="10">BV39/1.2</f>
        <v>1842.8996721712326</v>
      </c>
      <c r="BW4" s="10">
        <f t="shared" si="10"/>
        <v>1876.74883449514</v>
      </c>
      <c r="BX4" s="10">
        <f t="shared" si="10"/>
        <v>1913.2307090269715</v>
      </c>
      <c r="BY4" s="10">
        <f t="shared" ref="BY4:CK4" si="11">BY39/1.2</f>
        <v>2104.553779929669</v>
      </c>
      <c r="BZ4" s="10">
        <f t="shared" si="11"/>
        <v>1719.6930717800631</v>
      </c>
      <c r="CA4" s="10">
        <f t="shared" si="11"/>
        <v>1719.6930717800631</v>
      </c>
      <c r="CB4" s="10">
        <f t="shared" si="11"/>
        <v>1891.6623789580688</v>
      </c>
      <c r="CC4" s="10">
        <f t="shared" si="11"/>
        <v>2080.8286168538766</v>
      </c>
      <c r="CD4" s="10">
        <f t="shared" si="11"/>
        <v>2109.8941094702327</v>
      </c>
      <c r="CE4" s="10">
        <f t="shared" si="11"/>
        <v>2140.9710645028799</v>
      </c>
      <c r="CF4" s="10">
        <f t="shared" si="11"/>
        <v>2174.2561527592197</v>
      </c>
      <c r="CG4" s="10">
        <f t="shared" si="11"/>
        <v>2209.9656897502241</v>
      </c>
      <c r="CH4" s="10">
        <f t="shared" si="11"/>
        <v>2248.3376000489038</v>
      </c>
      <c r="CI4" s="10">
        <f t="shared" si="11"/>
        <v>2289.6335780840705</v>
      </c>
      <c r="CJ4" s="10">
        <f t="shared" si="11"/>
        <v>2334.141465012905</v>
      </c>
      <c r="CK4" s="10">
        <f t="shared" si="11"/>
        <v>2567.5556115141958</v>
      </c>
      <c r="CM4" s="10">
        <f t="shared" ref="CM4:CQ5" si="12">SUMIF($L$2:$CK$2,CM$3,$L4:$CK4)</f>
        <v>0</v>
      </c>
      <c r="CN4" s="10">
        <f t="shared" si="12"/>
        <v>0</v>
      </c>
      <c r="CO4" s="10">
        <f t="shared" si="12"/>
        <v>3605.2413883333338</v>
      </c>
      <c r="CP4" s="10">
        <f t="shared" si="12"/>
        <v>13614.779186625377</v>
      </c>
      <c r="CQ4" s="10">
        <f t="shared" si="12"/>
        <v>17123.510085000475</v>
      </c>
      <c r="CR4" s="10">
        <f t="shared" ref="CR4:CS5" si="13">SUMIF($L$2:$CK$2,CR$3,$L4:$CK4)</f>
        <v>20890.682303700578</v>
      </c>
      <c r="CS4" s="10">
        <f t="shared" si="13"/>
        <v>25486.632410514703</v>
      </c>
    </row>
    <row r="5" spans="2:97" x14ac:dyDescent="0.2">
      <c r="B5" s="90" t="s">
        <v>50</v>
      </c>
      <c r="C5" s="91" t="s">
        <v>4</v>
      </c>
      <c r="D5" s="9"/>
      <c r="F5" s="11">
        <f t="shared" ref="F5:K5" si="14">-F44/1.2</f>
        <v>0</v>
      </c>
      <c r="G5" s="11">
        <f t="shared" si="14"/>
        <v>0</v>
      </c>
      <c r="H5" s="11">
        <f t="shared" si="14"/>
        <v>0</v>
      </c>
      <c r="I5" s="11">
        <f t="shared" si="14"/>
        <v>0</v>
      </c>
      <c r="J5" s="11">
        <f t="shared" si="14"/>
        <v>0</v>
      </c>
      <c r="K5" s="11">
        <f t="shared" si="14"/>
        <v>0</v>
      </c>
      <c r="L5" s="11">
        <f>-L44/1.2</f>
        <v>0</v>
      </c>
      <c r="M5" s="11">
        <f t="shared" ref="M5:BU5" si="15">-M44/1.2</f>
        <v>0</v>
      </c>
      <c r="N5" s="11">
        <f t="shared" si="15"/>
        <v>0</v>
      </c>
      <c r="O5" s="11">
        <f t="shared" si="15"/>
        <v>0</v>
      </c>
      <c r="P5" s="11">
        <f t="shared" si="15"/>
        <v>0</v>
      </c>
      <c r="Q5" s="11">
        <f t="shared" si="15"/>
        <v>0</v>
      </c>
      <c r="R5" s="11">
        <f t="shared" si="15"/>
        <v>0</v>
      </c>
      <c r="S5" s="11">
        <f t="shared" si="15"/>
        <v>0</v>
      </c>
      <c r="T5" s="11">
        <f t="shared" si="15"/>
        <v>0</v>
      </c>
      <c r="U5" s="11">
        <f t="shared" si="15"/>
        <v>0</v>
      </c>
      <c r="V5" s="11">
        <f t="shared" si="15"/>
        <v>0</v>
      </c>
      <c r="W5" s="11">
        <f t="shared" si="15"/>
        <v>0</v>
      </c>
      <c r="X5" s="11">
        <f t="shared" si="15"/>
        <v>0</v>
      </c>
      <c r="Y5" s="11">
        <f t="shared" si="15"/>
        <v>0</v>
      </c>
      <c r="Z5" s="11">
        <f t="shared" si="15"/>
        <v>0</v>
      </c>
      <c r="AA5" s="11">
        <f t="shared" si="15"/>
        <v>0</v>
      </c>
      <c r="AB5" s="11">
        <f t="shared" si="15"/>
        <v>0</v>
      </c>
      <c r="AC5" s="11">
        <f t="shared" si="15"/>
        <v>0</v>
      </c>
      <c r="AD5" s="11">
        <f t="shared" si="15"/>
        <v>0</v>
      </c>
      <c r="AE5" s="11">
        <f t="shared" si="15"/>
        <v>0</v>
      </c>
      <c r="AF5" s="11">
        <f t="shared" si="15"/>
        <v>0</v>
      </c>
      <c r="AG5" s="11">
        <f t="shared" si="15"/>
        <v>0</v>
      </c>
      <c r="AH5" s="11">
        <f t="shared" si="15"/>
        <v>0</v>
      </c>
      <c r="AI5" s="11">
        <f t="shared" si="15"/>
        <v>0</v>
      </c>
      <c r="AJ5" s="11">
        <f t="shared" si="15"/>
        <v>-140.83333333333334</v>
      </c>
      <c r="AK5" s="11">
        <f t="shared" si="15"/>
        <v>-368.33333333333337</v>
      </c>
      <c r="AL5" s="11">
        <f t="shared" si="15"/>
        <v>-409.95833333333331</v>
      </c>
      <c r="AM5" s="11">
        <f t="shared" si="15"/>
        <v>-418.0408333333333</v>
      </c>
      <c r="AN5" s="11">
        <f t="shared" si="15"/>
        <v>-426.28498333333334</v>
      </c>
      <c r="AO5" s="11">
        <f t="shared" si="15"/>
        <v>-434.69401633333331</v>
      </c>
      <c r="AP5" s="11">
        <f t="shared" si="15"/>
        <v>-467.99218089583343</v>
      </c>
      <c r="AQ5" s="11">
        <f t="shared" si="15"/>
        <v>-514.20806565208341</v>
      </c>
      <c r="AR5" s="11">
        <f t="shared" si="15"/>
        <v>-565.04553888395856</v>
      </c>
      <c r="AS5" s="11">
        <f t="shared" si="15"/>
        <v>-620.96675943902096</v>
      </c>
      <c r="AT5" s="11">
        <f t="shared" si="15"/>
        <v>-629.55908458763497</v>
      </c>
      <c r="AU5" s="11">
        <f t="shared" si="15"/>
        <v>-638.74603716380034</v>
      </c>
      <c r="AV5" s="11">
        <f t="shared" si="15"/>
        <v>-648.58575688483609</v>
      </c>
      <c r="AW5" s="11">
        <f t="shared" si="15"/>
        <v>-659.14219082466536</v>
      </c>
      <c r="AX5" s="11">
        <f t="shared" si="15"/>
        <v>-670.48567411640101</v>
      </c>
      <c r="AY5" s="11">
        <f t="shared" si="15"/>
        <v>-682.69356872502317</v>
      </c>
      <c r="AZ5" s="11">
        <f t="shared" si="15"/>
        <v>-695.85096609715924</v>
      </c>
      <c r="BA5" s="11">
        <f t="shared" si="15"/>
        <v>-764.85272937354171</v>
      </c>
      <c r="BB5" s="11">
        <f t="shared" si="15"/>
        <v>-641.301748731771</v>
      </c>
      <c r="BC5" s="11">
        <f t="shared" si="15"/>
        <v>-641.301748731771</v>
      </c>
      <c r="BD5" s="11">
        <f t="shared" si="15"/>
        <v>-704.84859027161474</v>
      </c>
      <c r="BE5" s="11">
        <f t="shared" si="15"/>
        <v>-774.750115965443</v>
      </c>
      <c r="BF5" s="11">
        <f t="shared" si="15"/>
        <v>-785.49052240121034</v>
      </c>
      <c r="BG5" s="11">
        <f t="shared" si="15"/>
        <v>-796.97421312141705</v>
      </c>
      <c r="BH5" s="11">
        <f t="shared" si="15"/>
        <v>-809.27386277271171</v>
      </c>
      <c r="BI5" s="11">
        <f t="shared" si="15"/>
        <v>-822.46940519749842</v>
      </c>
      <c r="BJ5" s="11">
        <f t="shared" si="15"/>
        <v>-836.64875931216795</v>
      </c>
      <c r="BK5" s="11">
        <f t="shared" si="15"/>
        <v>-851.90862757294565</v>
      </c>
      <c r="BL5" s="11">
        <f t="shared" si="15"/>
        <v>-868.35537428811563</v>
      </c>
      <c r="BM5" s="11">
        <f t="shared" si="15"/>
        <v>-954.60757838359393</v>
      </c>
      <c r="BN5" s="11">
        <f t="shared" si="15"/>
        <v>-781.1048001194273</v>
      </c>
      <c r="BO5" s="11">
        <f t="shared" si="15"/>
        <v>-781.1048001194273</v>
      </c>
      <c r="BP5" s="11">
        <f t="shared" si="15"/>
        <v>-858.63194679803655</v>
      </c>
      <c r="BQ5" s="11">
        <f t="shared" si="15"/>
        <v>-943.91180814450706</v>
      </c>
      <c r="BR5" s="11">
        <f t="shared" si="15"/>
        <v>-957.01510399614324</v>
      </c>
      <c r="BS5" s="11">
        <f t="shared" si="15"/>
        <v>-971.02520667479541</v>
      </c>
      <c r="BT5" s="11">
        <f t="shared" si="15"/>
        <v>-986.03077924937509</v>
      </c>
      <c r="BU5" s="11">
        <f t="shared" si="15"/>
        <v>-1002.1293410076146</v>
      </c>
      <c r="BV5" s="11">
        <f t="shared" ref="BV5:BX5" si="16">-BV44/1.2</f>
        <v>-1019.4281530275114</v>
      </c>
      <c r="BW5" s="11">
        <f t="shared" si="16"/>
        <v>-1038.0451923056603</v>
      </c>
      <c r="BX5" s="11">
        <f t="shared" si="16"/>
        <v>-1058.1102232981677</v>
      </c>
      <c r="BY5" s="11">
        <f t="shared" ref="BY5:CK5" si="17">-BY44/1.2</f>
        <v>-1163.3379122946512</v>
      </c>
      <c r="BZ5" s="11">
        <f t="shared" si="17"/>
        <v>-951.66452281236809</v>
      </c>
      <c r="CA5" s="11">
        <f t="shared" si="17"/>
        <v>-951.66452281236809</v>
      </c>
      <c r="CB5" s="11">
        <f t="shared" si="17"/>
        <v>-1046.2476417602713</v>
      </c>
      <c r="CC5" s="11">
        <f t="shared" si="17"/>
        <v>-1150.2890726029657</v>
      </c>
      <c r="CD5" s="11">
        <f t="shared" si="17"/>
        <v>-1166.2750935419613</v>
      </c>
      <c r="CE5" s="11">
        <f t="shared" si="17"/>
        <v>-1183.3674188099174</v>
      </c>
      <c r="CF5" s="11">
        <f t="shared" si="17"/>
        <v>-1201.6742173509042</v>
      </c>
      <c r="CG5" s="11">
        <f t="shared" si="17"/>
        <v>-1221.3144626959568</v>
      </c>
      <c r="CH5" s="11">
        <f t="shared" si="17"/>
        <v>-1242.4190133602306</v>
      </c>
      <c r="CI5" s="11">
        <f t="shared" si="17"/>
        <v>-1265.1318012795721</v>
      </c>
      <c r="CJ5" s="11">
        <f t="shared" si="17"/>
        <v>-1289.6111390904312</v>
      </c>
      <c r="CK5" s="11">
        <f t="shared" si="17"/>
        <v>-1417.9889196661411</v>
      </c>
      <c r="CM5" s="11">
        <f t="shared" si="12"/>
        <v>0</v>
      </c>
      <c r="CN5" s="11">
        <f t="shared" si="12"/>
        <v>0</v>
      </c>
      <c r="CO5" s="11">
        <f t="shared" si="12"/>
        <v>-2198.1448329999998</v>
      </c>
      <c r="CP5" s="11">
        <f t="shared" si="12"/>
        <v>-7558.1285526439588</v>
      </c>
      <c r="CQ5" s="11">
        <f t="shared" si="12"/>
        <v>-9487.93054675026</v>
      </c>
      <c r="CR5" s="11">
        <f t="shared" si="13"/>
        <v>-11559.875267035319</v>
      </c>
      <c r="CS5" s="11">
        <f t="shared" si="13"/>
        <v>-14087.647825783088</v>
      </c>
    </row>
    <row r="6" spans="2:97" x14ac:dyDescent="0.2">
      <c r="B6" s="92"/>
      <c r="C6" s="91"/>
      <c r="D6" s="9"/>
    </row>
    <row r="7" spans="2:97" s="12" customFormat="1" x14ac:dyDescent="0.2">
      <c r="B7" s="88" t="s">
        <v>51</v>
      </c>
      <c r="C7" s="89" t="s">
        <v>4</v>
      </c>
      <c r="D7" s="13"/>
      <c r="F7" s="14">
        <f t="shared" ref="F7:K7" si="18">SUM(F4:F5)</f>
        <v>0</v>
      </c>
      <c r="G7" s="14">
        <f t="shared" si="18"/>
        <v>0</v>
      </c>
      <c r="H7" s="14">
        <f t="shared" si="18"/>
        <v>0</v>
      </c>
      <c r="I7" s="14">
        <f t="shared" si="18"/>
        <v>0</v>
      </c>
      <c r="J7" s="14">
        <f t="shared" si="18"/>
        <v>0</v>
      </c>
      <c r="K7" s="14">
        <f t="shared" si="18"/>
        <v>0</v>
      </c>
      <c r="L7" s="14">
        <f>SUM(L4:L5)</f>
        <v>0</v>
      </c>
      <c r="M7" s="14">
        <f t="shared" ref="M7:AW7" si="19">SUM(M4:M5)</f>
        <v>0</v>
      </c>
      <c r="N7" s="14">
        <f t="shared" si="19"/>
        <v>0</v>
      </c>
      <c r="O7" s="14">
        <f t="shared" si="19"/>
        <v>0</v>
      </c>
      <c r="P7" s="14">
        <f t="shared" si="19"/>
        <v>0</v>
      </c>
      <c r="Q7" s="14">
        <f t="shared" si="19"/>
        <v>0</v>
      </c>
      <c r="R7" s="14">
        <f t="shared" si="19"/>
        <v>0</v>
      </c>
      <c r="S7" s="14">
        <f t="shared" si="19"/>
        <v>0</v>
      </c>
      <c r="T7" s="14">
        <f t="shared" si="19"/>
        <v>0</v>
      </c>
      <c r="U7" s="14">
        <f t="shared" si="19"/>
        <v>0</v>
      </c>
      <c r="V7" s="14">
        <f t="shared" si="19"/>
        <v>0</v>
      </c>
      <c r="W7" s="14">
        <f t="shared" si="19"/>
        <v>0</v>
      </c>
      <c r="X7" s="14">
        <f t="shared" si="19"/>
        <v>0</v>
      </c>
      <c r="Y7" s="14">
        <f t="shared" si="19"/>
        <v>0</v>
      </c>
      <c r="Z7" s="14">
        <f t="shared" si="19"/>
        <v>0</v>
      </c>
      <c r="AA7" s="14">
        <f t="shared" si="19"/>
        <v>0</v>
      </c>
      <c r="AB7" s="14">
        <f t="shared" si="19"/>
        <v>0</v>
      </c>
      <c r="AC7" s="14">
        <f t="shared" si="19"/>
        <v>0</v>
      </c>
      <c r="AD7" s="14">
        <f t="shared" si="19"/>
        <v>0</v>
      </c>
      <c r="AE7" s="14">
        <f t="shared" si="19"/>
        <v>0</v>
      </c>
      <c r="AF7" s="14">
        <f t="shared" si="19"/>
        <v>0</v>
      </c>
      <c r="AG7" s="14">
        <f t="shared" si="19"/>
        <v>0</v>
      </c>
      <c r="AH7" s="14">
        <f t="shared" si="19"/>
        <v>0</v>
      </c>
      <c r="AI7" s="14">
        <f t="shared" si="19"/>
        <v>0</v>
      </c>
      <c r="AJ7" s="14">
        <f t="shared" si="19"/>
        <v>84.166666666666657</v>
      </c>
      <c r="AK7" s="14">
        <f t="shared" si="19"/>
        <v>235.83333333333337</v>
      </c>
      <c r="AL7" s="14">
        <f t="shared" si="19"/>
        <v>263.58333333333343</v>
      </c>
      <c r="AM7" s="14">
        <f t="shared" si="19"/>
        <v>268.97166666666675</v>
      </c>
      <c r="AN7" s="14">
        <f t="shared" si="19"/>
        <v>274.46776666666665</v>
      </c>
      <c r="AO7" s="14">
        <f t="shared" si="19"/>
        <v>280.07378866666676</v>
      </c>
      <c r="AP7" s="14">
        <f t="shared" si="19"/>
        <v>372.2966328541666</v>
      </c>
      <c r="AQ7" s="14">
        <f t="shared" si="19"/>
        <v>410.10962947291671</v>
      </c>
      <c r="AR7" s="14">
        <f t="shared" si="19"/>
        <v>451.70392575354163</v>
      </c>
      <c r="AS7" s="14">
        <f t="shared" si="19"/>
        <v>497.45765166222918</v>
      </c>
      <c r="AT7" s="14">
        <f t="shared" si="19"/>
        <v>504.48773587473147</v>
      </c>
      <c r="AU7" s="14">
        <f t="shared" si="19"/>
        <v>512.00433343704867</v>
      </c>
      <c r="AV7" s="14">
        <f t="shared" si="19"/>
        <v>520.05501320880524</v>
      </c>
      <c r="AW7" s="14">
        <f t="shared" si="19"/>
        <v>528.69209552321092</v>
      </c>
      <c r="AX7" s="14">
        <f t="shared" ref="AX7:BU7" si="20">SUM(AX4:AX5)</f>
        <v>537.97312730735825</v>
      </c>
      <c r="AY7" s="14">
        <f t="shared" si="20"/>
        <v>547.96140471441299</v>
      </c>
      <c r="AZ7" s="14">
        <f t="shared" si="20"/>
        <v>558.72654801888757</v>
      </c>
      <c r="BA7" s="14">
        <f t="shared" si="20"/>
        <v>615.18253615410981</v>
      </c>
      <c r="BB7" s="14">
        <f t="shared" si="20"/>
        <v>514.09537017447917</v>
      </c>
      <c r="BC7" s="14">
        <f t="shared" si="20"/>
        <v>514.09537017447917</v>
      </c>
      <c r="BD7" s="14">
        <f t="shared" si="20"/>
        <v>566.08824052526052</v>
      </c>
      <c r="BE7" s="14">
        <f t="shared" si="20"/>
        <v>623.28039791111973</v>
      </c>
      <c r="BF7" s="14">
        <f t="shared" si="20"/>
        <v>632.06800317674777</v>
      </c>
      <c r="BG7" s="14">
        <f t="shared" si="20"/>
        <v>641.46375012964427</v>
      </c>
      <c r="BH7" s="14">
        <f t="shared" si="20"/>
        <v>651.52709984434</v>
      </c>
      <c r="BI7" s="14">
        <f t="shared" si="20"/>
        <v>662.323452737347</v>
      </c>
      <c r="BJ7" s="14">
        <f t="shared" si="20"/>
        <v>673.92474246753125</v>
      </c>
      <c r="BK7" s="14">
        <f t="shared" si="20"/>
        <v>686.41008922634944</v>
      </c>
      <c r="BL7" s="14">
        <f t="shared" si="20"/>
        <v>699.86651835694306</v>
      </c>
      <c r="BM7" s="14">
        <f t="shared" si="20"/>
        <v>770.43650352597081</v>
      </c>
      <c r="BN7" s="14">
        <f t="shared" si="20"/>
        <v>628.47968494619806</v>
      </c>
      <c r="BO7" s="14">
        <f t="shared" si="20"/>
        <v>628.47968494619806</v>
      </c>
      <c r="BP7" s="14">
        <f t="shared" si="20"/>
        <v>691.91098677415107</v>
      </c>
      <c r="BQ7" s="14">
        <f t="shared" si="20"/>
        <v>761.68541878489953</v>
      </c>
      <c r="BR7" s="14">
        <f t="shared" si="20"/>
        <v>772.40629720896538</v>
      </c>
      <c r="BS7" s="14">
        <f t="shared" si="20"/>
        <v>783.86910849149911</v>
      </c>
      <c r="BT7" s="14">
        <f t="shared" si="20"/>
        <v>796.14639514342787</v>
      </c>
      <c r="BU7" s="14">
        <f t="shared" si="20"/>
        <v>809.31794567289671</v>
      </c>
      <c r="BV7" s="14">
        <f t="shared" ref="BV7:BX7" si="21">SUM(BV4:BV5)</f>
        <v>823.47151914372125</v>
      </c>
      <c r="BW7" s="14">
        <f t="shared" si="21"/>
        <v>838.70364218947975</v>
      </c>
      <c r="BX7" s="14">
        <f t="shared" si="21"/>
        <v>855.12048572880371</v>
      </c>
      <c r="BY7" s="14">
        <f t="shared" ref="BY7:CK7" si="22">SUM(BY4:BY5)</f>
        <v>941.21586763501773</v>
      </c>
      <c r="BZ7" s="14">
        <f t="shared" si="22"/>
        <v>768.02854896769497</v>
      </c>
      <c r="CA7" s="14">
        <f t="shared" si="22"/>
        <v>768.02854896769497</v>
      </c>
      <c r="CB7" s="14">
        <f t="shared" si="22"/>
        <v>845.41473719779742</v>
      </c>
      <c r="CC7" s="14">
        <f t="shared" si="22"/>
        <v>930.53954425091092</v>
      </c>
      <c r="CD7" s="14">
        <f t="shared" si="22"/>
        <v>943.61901592827144</v>
      </c>
      <c r="CE7" s="14">
        <f t="shared" si="22"/>
        <v>957.60364569296257</v>
      </c>
      <c r="CF7" s="14">
        <f t="shared" si="22"/>
        <v>972.58193540831553</v>
      </c>
      <c r="CG7" s="14">
        <f t="shared" si="22"/>
        <v>988.65122705426734</v>
      </c>
      <c r="CH7" s="14">
        <f t="shared" si="22"/>
        <v>1005.9185866886733</v>
      </c>
      <c r="CI7" s="14">
        <f t="shared" si="22"/>
        <v>1024.5017768044984</v>
      </c>
      <c r="CJ7" s="14">
        <f t="shared" si="22"/>
        <v>1044.5303259224738</v>
      </c>
      <c r="CK7" s="14">
        <f t="shared" si="22"/>
        <v>1149.5666918480547</v>
      </c>
      <c r="CM7" s="14">
        <f t="shared" ref="CM7:CO7" si="23">SUM(CM4:CM5)</f>
        <v>0</v>
      </c>
      <c r="CN7" s="14">
        <f t="shared" si="23"/>
        <v>0</v>
      </c>
      <c r="CO7" s="14">
        <f t="shared" si="23"/>
        <v>1407.096555333334</v>
      </c>
      <c r="CP7" s="14">
        <f t="shared" ref="CP7:CQ7" si="24">SUM(CP4:CP5)</f>
        <v>6056.6506339814187</v>
      </c>
      <c r="CQ7" s="14">
        <f t="shared" si="24"/>
        <v>7635.5795382502147</v>
      </c>
      <c r="CR7" s="14">
        <f t="shared" ref="CR7:CS7" si="25">SUM(CR4:CR5)</f>
        <v>9330.8070366652591</v>
      </c>
      <c r="CS7" s="14">
        <f t="shared" si="25"/>
        <v>11398.984584731616</v>
      </c>
    </row>
    <row r="8" spans="2:97" s="5" customFormat="1" x14ac:dyDescent="0.2">
      <c r="B8" s="191" t="s">
        <v>58</v>
      </c>
      <c r="C8" s="192" t="s">
        <v>59</v>
      </c>
      <c r="D8" s="15"/>
      <c r="F8" s="16" t="str">
        <f t="shared" ref="F8:K8" si="26">IFERROR(F7/F4,"")</f>
        <v/>
      </c>
      <c r="G8" s="16" t="str">
        <f t="shared" si="26"/>
        <v/>
      </c>
      <c r="H8" s="16" t="str">
        <f t="shared" si="26"/>
        <v/>
      </c>
      <c r="I8" s="16" t="str">
        <f t="shared" si="26"/>
        <v/>
      </c>
      <c r="J8" s="16" t="str">
        <f t="shared" si="26"/>
        <v/>
      </c>
      <c r="K8" s="16" t="str">
        <f t="shared" si="26"/>
        <v/>
      </c>
      <c r="L8" s="16" t="str">
        <f>IFERROR(L7/L4,"")</f>
        <v/>
      </c>
      <c r="M8" s="16" t="str">
        <f t="shared" ref="M8:AW8" si="27">IFERROR(M7/M4,"")</f>
        <v/>
      </c>
      <c r="N8" s="16" t="str">
        <f t="shared" si="27"/>
        <v/>
      </c>
      <c r="O8" s="16" t="str">
        <f t="shared" si="27"/>
        <v/>
      </c>
      <c r="P8" s="16" t="str">
        <f t="shared" si="27"/>
        <v/>
      </c>
      <c r="Q8" s="16" t="str">
        <f t="shared" si="27"/>
        <v/>
      </c>
      <c r="R8" s="16" t="str">
        <f t="shared" si="27"/>
        <v/>
      </c>
      <c r="S8" s="16" t="str">
        <f t="shared" si="27"/>
        <v/>
      </c>
      <c r="T8" s="16" t="str">
        <f t="shared" si="27"/>
        <v/>
      </c>
      <c r="U8" s="16" t="str">
        <f t="shared" si="27"/>
        <v/>
      </c>
      <c r="V8" s="16" t="str">
        <f t="shared" si="27"/>
        <v/>
      </c>
      <c r="W8" s="16" t="str">
        <f t="shared" si="27"/>
        <v/>
      </c>
      <c r="X8" s="16" t="str">
        <f t="shared" si="27"/>
        <v/>
      </c>
      <c r="Y8" s="16" t="str">
        <f t="shared" si="27"/>
        <v/>
      </c>
      <c r="Z8" s="16" t="str">
        <f t="shared" si="27"/>
        <v/>
      </c>
      <c r="AA8" s="16" t="str">
        <f t="shared" si="27"/>
        <v/>
      </c>
      <c r="AB8" s="16" t="str">
        <f t="shared" si="27"/>
        <v/>
      </c>
      <c r="AC8" s="16" t="str">
        <f t="shared" si="27"/>
        <v/>
      </c>
      <c r="AD8" s="16" t="str">
        <f t="shared" si="27"/>
        <v/>
      </c>
      <c r="AE8" s="16" t="str">
        <f t="shared" si="27"/>
        <v/>
      </c>
      <c r="AF8" s="16" t="str">
        <f t="shared" si="27"/>
        <v/>
      </c>
      <c r="AG8" s="16" t="str">
        <f t="shared" si="27"/>
        <v/>
      </c>
      <c r="AH8" s="16" t="str">
        <f t="shared" si="27"/>
        <v/>
      </c>
      <c r="AI8" s="16" t="str">
        <f t="shared" si="27"/>
        <v/>
      </c>
      <c r="AJ8" s="16">
        <f t="shared" si="27"/>
        <v>0.37407407407407406</v>
      </c>
      <c r="AK8" s="16">
        <f t="shared" si="27"/>
        <v>0.39034482758620692</v>
      </c>
      <c r="AL8" s="16">
        <f t="shared" si="27"/>
        <v>0.39133931333127137</v>
      </c>
      <c r="AM8" s="16">
        <f t="shared" si="27"/>
        <v>0.39150913071693272</v>
      </c>
      <c r="AN8" s="16">
        <f t="shared" si="27"/>
        <v>0.39167561834993392</v>
      </c>
      <c r="AO8" s="16">
        <f t="shared" si="27"/>
        <v>0.39183884151954318</v>
      </c>
      <c r="AP8" s="16">
        <f t="shared" si="27"/>
        <v>0.44305794241470298</v>
      </c>
      <c r="AQ8" s="16">
        <f t="shared" si="27"/>
        <v>0.44368903855882097</v>
      </c>
      <c r="AR8" s="16">
        <f t="shared" si="27"/>
        <v>0.44426276232620077</v>
      </c>
      <c r="AS8" s="16">
        <f t="shared" si="27"/>
        <v>0.44478432938745532</v>
      </c>
      <c r="AT8" s="16">
        <f t="shared" si="27"/>
        <v>0.44485617945566386</v>
      </c>
      <c r="AU8" s="16">
        <f t="shared" si="27"/>
        <v>0.44493084383688913</v>
      </c>
      <c r="AV8" s="16">
        <f t="shared" si="27"/>
        <v>0.44500844615162111</v>
      </c>
      <c r="AW8" s="16">
        <f t="shared" si="27"/>
        <v>0.44508910173718874</v>
      </c>
      <c r="AX8" s="16">
        <f t="shared" ref="AX8:BU8" si="28">IFERROR(AX7/AX4,"")</f>
        <v>0.44517291501666351</v>
      </c>
      <c r="AY8" s="16">
        <f t="shared" si="28"/>
        <v>0.4452599766309559</v>
      </c>
      <c r="AZ8" s="16">
        <f t="shared" si="28"/>
        <v>0.44535036036617986</v>
      </c>
      <c r="BA8" s="16">
        <f t="shared" si="28"/>
        <v>0.44577305487834545</v>
      </c>
      <c r="BB8" s="16">
        <f t="shared" si="28"/>
        <v>0.44495123084705673</v>
      </c>
      <c r="BC8" s="16">
        <f t="shared" si="28"/>
        <v>0.44495123084705673</v>
      </c>
      <c r="BD8" s="16">
        <f t="shared" si="28"/>
        <v>0.44541020986096069</v>
      </c>
      <c r="BE8" s="16">
        <f t="shared" si="28"/>
        <v>0.44582746350996416</v>
      </c>
      <c r="BF8" s="16">
        <f t="shared" si="28"/>
        <v>0.44588494356453112</v>
      </c>
      <c r="BG8" s="16">
        <f t="shared" si="28"/>
        <v>0.44594467506951135</v>
      </c>
      <c r="BH8" s="16">
        <f t="shared" si="28"/>
        <v>0.44600675692129699</v>
      </c>
      <c r="BI8" s="16">
        <f t="shared" si="28"/>
        <v>0.446071281389751</v>
      </c>
      <c r="BJ8" s="16">
        <f t="shared" si="28"/>
        <v>0.44613833201333086</v>
      </c>
      <c r="BK8" s="16">
        <f t="shared" si="28"/>
        <v>0.44620798130476469</v>
      </c>
      <c r="BL8" s="16">
        <f t="shared" si="28"/>
        <v>0.44628028829294397</v>
      </c>
      <c r="BM8" s="16">
        <f t="shared" si="28"/>
        <v>0.44661844390267635</v>
      </c>
      <c r="BN8" s="16">
        <f t="shared" si="28"/>
        <v>0.44586166462873505</v>
      </c>
      <c r="BO8" s="16">
        <f t="shared" si="28"/>
        <v>0.44586166462873505</v>
      </c>
      <c r="BP8" s="16">
        <f t="shared" si="28"/>
        <v>0.44623787693521366</v>
      </c>
      <c r="BQ8" s="16">
        <f t="shared" si="28"/>
        <v>0.44657988812292149</v>
      </c>
      <c r="BR8" s="16">
        <f t="shared" si="28"/>
        <v>0.44662700292174673</v>
      </c>
      <c r="BS8" s="16">
        <f t="shared" si="28"/>
        <v>0.44667596317173058</v>
      </c>
      <c r="BT8" s="16">
        <f t="shared" si="28"/>
        <v>0.44672684993548922</v>
      </c>
      <c r="BU8" s="16">
        <f t="shared" si="28"/>
        <v>0.44677973884405825</v>
      </c>
      <c r="BV8" s="16">
        <f t="shared" ref="BV8:BX8" si="29">IFERROR(BV7/BV4,"")</f>
        <v>0.44683469837158263</v>
      </c>
      <c r="BW8" s="16">
        <f t="shared" si="29"/>
        <v>0.44689178795472517</v>
      </c>
      <c r="BX8" s="16">
        <f t="shared" si="29"/>
        <v>0.44695105597782292</v>
      </c>
      <c r="BY8" s="16">
        <f t="shared" ref="BY8:CK8" si="30">IFERROR(BY7/BY4,"")</f>
        <v>0.44722823270711182</v>
      </c>
      <c r="BZ8" s="16">
        <f t="shared" si="30"/>
        <v>0.44660792182683201</v>
      </c>
      <c r="CA8" s="16">
        <f t="shared" si="30"/>
        <v>0.44660792182683201</v>
      </c>
      <c r="CB8" s="16">
        <f t="shared" si="30"/>
        <v>0.44691629256984722</v>
      </c>
      <c r="CC8" s="16">
        <f t="shared" si="30"/>
        <v>0.44719662960895201</v>
      </c>
      <c r="CD8" s="16">
        <f t="shared" si="30"/>
        <v>0.44723524829651384</v>
      </c>
      <c r="CE8" s="16">
        <f t="shared" si="30"/>
        <v>0.44727537964895953</v>
      </c>
      <c r="CF8" s="16">
        <f t="shared" si="30"/>
        <v>0.4473170901110568</v>
      </c>
      <c r="CG8" s="16">
        <f t="shared" si="30"/>
        <v>0.44736044167545752</v>
      </c>
      <c r="CH8" s="16">
        <f t="shared" si="30"/>
        <v>0.44740549046851036</v>
      </c>
      <c r="CI8" s="16">
        <f t="shared" si="30"/>
        <v>0.4474522852087911</v>
      </c>
      <c r="CJ8" s="16">
        <f t="shared" si="30"/>
        <v>0.44750086555559254</v>
      </c>
      <c r="CK8" s="16">
        <f t="shared" si="30"/>
        <v>0.44772805959599321</v>
      </c>
      <c r="CM8" s="16" t="str">
        <f>IFERROR(CM7/CM4,"")</f>
        <v/>
      </c>
      <c r="CN8" s="16" t="str">
        <f>IFERROR(CN7/CN4,"")</f>
        <v/>
      </c>
      <c r="CO8" s="16">
        <f t="shared" ref="CO8" si="31">CO7/CO4</f>
        <v>0.3902919121828401</v>
      </c>
      <c r="CP8" s="16">
        <f t="shared" ref="CP8:CQ8" si="32">CP7/CP4</f>
        <v>0.44485852843880375</v>
      </c>
      <c r="CQ8" s="16">
        <f t="shared" si="32"/>
        <v>0.44591205309819532</v>
      </c>
      <c r="CR8" s="16">
        <f t="shared" ref="CR8:CS8" si="33">CR7/CR4</f>
        <v>0.44664922385097966</v>
      </c>
      <c r="CS8" s="16">
        <f t="shared" si="33"/>
        <v>0.44725346217293416</v>
      </c>
    </row>
    <row r="9" spans="2:97" x14ac:dyDescent="0.2">
      <c r="B9" s="92"/>
      <c r="C9" s="91"/>
      <c r="D9" s="9"/>
    </row>
    <row r="10" spans="2:97" x14ac:dyDescent="0.2">
      <c r="B10" s="90" t="s">
        <v>52</v>
      </c>
      <c r="C10" s="91" t="s">
        <v>4</v>
      </c>
      <c r="D10" s="9"/>
      <c r="F10" s="11">
        <f t="shared" ref="F10:K10" si="34">-F54/1.2-F82</f>
        <v>0</v>
      </c>
      <c r="G10" s="11">
        <f t="shared" si="34"/>
        <v>0</v>
      </c>
      <c r="H10" s="11">
        <f t="shared" si="34"/>
        <v>0</v>
      </c>
      <c r="I10" s="11">
        <f t="shared" si="34"/>
        <v>0</v>
      </c>
      <c r="J10" s="11">
        <f t="shared" si="34"/>
        <v>0</v>
      </c>
      <c r="K10" s="11">
        <f t="shared" si="34"/>
        <v>0</v>
      </c>
      <c r="L10" s="11">
        <f t="shared" ref="L10:AQ10" si="35">-L54/1.2-L82</f>
        <v>0</v>
      </c>
      <c r="M10" s="11">
        <f t="shared" si="35"/>
        <v>0</v>
      </c>
      <c r="N10" s="11">
        <f t="shared" si="35"/>
        <v>0</v>
      </c>
      <c r="O10" s="11">
        <f t="shared" si="35"/>
        <v>0</v>
      </c>
      <c r="P10" s="11">
        <f t="shared" si="35"/>
        <v>0</v>
      </c>
      <c r="Q10" s="11">
        <f t="shared" si="35"/>
        <v>0</v>
      </c>
      <c r="R10" s="11">
        <f t="shared" si="35"/>
        <v>0</v>
      </c>
      <c r="S10" s="11">
        <f t="shared" si="35"/>
        <v>0</v>
      </c>
      <c r="T10" s="11">
        <f t="shared" si="35"/>
        <v>0</v>
      </c>
      <c r="U10" s="11">
        <f t="shared" si="35"/>
        <v>0</v>
      </c>
      <c r="V10" s="11">
        <f t="shared" si="35"/>
        <v>0</v>
      </c>
      <c r="W10" s="11">
        <f t="shared" si="35"/>
        <v>0</v>
      </c>
      <c r="X10" s="11">
        <f t="shared" si="35"/>
        <v>0</v>
      </c>
      <c r="Y10" s="11">
        <f t="shared" si="35"/>
        <v>0</v>
      </c>
      <c r="Z10" s="11">
        <f t="shared" si="35"/>
        <v>0</v>
      </c>
      <c r="AA10" s="11">
        <f t="shared" si="35"/>
        <v>0</v>
      </c>
      <c r="AB10" s="11">
        <f t="shared" si="35"/>
        <v>0</v>
      </c>
      <c r="AC10" s="11">
        <f t="shared" si="35"/>
        <v>0</v>
      </c>
      <c r="AD10" s="11">
        <f t="shared" si="35"/>
        <v>0</v>
      </c>
      <c r="AE10" s="11">
        <f t="shared" si="35"/>
        <v>0</v>
      </c>
      <c r="AF10" s="11">
        <f t="shared" si="35"/>
        <v>0</v>
      </c>
      <c r="AG10" s="11">
        <f t="shared" si="35"/>
        <v>0</v>
      </c>
      <c r="AH10" s="11">
        <f t="shared" si="35"/>
        <v>0</v>
      </c>
      <c r="AI10" s="11">
        <f t="shared" si="35"/>
        <v>0</v>
      </c>
      <c r="AJ10" s="11">
        <f t="shared" si="35"/>
        <v>-849.98333333333335</v>
      </c>
      <c r="AK10" s="11">
        <f t="shared" si="35"/>
        <v>-878.04166666666674</v>
      </c>
      <c r="AL10" s="11">
        <f t="shared" si="35"/>
        <v>-883.17541666666671</v>
      </c>
      <c r="AM10" s="11">
        <f t="shared" si="35"/>
        <v>-467.5055916666667</v>
      </c>
      <c r="AN10" s="11">
        <f t="shared" si="35"/>
        <v>-218.52237016666666</v>
      </c>
      <c r="AO10" s="11">
        <f t="shared" si="35"/>
        <v>-74.335851719999994</v>
      </c>
      <c r="AP10" s="11">
        <f t="shared" si="35"/>
        <v>-87.390036629999997</v>
      </c>
      <c r="AQ10" s="11">
        <f t="shared" si="35"/>
        <v>-96.129040293000003</v>
      </c>
      <c r="AR10" s="11">
        <f t="shared" ref="AR10:BU10" si="36">-AR54/1.2-AR82</f>
        <v>-105.74194432230001</v>
      </c>
      <c r="AS10" s="11">
        <f t="shared" si="36"/>
        <v>-116.31613875453002</v>
      </c>
      <c r="AT10" s="11">
        <f t="shared" si="36"/>
        <v>-117.94086932808611</v>
      </c>
      <c r="AU10" s="11">
        <f t="shared" si="36"/>
        <v>-119.67803854248831</v>
      </c>
      <c r="AV10" s="11">
        <f t="shared" si="36"/>
        <v>-121.53864008973869</v>
      </c>
      <c r="AW10" s="11">
        <f t="shared" si="36"/>
        <v>-123.53476578017913</v>
      </c>
      <c r="AX10" s="11">
        <f t="shared" si="36"/>
        <v>-125.67971534807094</v>
      </c>
      <c r="AY10" s="11">
        <f t="shared" si="36"/>
        <v>-127.98811723770135</v>
      </c>
      <c r="AZ10" s="11">
        <f t="shared" si="36"/>
        <v>-130.47606146806885</v>
      </c>
      <c r="BA10" s="11">
        <f t="shared" si="36"/>
        <v>-143.52366761487576</v>
      </c>
      <c r="BB10" s="11">
        <f t="shared" si="36"/>
        <v>-120.16130036625</v>
      </c>
      <c r="BC10" s="11">
        <f t="shared" si="36"/>
        <v>-120.16130036625</v>
      </c>
      <c r="BD10" s="11">
        <f t="shared" si="36"/>
        <v>-132.17743040287502</v>
      </c>
      <c r="BE10" s="11">
        <f t="shared" si="36"/>
        <v>-145.39517344316252</v>
      </c>
      <c r="BF10" s="11">
        <f t="shared" si="36"/>
        <v>-147.42608666010761</v>
      </c>
      <c r="BG10" s="11">
        <f t="shared" si="36"/>
        <v>-149.59754817811034</v>
      </c>
      <c r="BH10" s="11">
        <f t="shared" si="36"/>
        <v>-151.92330011217337</v>
      </c>
      <c r="BI10" s="11">
        <f t="shared" si="36"/>
        <v>-154.4184572252239</v>
      </c>
      <c r="BJ10" s="11">
        <f t="shared" si="36"/>
        <v>-157.09964418508872</v>
      </c>
      <c r="BK10" s="11">
        <f t="shared" si="36"/>
        <v>-159.9851465471267</v>
      </c>
      <c r="BL10" s="11">
        <f t="shared" si="36"/>
        <v>-163.0950768350861</v>
      </c>
      <c r="BM10" s="11">
        <f t="shared" si="36"/>
        <v>-179.4045845185947</v>
      </c>
      <c r="BN10" s="11">
        <f t="shared" si="36"/>
        <v>-146.59678644682504</v>
      </c>
      <c r="BO10" s="11">
        <f t="shared" si="36"/>
        <v>-146.59678644682504</v>
      </c>
      <c r="BP10" s="11">
        <f t="shared" si="36"/>
        <v>-161.25646509150749</v>
      </c>
      <c r="BQ10" s="11">
        <f t="shared" si="36"/>
        <v>-177.38211160065828</v>
      </c>
      <c r="BR10" s="11">
        <f t="shared" si="36"/>
        <v>-179.85982572533126</v>
      </c>
      <c r="BS10" s="11">
        <f t="shared" si="36"/>
        <v>-182.50900877729464</v>
      </c>
      <c r="BT10" s="11">
        <f t="shared" si="36"/>
        <v>-185.34642613685151</v>
      </c>
      <c r="BU10" s="11">
        <f t="shared" si="36"/>
        <v>-188.39051781477318</v>
      </c>
      <c r="BV10" s="11">
        <f t="shared" ref="BV10:BX10" si="37">-BV54/1.2-BV82</f>
        <v>-191.66156590580817</v>
      </c>
      <c r="BW10" s="11">
        <f t="shared" si="37"/>
        <v>-195.18187878749455</v>
      </c>
      <c r="BX10" s="11">
        <f t="shared" si="37"/>
        <v>-198.97599373880502</v>
      </c>
      <c r="BY10" s="11">
        <f t="shared" ref="BY10:CK10" si="38">-BY54/1.2-BY82</f>
        <v>-218.87359311268554</v>
      </c>
      <c r="BZ10" s="11">
        <f t="shared" si="38"/>
        <v>-178.84807946512655</v>
      </c>
      <c r="CA10" s="11">
        <f t="shared" si="38"/>
        <v>-178.84807946512655</v>
      </c>
      <c r="CB10" s="11">
        <f t="shared" si="38"/>
        <v>-196.73288741163913</v>
      </c>
      <c r="CC10" s="11">
        <f t="shared" si="38"/>
        <v>-216.40617615280314</v>
      </c>
      <c r="CD10" s="11">
        <f t="shared" si="38"/>
        <v>-219.42898738490416</v>
      </c>
      <c r="CE10" s="11">
        <f t="shared" si="38"/>
        <v>-222.66099070829947</v>
      </c>
      <c r="CF10" s="11">
        <f t="shared" si="38"/>
        <v>-226.12263988695884</v>
      </c>
      <c r="CG10" s="11">
        <f t="shared" si="38"/>
        <v>-229.83643173402328</v>
      </c>
      <c r="CH10" s="11">
        <f t="shared" si="38"/>
        <v>-233.82711040508599</v>
      </c>
      <c r="CI10" s="11">
        <f t="shared" si="38"/>
        <v>-238.1218921207433</v>
      </c>
      <c r="CJ10" s="11">
        <f t="shared" si="38"/>
        <v>-242.7507123613421</v>
      </c>
      <c r="CK10" s="11">
        <f t="shared" si="38"/>
        <v>-267.02578359747633</v>
      </c>
      <c r="CM10" s="11">
        <f t="shared" ref="CM10:CQ12" si="39">SUMIF($L$2:$CK$2,CM$3,$L10:$CK10)</f>
        <v>0</v>
      </c>
      <c r="CN10" s="11">
        <f t="shared" si="39"/>
        <v>0</v>
      </c>
      <c r="CO10" s="11">
        <f t="shared" si="39"/>
        <v>-3371.5642302199999</v>
      </c>
      <c r="CP10" s="11">
        <f t="shared" si="39"/>
        <v>-1415.9370354090393</v>
      </c>
      <c r="CQ10" s="11">
        <f t="shared" si="39"/>
        <v>-1780.845048840049</v>
      </c>
      <c r="CR10" s="11">
        <f t="shared" ref="CR10:CS12" si="40">SUMIF($L$2:$CK$2,CR$3,$L10:$CK10)</f>
        <v>-2172.6309595848597</v>
      </c>
      <c r="CS10" s="11">
        <f t="shared" si="40"/>
        <v>-2650.6097706935288</v>
      </c>
    </row>
    <row r="11" spans="2:97" x14ac:dyDescent="0.2">
      <c r="B11" s="90" t="s">
        <v>53</v>
      </c>
      <c r="C11" s="91" t="s">
        <v>4</v>
      </c>
      <c r="D11" s="9"/>
      <c r="F11" s="11">
        <f t="shared" ref="F11:K11" si="41">-F48/1.2-F51/1.2-F80-F81</f>
        <v>0</v>
      </c>
      <c r="G11" s="11">
        <f t="shared" si="41"/>
        <v>0</v>
      </c>
      <c r="H11" s="11">
        <f t="shared" si="41"/>
        <v>0</v>
      </c>
      <c r="I11" s="11">
        <f t="shared" si="41"/>
        <v>0</v>
      </c>
      <c r="J11" s="11">
        <f t="shared" si="41"/>
        <v>0</v>
      </c>
      <c r="K11" s="11">
        <f t="shared" si="41"/>
        <v>0</v>
      </c>
      <c r="L11" s="11">
        <f t="shared" ref="L11:AQ11" si="42">-L48/1.2-L51/1.2-L80-L81</f>
        <v>0</v>
      </c>
      <c r="M11" s="11">
        <f t="shared" si="42"/>
        <v>0</v>
      </c>
      <c r="N11" s="11">
        <f t="shared" si="42"/>
        <v>0</v>
      </c>
      <c r="O11" s="11">
        <f t="shared" si="42"/>
        <v>0</v>
      </c>
      <c r="P11" s="11">
        <f t="shared" si="42"/>
        <v>0</v>
      </c>
      <c r="Q11" s="11">
        <f t="shared" si="42"/>
        <v>0</v>
      </c>
      <c r="R11" s="11">
        <f t="shared" si="42"/>
        <v>0</v>
      </c>
      <c r="S11" s="11">
        <f t="shared" si="42"/>
        <v>0</v>
      </c>
      <c r="T11" s="11">
        <f t="shared" si="42"/>
        <v>0</v>
      </c>
      <c r="U11" s="11">
        <f t="shared" si="42"/>
        <v>0</v>
      </c>
      <c r="V11" s="11">
        <f t="shared" si="42"/>
        <v>0</v>
      </c>
      <c r="W11" s="11">
        <f t="shared" si="42"/>
        <v>0</v>
      </c>
      <c r="X11" s="11">
        <f t="shared" si="42"/>
        <v>0</v>
      </c>
      <c r="Y11" s="11">
        <f t="shared" si="42"/>
        <v>0</v>
      </c>
      <c r="Z11" s="11">
        <f t="shared" si="42"/>
        <v>0</v>
      </c>
      <c r="AA11" s="11">
        <f t="shared" si="42"/>
        <v>0</v>
      </c>
      <c r="AB11" s="11">
        <f t="shared" si="42"/>
        <v>0</v>
      </c>
      <c r="AC11" s="11">
        <f t="shared" si="42"/>
        <v>0</v>
      </c>
      <c r="AD11" s="11">
        <f t="shared" si="42"/>
        <v>0</v>
      </c>
      <c r="AE11" s="11">
        <f t="shared" si="42"/>
        <v>0</v>
      </c>
      <c r="AF11" s="11">
        <f t="shared" si="42"/>
        <v>0</v>
      </c>
      <c r="AG11" s="11">
        <f t="shared" si="42"/>
        <v>0</v>
      </c>
      <c r="AH11" s="11">
        <f t="shared" si="42"/>
        <v>0</v>
      </c>
      <c r="AI11" s="11">
        <f t="shared" si="42"/>
        <v>0</v>
      </c>
      <c r="AJ11" s="11">
        <f t="shared" si="42"/>
        <v>-117.97799999999999</v>
      </c>
      <c r="AK11" s="11">
        <f t="shared" si="42"/>
        <v>-98.181666666666672</v>
      </c>
      <c r="AL11" s="11">
        <f t="shared" si="42"/>
        <v>-102.18321666666665</v>
      </c>
      <c r="AM11" s="11">
        <f t="shared" si="42"/>
        <v>-107.12688100000001</v>
      </c>
      <c r="AN11" s="11">
        <f t="shared" si="42"/>
        <v>-107.91941862</v>
      </c>
      <c r="AO11" s="11">
        <f t="shared" si="42"/>
        <v>-108.72780699240001</v>
      </c>
      <c r="AP11" s="11">
        <f t="shared" si="42"/>
        <v>-125.13452544376668</v>
      </c>
      <c r="AQ11" s="11">
        <f t="shared" si="42"/>
        <v>-129.98131132147668</v>
      </c>
      <c r="AR11" s="11">
        <f t="shared" ref="AR11:BU11" si="43">-AR48/1.2-AR51/1.2-AR80-AR81</f>
        <v>-135.31277578695767</v>
      </c>
      <c r="AS11" s="11">
        <f t="shared" si="43"/>
        <v>-141.17738669898677</v>
      </c>
      <c r="AT11" s="11">
        <f t="shared" si="43"/>
        <v>-146.24515393760265</v>
      </c>
      <c r="AU11" s="11">
        <f t="shared" si="43"/>
        <v>-147.20861470959031</v>
      </c>
      <c r="AV11" s="11">
        <f t="shared" si="43"/>
        <v>-148.24053295233458</v>
      </c>
      <c r="AW11" s="11">
        <f t="shared" si="43"/>
        <v>-149.34761496987886</v>
      </c>
      <c r="AX11" s="11">
        <f t="shared" si="43"/>
        <v>-160.53723699945579</v>
      </c>
      <c r="AY11" s="11">
        <f t="shared" si="43"/>
        <v>-161.81751220132003</v>
      </c>
      <c r="AZ11" s="11">
        <f t="shared" si="43"/>
        <v>-163.19736434754691</v>
      </c>
      <c r="BA11" s="11">
        <f t="shared" si="43"/>
        <v>-170.4337674489683</v>
      </c>
      <c r="BB11" s="11">
        <f t="shared" si="43"/>
        <v>-157.47663915184586</v>
      </c>
      <c r="BC11" s="11">
        <f t="shared" si="43"/>
        <v>-157.47663915184586</v>
      </c>
      <c r="BD11" s="11">
        <f t="shared" si="43"/>
        <v>-164.14096973369712</v>
      </c>
      <c r="BE11" s="11">
        <f t="shared" si="43"/>
        <v>-171.47173337373346</v>
      </c>
      <c r="BF11" s="11">
        <f t="shared" si="43"/>
        <v>-172.59810908866996</v>
      </c>
      <c r="BG11" s="11">
        <f t="shared" si="43"/>
        <v>-173.80243505365453</v>
      </c>
      <c r="BH11" s="11">
        <f t="shared" si="43"/>
        <v>-175.0923328570849</v>
      </c>
      <c r="BI11" s="11">
        <f t="shared" si="43"/>
        <v>-176.47618537901525</v>
      </c>
      <c r="BJ11" s="11">
        <f t="shared" si="43"/>
        <v>-177.96321291598639</v>
      </c>
      <c r="BK11" s="11">
        <f t="shared" si="43"/>
        <v>-179.56355691831669</v>
      </c>
      <c r="BL11" s="11">
        <f t="shared" si="43"/>
        <v>-181.28837210110029</v>
      </c>
      <c r="BM11" s="11">
        <f t="shared" si="43"/>
        <v>-190.33387597787703</v>
      </c>
      <c r="BN11" s="11">
        <f t="shared" si="43"/>
        <v>-172.13816643191862</v>
      </c>
      <c r="BO11" s="11">
        <f t="shared" si="43"/>
        <v>-172.13816643191862</v>
      </c>
      <c r="BP11" s="11">
        <f t="shared" si="43"/>
        <v>-180.26864974177712</v>
      </c>
      <c r="BQ11" s="11">
        <f t="shared" si="43"/>
        <v>-189.21218138262151</v>
      </c>
      <c r="BR11" s="11">
        <f t="shared" si="43"/>
        <v>-190.58635975484398</v>
      </c>
      <c r="BS11" s="11">
        <f t="shared" si="43"/>
        <v>-192.05563743212522</v>
      </c>
      <c r="BT11" s="11">
        <f t="shared" si="43"/>
        <v>-193.62931275231023</v>
      </c>
      <c r="BU11" s="11">
        <f t="shared" si="43"/>
        <v>-195.31761282906524</v>
      </c>
      <c r="BV11" s="11">
        <f t="shared" ref="BV11:BX11" si="44">-BV48/1.2-BV51/1.2-BV80-BV81</f>
        <v>-197.13178642417003</v>
      </c>
      <c r="BW11" s="11">
        <f t="shared" si="44"/>
        <v>-199.08420610701302</v>
      </c>
      <c r="BX11" s="11">
        <f t="shared" si="44"/>
        <v>-201.18848063000905</v>
      </c>
      <c r="BY11" s="11">
        <f t="shared" ref="BY11:CK11" si="45">-BY48/1.2-BY51/1.2-BY80-BY81</f>
        <v>-212.22399535967662</v>
      </c>
      <c r="BZ11" s="11">
        <f t="shared" si="45"/>
        <v>-190.02522971360739</v>
      </c>
      <c r="CA11" s="11">
        <f t="shared" si="45"/>
        <v>-190.02522971360739</v>
      </c>
      <c r="CB11" s="11">
        <f t="shared" si="45"/>
        <v>-199.94441935163476</v>
      </c>
      <c r="CC11" s="11">
        <f t="shared" si="45"/>
        <v>-210.85552795346493</v>
      </c>
      <c r="CD11" s="11">
        <f t="shared" si="45"/>
        <v>-212.53202556757637</v>
      </c>
      <c r="CE11" s="11">
        <f t="shared" si="45"/>
        <v>-214.32454433385942</v>
      </c>
      <c r="CF11" s="11">
        <f t="shared" si="45"/>
        <v>-216.24442822448515</v>
      </c>
      <c r="CG11" s="11">
        <f t="shared" si="45"/>
        <v>-218.30415431812625</v>
      </c>
      <c r="CH11" s="11">
        <f t="shared" si="45"/>
        <v>-220.51744610415412</v>
      </c>
      <c r="CI11" s="11">
        <f t="shared" si="45"/>
        <v>-222.89939811722252</v>
      </c>
      <c r="CJ11" s="11">
        <f t="shared" si="45"/>
        <v>-225.4666130352777</v>
      </c>
      <c r="CK11" s="11">
        <f t="shared" si="45"/>
        <v>-238.92994100547213</v>
      </c>
      <c r="CM11" s="11">
        <f t="shared" si="39"/>
        <v>0</v>
      </c>
      <c r="CN11" s="11">
        <f t="shared" si="39"/>
        <v>0</v>
      </c>
      <c r="CO11" s="11">
        <f t="shared" si="39"/>
        <v>-642.11698994573339</v>
      </c>
      <c r="CP11" s="11">
        <f t="shared" si="39"/>
        <v>-1778.633796817885</v>
      </c>
      <c r="CQ11" s="11">
        <f t="shared" si="39"/>
        <v>-2077.6840617028274</v>
      </c>
      <c r="CR11" s="11">
        <f t="shared" si="40"/>
        <v>-2294.9745552774493</v>
      </c>
      <c r="CS11" s="11">
        <f t="shared" si="40"/>
        <v>-2560.0689574384878</v>
      </c>
    </row>
    <row r="12" spans="2:97" x14ac:dyDescent="0.2">
      <c r="B12" s="90" t="s">
        <v>56</v>
      </c>
      <c r="C12" s="91" t="s">
        <v>4</v>
      </c>
      <c r="D12" s="9"/>
      <c r="F12" s="11">
        <f t="shared" ref="F12:K12" si="46">-F83*0.3</f>
        <v>0</v>
      </c>
      <c r="G12" s="11">
        <f t="shared" si="46"/>
        <v>0</v>
      </c>
      <c r="H12" s="11">
        <f t="shared" si="46"/>
        <v>0</v>
      </c>
      <c r="I12" s="11">
        <f t="shared" si="46"/>
        <v>0</v>
      </c>
      <c r="J12" s="11">
        <f t="shared" si="46"/>
        <v>0</v>
      </c>
      <c r="K12" s="11">
        <f t="shared" si="46"/>
        <v>0</v>
      </c>
      <c r="L12" s="11">
        <f t="shared" ref="L12:AW12" si="47">-L83*0.3</f>
        <v>0</v>
      </c>
      <c r="M12" s="11">
        <f t="shared" si="47"/>
        <v>0</v>
      </c>
      <c r="N12" s="11">
        <f t="shared" si="47"/>
        <v>0</v>
      </c>
      <c r="O12" s="11">
        <f t="shared" si="47"/>
        <v>0</v>
      </c>
      <c r="P12" s="11">
        <f t="shared" si="47"/>
        <v>0</v>
      </c>
      <c r="Q12" s="11">
        <f t="shared" si="47"/>
        <v>0</v>
      </c>
      <c r="R12" s="11">
        <f t="shared" si="47"/>
        <v>0</v>
      </c>
      <c r="S12" s="11">
        <f t="shared" si="47"/>
        <v>0</v>
      </c>
      <c r="T12" s="11">
        <f t="shared" si="47"/>
        <v>0</v>
      </c>
      <c r="U12" s="11">
        <f t="shared" si="47"/>
        <v>0</v>
      </c>
      <c r="V12" s="11">
        <f t="shared" si="47"/>
        <v>0</v>
      </c>
      <c r="W12" s="11">
        <f t="shared" si="47"/>
        <v>0</v>
      </c>
      <c r="X12" s="11">
        <f t="shared" si="47"/>
        <v>0</v>
      </c>
      <c r="Y12" s="11">
        <f t="shared" si="47"/>
        <v>0</v>
      </c>
      <c r="Z12" s="11">
        <f t="shared" si="47"/>
        <v>0</v>
      </c>
      <c r="AA12" s="11">
        <f t="shared" si="47"/>
        <v>0</v>
      </c>
      <c r="AB12" s="11">
        <f t="shared" si="47"/>
        <v>0</v>
      </c>
      <c r="AC12" s="11">
        <f t="shared" si="47"/>
        <v>0</v>
      </c>
      <c r="AD12" s="11">
        <f t="shared" si="47"/>
        <v>0</v>
      </c>
      <c r="AE12" s="11">
        <f t="shared" si="47"/>
        <v>0</v>
      </c>
      <c r="AF12" s="11">
        <f t="shared" si="47"/>
        <v>0</v>
      </c>
      <c r="AG12" s="11">
        <f t="shared" si="47"/>
        <v>0</v>
      </c>
      <c r="AH12" s="11">
        <f t="shared" si="47"/>
        <v>0</v>
      </c>
      <c r="AI12" s="11">
        <f t="shared" si="47"/>
        <v>0</v>
      </c>
      <c r="AJ12" s="11">
        <f t="shared" si="47"/>
        <v>-20.663399999999999</v>
      </c>
      <c r="AK12" s="11">
        <f t="shared" si="47"/>
        <v>-27.679500000000001</v>
      </c>
      <c r="AL12" s="11">
        <f t="shared" si="47"/>
        <v>-28.963214999999998</v>
      </c>
      <c r="AM12" s="11">
        <f t="shared" si="47"/>
        <v>-29.212479299999998</v>
      </c>
      <c r="AN12" s="11">
        <f t="shared" si="47"/>
        <v>-29.466728885999995</v>
      </c>
      <c r="AO12" s="11">
        <f t="shared" si="47"/>
        <v>-29.726063463719996</v>
      </c>
      <c r="AP12" s="11">
        <f t="shared" si="47"/>
        <v>-33.548704209630003</v>
      </c>
      <c r="AQ12" s="11">
        <f t="shared" si="47"/>
        <v>-35.103574630593002</v>
      </c>
      <c r="AR12" s="11">
        <f t="shared" si="47"/>
        <v>-36.813932093652305</v>
      </c>
      <c r="AS12" s="11">
        <f t="shared" si="47"/>
        <v>-38.695325303017533</v>
      </c>
      <c r="AT12" s="11">
        <f t="shared" si="47"/>
        <v>-38.984402365835628</v>
      </c>
      <c r="AU12" s="11">
        <f t="shared" si="47"/>
        <v>-39.293484857598102</v>
      </c>
      <c r="AV12" s="11">
        <f t="shared" si="47"/>
        <v>-39.624528809812738</v>
      </c>
      <c r="AW12" s="11">
        <f t="shared" si="47"/>
        <v>-39.979685634581102</v>
      </c>
      <c r="AX12" s="11">
        <f t="shared" ref="AX12:BU12" si="48">-AX83*0.3</f>
        <v>-43.361321661545233</v>
      </c>
      <c r="AY12" s="11">
        <f t="shared" si="48"/>
        <v>-43.772039628523324</v>
      </c>
      <c r="AZ12" s="11">
        <f t="shared" si="48"/>
        <v>-44.214702321203326</v>
      </c>
      <c r="BA12" s="11">
        <f t="shared" si="48"/>
        <v>-46.536172553323659</v>
      </c>
      <c r="BB12" s="11">
        <f t="shared" si="48"/>
        <v>-42.379468288241249</v>
      </c>
      <c r="BC12" s="11">
        <f t="shared" si="48"/>
        <v>-42.379468288241249</v>
      </c>
      <c r="BD12" s="11">
        <f t="shared" si="48"/>
        <v>-44.517415117065376</v>
      </c>
      <c r="BE12" s="11">
        <f t="shared" si="48"/>
        <v>-46.869156628771918</v>
      </c>
      <c r="BF12" s="11">
        <f t="shared" si="48"/>
        <v>-47.230502957294526</v>
      </c>
      <c r="BG12" s="11">
        <f t="shared" si="48"/>
        <v>-47.616856071997631</v>
      </c>
      <c r="BH12" s="11">
        <f t="shared" si="48"/>
        <v>-48.030661012265924</v>
      </c>
      <c r="BI12" s="11">
        <f t="shared" si="48"/>
        <v>-48.474607043226378</v>
      </c>
      <c r="BJ12" s="11">
        <f t="shared" si="48"/>
        <v>-48.951652076931545</v>
      </c>
      <c r="BK12" s="11">
        <f t="shared" si="48"/>
        <v>-49.465049535654153</v>
      </c>
      <c r="BL12" s="11">
        <f t="shared" si="48"/>
        <v>-50.018377901504167</v>
      </c>
      <c r="BM12" s="11">
        <f t="shared" si="48"/>
        <v>-52.920215691654583</v>
      </c>
      <c r="BN12" s="11">
        <f t="shared" si="48"/>
        <v>-47.082951311654327</v>
      </c>
      <c r="BO12" s="11">
        <f t="shared" si="48"/>
        <v>-47.082951311654327</v>
      </c>
      <c r="BP12" s="11">
        <f t="shared" si="48"/>
        <v>-49.691246442819761</v>
      </c>
      <c r="BQ12" s="11">
        <f t="shared" si="48"/>
        <v>-52.560371087101736</v>
      </c>
      <c r="BR12" s="11">
        <f t="shared" si="48"/>
        <v>-53.001213607899324</v>
      </c>
      <c r="BS12" s="11">
        <f t="shared" si="48"/>
        <v>-53.472564407837112</v>
      </c>
      <c r="BT12" s="11">
        <f t="shared" si="48"/>
        <v>-53.977406434964422</v>
      </c>
      <c r="BU12" s="11">
        <f t="shared" si="48"/>
        <v>-54.519020592736183</v>
      </c>
      <c r="BV12" s="11">
        <f t="shared" ref="BV12:BX12" si="49">-BV83*0.3</f>
        <v>-55.10101553385649</v>
      </c>
      <c r="BW12" s="11">
        <f t="shared" si="49"/>
        <v>-55.72736043349807</v>
      </c>
      <c r="BX12" s="11">
        <f t="shared" si="49"/>
        <v>-56.402421039835076</v>
      </c>
      <c r="BY12" s="11">
        <f t="shared" ref="BY12:CK12" si="50">-BY83*0.3</f>
        <v>-59.942663143818578</v>
      </c>
      <c r="BZ12" s="11">
        <f t="shared" si="50"/>
        <v>-52.821200600218283</v>
      </c>
      <c r="CA12" s="11">
        <f t="shared" si="50"/>
        <v>-52.821200600218283</v>
      </c>
      <c r="CB12" s="11">
        <f t="shared" si="50"/>
        <v>-56.003320660240099</v>
      </c>
      <c r="CC12" s="11">
        <f t="shared" si="50"/>
        <v>-59.503652726264129</v>
      </c>
      <c r="CD12" s="11">
        <f t="shared" si="50"/>
        <v>-60.041480601637176</v>
      </c>
      <c r="CE12" s="11">
        <f t="shared" si="50"/>
        <v>-60.616528577561283</v>
      </c>
      <c r="CF12" s="11">
        <f t="shared" si="50"/>
        <v>-61.2324358506566</v>
      </c>
      <c r="CG12" s="11">
        <f t="shared" si="50"/>
        <v>-61.893205123138131</v>
      </c>
      <c r="CH12" s="11">
        <f t="shared" si="50"/>
        <v>-62.60323895130491</v>
      </c>
      <c r="CI12" s="11">
        <f t="shared" si="50"/>
        <v>-63.367379728867633</v>
      </c>
      <c r="CJ12" s="11">
        <f t="shared" si="50"/>
        <v>-64.19095366859878</v>
      </c>
      <c r="CK12" s="11">
        <f t="shared" si="50"/>
        <v>-68.510049035458678</v>
      </c>
      <c r="CM12" s="11">
        <f t="shared" si="39"/>
        <v>0</v>
      </c>
      <c r="CN12" s="11">
        <f t="shared" si="39"/>
        <v>0</v>
      </c>
      <c r="CO12" s="11">
        <f t="shared" si="39"/>
        <v>-165.71138664972</v>
      </c>
      <c r="CP12" s="11">
        <f t="shared" si="39"/>
        <v>-479.92787406931592</v>
      </c>
      <c r="CQ12" s="11">
        <f t="shared" si="39"/>
        <v>-568.85343061284868</v>
      </c>
      <c r="CR12" s="11">
        <f t="shared" si="40"/>
        <v>-638.5611853476754</v>
      </c>
      <c r="CS12" s="11">
        <f t="shared" si="40"/>
        <v>-723.60464612416399</v>
      </c>
    </row>
    <row r="13" spans="2:97" x14ac:dyDescent="0.2">
      <c r="B13" s="92"/>
      <c r="C13" s="91"/>
      <c r="D13" s="9"/>
    </row>
    <row r="14" spans="2:97" s="12" customFormat="1" x14ac:dyDescent="0.2">
      <c r="B14" s="88" t="s">
        <v>54</v>
      </c>
      <c r="C14" s="89" t="s">
        <v>4</v>
      </c>
      <c r="D14" s="13"/>
      <c r="F14" s="14">
        <f t="shared" ref="F14:K14" si="51">SUM(F7,F10:F12)</f>
        <v>0</v>
      </c>
      <c r="G14" s="14">
        <f t="shared" si="51"/>
        <v>0</v>
      </c>
      <c r="H14" s="14">
        <f t="shared" si="51"/>
        <v>0</v>
      </c>
      <c r="I14" s="14">
        <f t="shared" si="51"/>
        <v>0</v>
      </c>
      <c r="J14" s="14">
        <f t="shared" si="51"/>
        <v>0</v>
      </c>
      <c r="K14" s="14">
        <f t="shared" si="51"/>
        <v>0</v>
      </c>
      <c r="L14" s="14">
        <f>SUM(L7,L10:L12)</f>
        <v>0</v>
      </c>
      <c r="M14" s="14">
        <f t="shared" ref="M14:CO14" si="52">SUM(M7,M10:M12)</f>
        <v>0</v>
      </c>
      <c r="N14" s="14">
        <f t="shared" si="52"/>
        <v>0</v>
      </c>
      <c r="O14" s="14">
        <f t="shared" si="52"/>
        <v>0</v>
      </c>
      <c r="P14" s="14">
        <f t="shared" si="52"/>
        <v>0</v>
      </c>
      <c r="Q14" s="14">
        <f t="shared" si="52"/>
        <v>0</v>
      </c>
      <c r="R14" s="14">
        <f t="shared" si="52"/>
        <v>0</v>
      </c>
      <c r="S14" s="14">
        <f t="shared" si="52"/>
        <v>0</v>
      </c>
      <c r="T14" s="14">
        <f t="shared" si="52"/>
        <v>0</v>
      </c>
      <c r="U14" s="14">
        <f t="shared" si="52"/>
        <v>0</v>
      </c>
      <c r="V14" s="14">
        <f t="shared" si="52"/>
        <v>0</v>
      </c>
      <c r="W14" s="14">
        <f t="shared" si="52"/>
        <v>0</v>
      </c>
      <c r="X14" s="14">
        <f t="shared" si="52"/>
        <v>0</v>
      </c>
      <c r="Y14" s="14">
        <f t="shared" si="52"/>
        <v>0</v>
      </c>
      <c r="Z14" s="14">
        <f t="shared" si="52"/>
        <v>0</v>
      </c>
      <c r="AA14" s="14">
        <f t="shared" si="52"/>
        <v>0</v>
      </c>
      <c r="AB14" s="14">
        <f t="shared" si="52"/>
        <v>0</v>
      </c>
      <c r="AC14" s="14">
        <f t="shared" si="52"/>
        <v>0</v>
      </c>
      <c r="AD14" s="14">
        <f t="shared" si="52"/>
        <v>0</v>
      </c>
      <c r="AE14" s="14">
        <f t="shared" si="52"/>
        <v>0</v>
      </c>
      <c r="AF14" s="14">
        <f t="shared" si="52"/>
        <v>0</v>
      </c>
      <c r="AG14" s="14">
        <f t="shared" si="52"/>
        <v>0</v>
      </c>
      <c r="AH14" s="14">
        <f t="shared" si="52"/>
        <v>0</v>
      </c>
      <c r="AI14" s="14">
        <f t="shared" si="52"/>
        <v>0</v>
      </c>
      <c r="AJ14" s="14">
        <f t="shared" si="52"/>
        <v>-904.4580666666667</v>
      </c>
      <c r="AK14" s="14">
        <f t="shared" si="52"/>
        <v>-768.06950000000006</v>
      </c>
      <c r="AL14" s="14">
        <f t="shared" si="52"/>
        <v>-750.73851499999989</v>
      </c>
      <c r="AM14" s="14">
        <f t="shared" si="52"/>
        <v>-334.87328529999996</v>
      </c>
      <c r="AN14" s="14">
        <f t="shared" si="52"/>
        <v>-81.440751006000013</v>
      </c>
      <c r="AO14" s="14">
        <f t="shared" si="52"/>
        <v>67.284066490546763</v>
      </c>
      <c r="AP14" s="14">
        <f t="shared" si="52"/>
        <v>126.22336657076993</v>
      </c>
      <c r="AQ14" s="14">
        <f t="shared" si="52"/>
        <v>148.89570322784704</v>
      </c>
      <c r="AR14" s="14">
        <f t="shared" si="52"/>
        <v>173.83527355063163</v>
      </c>
      <c r="AS14" s="14">
        <f t="shared" si="52"/>
        <v>201.26880090569486</v>
      </c>
      <c r="AT14" s="14">
        <f t="shared" si="52"/>
        <v>201.31731024320706</v>
      </c>
      <c r="AU14" s="14">
        <f t="shared" si="52"/>
        <v>205.82419532737197</v>
      </c>
      <c r="AV14" s="14">
        <f t="shared" si="52"/>
        <v>210.65131135691922</v>
      </c>
      <c r="AW14" s="14">
        <f t="shared" si="52"/>
        <v>215.83002913857186</v>
      </c>
      <c r="AX14" s="14">
        <f t="shared" ref="AX14:BU14" si="53">SUM(AX7,AX10:AX12)</f>
        <v>208.39485329828631</v>
      </c>
      <c r="AY14" s="14">
        <f t="shared" si="53"/>
        <v>214.38373564686833</v>
      </c>
      <c r="AZ14" s="14">
        <f t="shared" si="53"/>
        <v>220.83841988206848</v>
      </c>
      <c r="BA14" s="14">
        <f t="shared" si="53"/>
        <v>254.68892853694209</v>
      </c>
      <c r="BB14" s="14">
        <f t="shared" si="53"/>
        <v>194.0779623681421</v>
      </c>
      <c r="BC14" s="14">
        <f t="shared" si="53"/>
        <v>194.0779623681421</v>
      </c>
      <c r="BD14" s="14">
        <f t="shared" si="53"/>
        <v>225.25242527162303</v>
      </c>
      <c r="BE14" s="14">
        <f t="shared" si="53"/>
        <v>259.54433446545181</v>
      </c>
      <c r="BF14" s="14">
        <f t="shared" si="53"/>
        <v>264.81330447067569</v>
      </c>
      <c r="BG14" s="14">
        <f t="shared" si="53"/>
        <v>270.44691082588179</v>
      </c>
      <c r="BH14" s="14">
        <f t="shared" si="53"/>
        <v>276.48080586281583</v>
      </c>
      <c r="BI14" s="14">
        <f t="shared" si="53"/>
        <v>282.95420308988145</v>
      </c>
      <c r="BJ14" s="14">
        <f t="shared" si="53"/>
        <v>289.91023328952451</v>
      </c>
      <c r="BK14" s="14">
        <f t="shared" si="53"/>
        <v>297.39633622525196</v>
      </c>
      <c r="BL14" s="14">
        <f t="shared" si="53"/>
        <v>305.46469151925254</v>
      </c>
      <c r="BM14" s="14">
        <f t="shared" si="53"/>
        <v>347.77782733784454</v>
      </c>
      <c r="BN14" s="14">
        <f t="shared" si="53"/>
        <v>262.66178075580007</v>
      </c>
      <c r="BO14" s="14">
        <f t="shared" si="53"/>
        <v>262.66178075580007</v>
      </c>
      <c r="BP14" s="14">
        <f t="shared" si="53"/>
        <v>300.69462549804666</v>
      </c>
      <c r="BQ14" s="14">
        <f t="shared" si="53"/>
        <v>342.53075471451803</v>
      </c>
      <c r="BR14" s="14">
        <f t="shared" si="53"/>
        <v>348.95889812089081</v>
      </c>
      <c r="BS14" s="14">
        <f t="shared" si="53"/>
        <v>355.83189787424215</v>
      </c>
      <c r="BT14" s="14">
        <f t="shared" si="53"/>
        <v>363.19324981930174</v>
      </c>
      <c r="BU14" s="14">
        <f t="shared" si="53"/>
        <v>371.09079443632214</v>
      </c>
      <c r="BV14" s="14">
        <f t="shared" ref="BV14:BX14" si="54">SUM(BV7,BV10:BV12)</f>
        <v>379.57715127988655</v>
      </c>
      <c r="BW14" s="14">
        <f t="shared" si="54"/>
        <v>388.71019686147417</v>
      </c>
      <c r="BX14" s="14">
        <f t="shared" si="54"/>
        <v>398.55359032015451</v>
      </c>
      <c r="BY14" s="14">
        <f t="shared" ref="BY14:CK14" si="55">SUM(BY7,BY10:BY12)</f>
        <v>450.17561601883699</v>
      </c>
      <c r="BZ14" s="14">
        <f t="shared" si="55"/>
        <v>346.33403918874285</v>
      </c>
      <c r="CA14" s="14">
        <f t="shared" si="55"/>
        <v>346.33403918874285</v>
      </c>
      <c r="CB14" s="14">
        <f t="shared" si="55"/>
        <v>392.73410977428341</v>
      </c>
      <c r="CC14" s="14">
        <f t="shared" si="55"/>
        <v>443.77418741837869</v>
      </c>
      <c r="CD14" s="14">
        <f t="shared" si="55"/>
        <v>451.61652237415365</v>
      </c>
      <c r="CE14" s="14">
        <f t="shared" si="55"/>
        <v>460.00158207324245</v>
      </c>
      <c r="CF14" s="14">
        <f t="shared" si="55"/>
        <v>468.98243144621489</v>
      </c>
      <c r="CG14" s="14">
        <f t="shared" si="55"/>
        <v>478.61743587897956</v>
      </c>
      <c r="CH14" s="14">
        <f t="shared" si="55"/>
        <v>488.97079122812829</v>
      </c>
      <c r="CI14" s="14">
        <f t="shared" si="55"/>
        <v>500.11310683766499</v>
      </c>
      <c r="CJ14" s="14">
        <f t="shared" si="55"/>
        <v>512.12204685725521</v>
      </c>
      <c r="CK14" s="14">
        <f t="shared" si="55"/>
        <v>575.10091820964749</v>
      </c>
      <c r="CM14" s="14">
        <f t="shared" si="52"/>
        <v>0</v>
      </c>
      <c r="CN14" s="14">
        <f t="shared" si="52"/>
        <v>0</v>
      </c>
      <c r="CO14" s="14">
        <f t="shared" si="52"/>
        <v>-2772.2960514821198</v>
      </c>
      <c r="CP14" s="14">
        <f t="shared" ref="CP14:CQ14" si="56">SUM(CP7,CP10:CP12)</f>
        <v>2382.1519276851791</v>
      </c>
      <c r="CQ14" s="14">
        <f t="shared" si="56"/>
        <v>3208.1969970944901</v>
      </c>
      <c r="CR14" s="14">
        <f t="shared" ref="CR14:CS14" si="57">SUM(CR7,CR10:CR12)</f>
        <v>4224.6403364552743</v>
      </c>
      <c r="CS14" s="14">
        <f t="shared" si="57"/>
        <v>5464.7012104754349</v>
      </c>
    </row>
    <row r="15" spans="2:97" hidden="1" x14ac:dyDescent="0.2">
      <c r="B15" s="92"/>
      <c r="C15" s="91"/>
      <c r="D15" s="9"/>
    </row>
    <row r="16" spans="2:97" hidden="1" x14ac:dyDescent="0.2">
      <c r="B16" s="224" t="s">
        <v>55</v>
      </c>
      <c r="C16" s="91" t="s">
        <v>4</v>
      </c>
      <c r="D16" s="9"/>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M16" s="11">
        <f>SUMIF($L$2:$CK$2,CM$3,$L16:$CK16)</f>
        <v>0</v>
      </c>
      <c r="CN16" s="11">
        <f>SUMIF($L$2:$CK$2,CN$3,$L16:$CK16)</f>
        <v>0</v>
      </c>
      <c r="CO16" s="11">
        <f>SUMIF($L$2:$CK$2,CO$3,$L16:$CK16)</f>
        <v>0</v>
      </c>
      <c r="CP16" s="11">
        <f>SUMIF($L$2:$CK$2,CP$3,$L16:$CK16)</f>
        <v>0</v>
      </c>
      <c r="CQ16" s="11">
        <f>SUMIF($L$2:$CK$2,CQ$3,$L16:$CK16)</f>
        <v>0</v>
      </c>
      <c r="CR16" s="11">
        <f t="shared" ref="CR16:CS16" si="58">SUMIF($L$2:$CK$2,CR$3,$L16:$CK16)</f>
        <v>0</v>
      </c>
      <c r="CS16" s="11">
        <f t="shared" si="58"/>
        <v>0</v>
      </c>
    </row>
    <row r="17" spans="1:97" x14ac:dyDescent="0.2">
      <c r="B17" s="92"/>
      <c r="C17" s="91"/>
      <c r="D17" s="9"/>
    </row>
    <row r="18" spans="1:97" s="12" customFormat="1" x14ac:dyDescent="0.2">
      <c r="B18" s="88" t="s">
        <v>61</v>
      </c>
      <c r="C18" s="89" t="s">
        <v>4</v>
      </c>
      <c r="D18" s="13"/>
      <c r="F18" s="14">
        <f t="shared" ref="F18:K18" si="59">SUM(F14,F16)</f>
        <v>0</v>
      </c>
      <c r="G18" s="14">
        <f t="shared" si="59"/>
        <v>0</v>
      </c>
      <c r="H18" s="14">
        <f t="shared" si="59"/>
        <v>0</v>
      </c>
      <c r="I18" s="14">
        <f t="shared" si="59"/>
        <v>0</v>
      </c>
      <c r="J18" s="14">
        <f t="shared" si="59"/>
        <v>0</v>
      </c>
      <c r="K18" s="14">
        <f t="shared" si="59"/>
        <v>0</v>
      </c>
      <c r="L18" s="14">
        <f>SUM(L14,L16)</f>
        <v>0</v>
      </c>
      <c r="M18" s="14">
        <f t="shared" ref="M18:AW18" si="60">SUM(M14,M16)</f>
        <v>0</v>
      </c>
      <c r="N18" s="14">
        <f t="shared" si="60"/>
        <v>0</v>
      </c>
      <c r="O18" s="14">
        <f t="shared" si="60"/>
        <v>0</v>
      </c>
      <c r="P18" s="14">
        <f t="shared" si="60"/>
        <v>0</v>
      </c>
      <c r="Q18" s="14">
        <f t="shared" si="60"/>
        <v>0</v>
      </c>
      <c r="R18" s="14">
        <f t="shared" si="60"/>
        <v>0</v>
      </c>
      <c r="S18" s="14">
        <f t="shared" si="60"/>
        <v>0</v>
      </c>
      <c r="T18" s="14">
        <f t="shared" si="60"/>
        <v>0</v>
      </c>
      <c r="U18" s="14">
        <f t="shared" si="60"/>
        <v>0</v>
      </c>
      <c r="V18" s="14">
        <f t="shared" si="60"/>
        <v>0</v>
      </c>
      <c r="W18" s="14">
        <f t="shared" si="60"/>
        <v>0</v>
      </c>
      <c r="X18" s="14">
        <f t="shared" si="60"/>
        <v>0</v>
      </c>
      <c r="Y18" s="14">
        <f t="shared" si="60"/>
        <v>0</v>
      </c>
      <c r="Z18" s="14">
        <f t="shared" si="60"/>
        <v>0</v>
      </c>
      <c r="AA18" s="14">
        <f t="shared" si="60"/>
        <v>0</v>
      </c>
      <c r="AB18" s="14">
        <f t="shared" si="60"/>
        <v>0</v>
      </c>
      <c r="AC18" s="14">
        <f t="shared" si="60"/>
        <v>0</v>
      </c>
      <c r="AD18" s="14">
        <f t="shared" si="60"/>
        <v>0</v>
      </c>
      <c r="AE18" s="14">
        <f t="shared" si="60"/>
        <v>0</v>
      </c>
      <c r="AF18" s="14">
        <f t="shared" si="60"/>
        <v>0</v>
      </c>
      <c r="AG18" s="14">
        <f t="shared" si="60"/>
        <v>0</v>
      </c>
      <c r="AH18" s="14">
        <f t="shared" si="60"/>
        <v>0</v>
      </c>
      <c r="AI18" s="14">
        <f t="shared" si="60"/>
        <v>0</v>
      </c>
      <c r="AJ18" s="14">
        <f t="shared" si="60"/>
        <v>-904.4580666666667</v>
      </c>
      <c r="AK18" s="14">
        <f t="shared" si="60"/>
        <v>-768.06950000000006</v>
      </c>
      <c r="AL18" s="14">
        <f t="shared" si="60"/>
        <v>-750.73851499999989</v>
      </c>
      <c r="AM18" s="14">
        <f t="shared" si="60"/>
        <v>-334.87328529999996</v>
      </c>
      <c r="AN18" s="14">
        <f t="shared" si="60"/>
        <v>-81.440751006000013</v>
      </c>
      <c r="AO18" s="14">
        <f t="shared" si="60"/>
        <v>67.284066490546763</v>
      </c>
      <c r="AP18" s="14">
        <f t="shared" si="60"/>
        <v>126.22336657076993</v>
      </c>
      <c r="AQ18" s="14">
        <f t="shared" si="60"/>
        <v>148.89570322784704</v>
      </c>
      <c r="AR18" s="14">
        <f t="shared" si="60"/>
        <v>173.83527355063163</v>
      </c>
      <c r="AS18" s="14">
        <f t="shared" si="60"/>
        <v>201.26880090569486</v>
      </c>
      <c r="AT18" s="14">
        <f t="shared" si="60"/>
        <v>201.31731024320706</v>
      </c>
      <c r="AU18" s="14">
        <f t="shared" si="60"/>
        <v>205.82419532737197</v>
      </c>
      <c r="AV18" s="14">
        <f t="shared" si="60"/>
        <v>210.65131135691922</v>
      </c>
      <c r="AW18" s="14">
        <f t="shared" si="60"/>
        <v>215.83002913857186</v>
      </c>
      <c r="AX18" s="14">
        <f t="shared" ref="AX18:BU18" si="61">SUM(AX14,AX16)</f>
        <v>208.39485329828631</v>
      </c>
      <c r="AY18" s="14">
        <f t="shared" si="61"/>
        <v>214.38373564686833</v>
      </c>
      <c r="AZ18" s="14">
        <f t="shared" si="61"/>
        <v>220.83841988206848</v>
      </c>
      <c r="BA18" s="14">
        <f t="shared" si="61"/>
        <v>254.68892853694209</v>
      </c>
      <c r="BB18" s="14">
        <f t="shared" si="61"/>
        <v>194.0779623681421</v>
      </c>
      <c r="BC18" s="14">
        <f t="shared" si="61"/>
        <v>194.0779623681421</v>
      </c>
      <c r="BD18" s="14">
        <f t="shared" si="61"/>
        <v>225.25242527162303</v>
      </c>
      <c r="BE18" s="14">
        <f t="shared" si="61"/>
        <v>259.54433446545181</v>
      </c>
      <c r="BF18" s="14">
        <f t="shared" si="61"/>
        <v>264.81330447067569</v>
      </c>
      <c r="BG18" s="14">
        <f t="shared" si="61"/>
        <v>270.44691082588179</v>
      </c>
      <c r="BH18" s="14">
        <f t="shared" si="61"/>
        <v>276.48080586281583</v>
      </c>
      <c r="BI18" s="14">
        <f t="shared" si="61"/>
        <v>282.95420308988145</v>
      </c>
      <c r="BJ18" s="14">
        <f t="shared" si="61"/>
        <v>289.91023328952451</v>
      </c>
      <c r="BK18" s="14">
        <f t="shared" si="61"/>
        <v>297.39633622525196</v>
      </c>
      <c r="BL18" s="14">
        <f t="shared" si="61"/>
        <v>305.46469151925254</v>
      </c>
      <c r="BM18" s="14">
        <f t="shared" si="61"/>
        <v>347.77782733784454</v>
      </c>
      <c r="BN18" s="14">
        <f t="shared" si="61"/>
        <v>262.66178075580007</v>
      </c>
      <c r="BO18" s="14">
        <f t="shared" si="61"/>
        <v>262.66178075580007</v>
      </c>
      <c r="BP18" s="14">
        <f t="shared" si="61"/>
        <v>300.69462549804666</v>
      </c>
      <c r="BQ18" s="14">
        <f t="shared" si="61"/>
        <v>342.53075471451803</v>
      </c>
      <c r="BR18" s="14">
        <f t="shared" si="61"/>
        <v>348.95889812089081</v>
      </c>
      <c r="BS18" s="14">
        <f t="shared" si="61"/>
        <v>355.83189787424215</v>
      </c>
      <c r="BT18" s="14">
        <f t="shared" si="61"/>
        <v>363.19324981930174</v>
      </c>
      <c r="BU18" s="14">
        <f t="shared" si="61"/>
        <v>371.09079443632214</v>
      </c>
      <c r="BV18" s="14">
        <f t="shared" ref="BV18:BX18" si="62">SUM(BV14,BV16)</f>
        <v>379.57715127988655</v>
      </c>
      <c r="BW18" s="14">
        <f t="shared" si="62"/>
        <v>388.71019686147417</v>
      </c>
      <c r="BX18" s="14">
        <f t="shared" si="62"/>
        <v>398.55359032015451</v>
      </c>
      <c r="BY18" s="14">
        <f t="shared" ref="BY18:CK18" si="63">SUM(BY14,BY16)</f>
        <v>450.17561601883699</v>
      </c>
      <c r="BZ18" s="14">
        <f t="shared" si="63"/>
        <v>346.33403918874285</v>
      </c>
      <c r="CA18" s="14">
        <f t="shared" si="63"/>
        <v>346.33403918874285</v>
      </c>
      <c r="CB18" s="14">
        <f t="shared" si="63"/>
        <v>392.73410977428341</v>
      </c>
      <c r="CC18" s="14">
        <f t="shared" si="63"/>
        <v>443.77418741837869</v>
      </c>
      <c r="CD18" s="14">
        <f t="shared" si="63"/>
        <v>451.61652237415365</v>
      </c>
      <c r="CE18" s="14">
        <f t="shared" si="63"/>
        <v>460.00158207324245</v>
      </c>
      <c r="CF18" s="14">
        <f t="shared" si="63"/>
        <v>468.98243144621489</v>
      </c>
      <c r="CG18" s="14">
        <f t="shared" si="63"/>
        <v>478.61743587897956</v>
      </c>
      <c r="CH18" s="14">
        <f t="shared" si="63"/>
        <v>488.97079122812829</v>
      </c>
      <c r="CI18" s="14">
        <f t="shared" si="63"/>
        <v>500.11310683766499</v>
      </c>
      <c r="CJ18" s="14">
        <f t="shared" si="63"/>
        <v>512.12204685725521</v>
      </c>
      <c r="CK18" s="14">
        <f t="shared" si="63"/>
        <v>575.10091820964749</v>
      </c>
      <c r="CM18" s="14">
        <f>SUM(CM14,CM16)</f>
        <v>0</v>
      </c>
      <c r="CN18" s="14">
        <f t="shared" ref="CN18:CO18" si="64">SUM(CN14,CN16)</f>
        <v>0</v>
      </c>
      <c r="CO18" s="14">
        <f t="shared" si="64"/>
        <v>-2772.2960514821198</v>
      </c>
      <c r="CP18" s="14">
        <f t="shared" ref="CP18:CQ18" si="65">SUM(CP14,CP16)</f>
        <v>2382.1519276851791</v>
      </c>
      <c r="CQ18" s="14">
        <f t="shared" si="65"/>
        <v>3208.1969970944901</v>
      </c>
      <c r="CR18" s="14">
        <f t="shared" ref="CR18:CS18" si="66">SUM(CR14,CR16)</f>
        <v>4224.6403364552743</v>
      </c>
      <c r="CS18" s="14">
        <f t="shared" si="66"/>
        <v>5464.7012104754349</v>
      </c>
    </row>
    <row r="19" spans="1:97" x14ac:dyDescent="0.2">
      <c r="B19" s="92"/>
      <c r="C19" s="91"/>
      <c r="D19" s="9"/>
    </row>
    <row r="20" spans="1:97" x14ac:dyDescent="0.2">
      <c r="B20" s="90" t="s">
        <v>63</v>
      </c>
      <c r="C20" s="91" t="s">
        <v>4</v>
      </c>
      <c r="D20" s="9"/>
    </row>
    <row r="21" spans="1:97" x14ac:dyDescent="0.2">
      <c r="B21" s="92"/>
      <c r="C21" s="91"/>
      <c r="D21" s="9"/>
    </row>
    <row r="22" spans="1:97" s="12" customFormat="1" x14ac:dyDescent="0.2">
      <c r="B22" s="88" t="s">
        <v>62</v>
      </c>
      <c r="C22" s="89" t="s">
        <v>4</v>
      </c>
      <c r="D22" s="13"/>
      <c r="F22" s="14">
        <f t="shared" ref="F22:K22" si="67">F18+F20</f>
        <v>0</v>
      </c>
      <c r="G22" s="14">
        <f t="shared" si="67"/>
        <v>0</v>
      </c>
      <c r="H22" s="14">
        <f t="shared" si="67"/>
        <v>0</v>
      </c>
      <c r="I22" s="14">
        <f t="shared" si="67"/>
        <v>0</v>
      </c>
      <c r="J22" s="14">
        <f t="shared" si="67"/>
        <v>0</v>
      </c>
      <c r="K22" s="14">
        <f t="shared" si="67"/>
        <v>0</v>
      </c>
      <c r="L22" s="14">
        <f>L18+L20</f>
        <v>0</v>
      </c>
      <c r="M22" s="14">
        <f t="shared" ref="M22:AW22" si="68">M18+M20</f>
        <v>0</v>
      </c>
      <c r="N22" s="14">
        <f t="shared" si="68"/>
        <v>0</v>
      </c>
      <c r="O22" s="14">
        <f t="shared" si="68"/>
        <v>0</v>
      </c>
      <c r="P22" s="14">
        <f t="shared" si="68"/>
        <v>0</v>
      </c>
      <c r="Q22" s="14">
        <f t="shared" si="68"/>
        <v>0</v>
      </c>
      <c r="R22" s="14">
        <f t="shared" si="68"/>
        <v>0</v>
      </c>
      <c r="S22" s="14">
        <f t="shared" si="68"/>
        <v>0</v>
      </c>
      <c r="T22" s="14">
        <f t="shared" si="68"/>
        <v>0</v>
      </c>
      <c r="U22" s="14">
        <f t="shared" si="68"/>
        <v>0</v>
      </c>
      <c r="V22" s="14">
        <f t="shared" si="68"/>
        <v>0</v>
      </c>
      <c r="W22" s="14">
        <f t="shared" si="68"/>
        <v>0</v>
      </c>
      <c r="X22" s="14">
        <f t="shared" si="68"/>
        <v>0</v>
      </c>
      <c r="Y22" s="14">
        <f t="shared" si="68"/>
        <v>0</v>
      </c>
      <c r="Z22" s="14">
        <f t="shared" si="68"/>
        <v>0</v>
      </c>
      <c r="AA22" s="14">
        <f t="shared" si="68"/>
        <v>0</v>
      </c>
      <c r="AB22" s="14">
        <f t="shared" si="68"/>
        <v>0</v>
      </c>
      <c r="AC22" s="14">
        <f t="shared" si="68"/>
        <v>0</v>
      </c>
      <c r="AD22" s="14">
        <f t="shared" si="68"/>
        <v>0</v>
      </c>
      <c r="AE22" s="14">
        <f t="shared" si="68"/>
        <v>0</v>
      </c>
      <c r="AF22" s="14">
        <f t="shared" si="68"/>
        <v>0</v>
      </c>
      <c r="AG22" s="14">
        <f t="shared" si="68"/>
        <v>0</v>
      </c>
      <c r="AH22" s="14">
        <f t="shared" si="68"/>
        <v>0</v>
      </c>
      <c r="AI22" s="14">
        <f t="shared" si="68"/>
        <v>0</v>
      </c>
      <c r="AJ22" s="14">
        <f t="shared" si="68"/>
        <v>-904.4580666666667</v>
      </c>
      <c r="AK22" s="14">
        <f t="shared" si="68"/>
        <v>-768.06950000000006</v>
      </c>
      <c r="AL22" s="14">
        <f t="shared" si="68"/>
        <v>-750.73851499999989</v>
      </c>
      <c r="AM22" s="14">
        <f t="shared" si="68"/>
        <v>-334.87328529999996</v>
      </c>
      <c r="AN22" s="14">
        <f t="shared" si="68"/>
        <v>-81.440751006000013</v>
      </c>
      <c r="AO22" s="14">
        <f t="shared" si="68"/>
        <v>67.284066490546763</v>
      </c>
      <c r="AP22" s="14">
        <f t="shared" si="68"/>
        <v>126.22336657076993</v>
      </c>
      <c r="AQ22" s="14">
        <f t="shared" si="68"/>
        <v>148.89570322784704</v>
      </c>
      <c r="AR22" s="14">
        <f t="shared" si="68"/>
        <v>173.83527355063163</v>
      </c>
      <c r="AS22" s="14">
        <f t="shared" si="68"/>
        <v>201.26880090569486</v>
      </c>
      <c r="AT22" s="14">
        <f t="shared" si="68"/>
        <v>201.31731024320706</v>
      </c>
      <c r="AU22" s="14">
        <f t="shared" si="68"/>
        <v>205.82419532737197</v>
      </c>
      <c r="AV22" s="14">
        <f t="shared" si="68"/>
        <v>210.65131135691922</v>
      </c>
      <c r="AW22" s="14">
        <f t="shared" si="68"/>
        <v>215.83002913857186</v>
      </c>
      <c r="AX22" s="14">
        <f t="shared" ref="AX22:BU22" si="69">AX18+AX20</f>
        <v>208.39485329828631</v>
      </c>
      <c r="AY22" s="14">
        <f t="shared" si="69"/>
        <v>214.38373564686833</v>
      </c>
      <c r="AZ22" s="14">
        <f t="shared" si="69"/>
        <v>220.83841988206848</v>
      </c>
      <c r="BA22" s="14">
        <f t="shared" si="69"/>
        <v>254.68892853694209</v>
      </c>
      <c r="BB22" s="14">
        <f t="shared" si="69"/>
        <v>194.0779623681421</v>
      </c>
      <c r="BC22" s="14">
        <f t="shared" si="69"/>
        <v>194.0779623681421</v>
      </c>
      <c r="BD22" s="14">
        <f t="shared" si="69"/>
        <v>225.25242527162303</v>
      </c>
      <c r="BE22" s="14">
        <f t="shared" si="69"/>
        <v>259.54433446545181</v>
      </c>
      <c r="BF22" s="14">
        <f t="shared" si="69"/>
        <v>264.81330447067569</v>
      </c>
      <c r="BG22" s="14">
        <f t="shared" si="69"/>
        <v>270.44691082588179</v>
      </c>
      <c r="BH22" s="14">
        <f t="shared" si="69"/>
        <v>276.48080586281583</v>
      </c>
      <c r="BI22" s="14">
        <f t="shared" si="69"/>
        <v>282.95420308988145</v>
      </c>
      <c r="BJ22" s="14">
        <f t="shared" si="69"/>
        <v>289.91023328952451</v>
      </c>
      <c r="BK22" s="14">
        <f t="shared" si="69"/>
        <v>297.39633622525196</v>
      </c>
      <c r="BL22" s="14">
        <f t="shared" si="69"/>
        <v>305.46469151925254</v>
      </c>
      <c r="BM22" s="14">
        <f t="shared" si="69"/>
        <v>347.77782733784454</v>
      </c>
      <c r="BN22" s="14">
        <f t="shared" si="69"/>
        <v>262.66178075580007</v>
      </c>
      <c r="BO22" s="14">
        <f t="shared" si="69"/>
        <v>262.66178075580007</v>
      </c>
      <c r="BP22" s="14">
        <f t="shared" si="69"/>
        <v>300.69462549804666</v>
      </c>
      <c r="BQ22" s="14">
        <f t="shared" si="69"/>
        <v>342.53075471451803</v>
      </c>
      <c r="BR22" s="14">
        <f t="shared" si="69"/>
        <v>348.95889812089081</v>
      </c>
      <c r="BS22" s="14">
        <f t="shared" si="69"/>
        <v>355.83189787424215</v>
      </c>
      <c r="BT22" s="14">
        <f t="shared" si="69"/>
        <v>363.19324981930174</v>
      </c>
      <c r="BU22" s="14">
        <f t="shared" si="69"/>
        <v>371.09079443632214</v>
      </c>
      <c r="BV22" s="14">
        <f t="shared" ref="BV22:BX22" si="70">BV18+BV20</f>
        <v>379.57715127988655</v>
      </c>
      <c r="BW22" s="14">
        <f t="shared" si="70"/>
        <v>388.71019686147417</v>
      </c>
      <c r="BX22" s="14">
        <f t="shared" si="70"/>
        <v>398.55359032015451</v>
      </c>
      <c r="BY22" s="14">
        <f t="shared" ref="BY22:CK22" si="71">BY18+BY20</f>
        <v>450.17561601883699</v>
      </c>
      <c r="BZ22" s="14">
        <f t="shared" si="71"/>
        <v>346.33403918874285</v>
      </c>
      <c r="CA22" s="14">
        <f t="shared" si="71"/>
        <v>346.33403918874285</v>
      </c>
      <c r="CB22" s="14">
        <f t="shared" si="71"/>
        <v>392.73410977428341</v>
      </c>
      <c r="CC22" s="14">
        <f t="shared" si="71"/>
        <v>443.77418741837869</v>
      </c>
      <c r="CD22" s="14">
        <f t="shared" si="71"/>
        <v>451.61652237415365</v>
      </c>
      <c r="CE22" s="14">
        <f t="shared" si="71"/>
        <v>460.00158207324245</v>
      </c>
      <c r="CF22" s="14">
        <f t="shared" si="71"/>
        <v>468.98243144621489</v>
      </c>
      <c r="CG22" s="14">
        <f t="shared" si="71"/>
        <v>478.61743587897956</v>
      </c>
      <c r="CH22" s="14">
        <f t="shared" si="71"/>
        <v>488.97079122812829</v>
      </c>
      <c r="CI22" s="14">
        <f t="shared" si="71"/>
        <v>500.11310683766499</v>
      </c>
      <c r="CJ22" s="14">
        <f t="shared" si="71"/>
        <v>512.12204685725521</v>
      </c>
      <c r="CK22" s="14">
        <f t="shared" si="71"/>
        <v>575.10091820964749</v>
      </c>
      <c r="CM22" s="14">
        <f>SUM(CM18,CM20)</f>
        <v>0</v>
      </c>
      <c r="CN22" s="14">
        <f t="shared" ref="CN22:CO22" si="72">SUM(CN18,CN20)</f>
        <v>0</v>
      </c>
      <c r="CO22" s="14">
        <f t="shared" si="72"/>
        <v>-2772.2960514821198</v>
      </c>
      <c r="CP22" s="14">
        <f t="shared" ref="CP22:CQ22" si="73">SUM(CP18,CP20)</f>
        <v>2382.1519276851791</v>
      </c>
      <c r="CQ22" s="14">
        <f t="shared" si="73"/>
        <v>3208.1969970944901</v>
      </c>
      <c r="CR22" s="14">
        <f t="shared" ref="CR22:CS22" si="74">SUM(CR18,CR20)</f>
        <v>4224.6403364552743</v>
      </c>
      <c r="CS22" s="14">
        <f t="shared" si="74"/>
        <v>5464.7012104754349</v>
      </c>
    </row>
    <row r="23" spans="1:97" x14ac:dyDescent="0.2">
      <c r="B23" s="92"/>
      <c r="C23" s="91"/>
      <c r="D23" s="9" t="s">
        <v>322</v>
      </c>
    </row>
    <row r="24" spans="1:97" x14ac:dyDescent="0.2">
      <c r="B24" s="90" t="s">
        <v>60</v>
      </c>
      <c r="C24" s="91" t="s">
        <v>4</v>
      </c>
      <c r="D24" s="234">
        <v>0.25</v>
      </c>
      <c r="F24" s="11">
        <f>-IF(F22&lt;0,0,F22*0.2)</f>
        <v>0</v>
      </c>
      <c r="G24" s="11">
        <f t="shared" ref="G24:Q24" si="75">-IF(G22&lt;0,0,G22*0.2)</f>
        <v>0</v>
      </c>
      <c r="H24" s="11">
        <f t="shared" si="75"/>
        <v>0</v>
      </c>
      <c r="I24" s="11">
        <f t="shared" si="75"/>
        <v>0</v>
      </c>
      <c r="J24" s="11">
        <f t="shared" si="75"/>
        <v>0</v>
      </c>
      <c r="K24" s="11">
        <f t="shared" si="75"/>
        <v>0</v>
      </c>
      <c r="L24" s="11">
        <f t="shared" si="75"/>
        <v>0</v>
      </c>
      <c r="M24" s="11">
        <f t="shared" si="75"/>
        <v>0</v>
      </c>
      <c r="N24" s="11">
        <f t="shared" si="75"/>
        <v>0</v>
      </c>
      <c r="O24" s="11">
        <f t="shared" si="75"/>
        <v>0</v>
      </c>
      <c r="P24" s="11">
        <f t="shared" si="75"/>
        <v>0</v>
      </c>
      <c r="Q24" s="11">
        <f t="shared" si="75"/>
        <v>0</v>
      </c>
      <c r="R24" s="11">
        <f>-IF(R22&lt;0,0,R22*$D24)</f>
        <v>0</v>
      </c>
      <c r="S24" s="11">
        <f t="shared" ref="S24:BX24" si="76">-IF(S22&lt;0,0,S22*$D24)</f>
        <v>0</v>
      </c>
      <c r="T24" s="11">
        <f t="shared" si="76"/>
        <v>0</v>
      </c>
      <c r="U24" s="11">
        <f t="shared" si="76"/>
        <v>0</v>
      </c>
      <c r="V24" s="11">
        <f t="shared" si="76"/>
        <v>0</v>
      </c>
      <c r="W24" s="11">
        <f t="shared" si="76"/>
        <v>0</v>
      </c>
      <c r="X24" s="11">
        <f t="shared" si="76"/>
        <v>0</v>
      </c>
      <c r="Y24" s="11">
        <f t="shared" si="76"/>
        <v>0</v>
      </c>
      <c r="Z24" s="11">
        <f t="shared" si="76"/>
        <v>0</v>
      </c>
      <c r="AA24" s="11">
        <f t="shared" si="76"/>
        <v>0</v>
      </c>
      <c r="AB24" s="11">
        <f t="shared" si="76"/>
        <v>0</v>
      </c>
      <c r="AC24" s="11">
        <f t="shared" si="76"/>
        <v>0</v>
      </c>
      <c r="AD24" s="11">
        <f t="shared" si="76"/>
        <v>0</v>
      </c>
      <c r="AE24" s="11">
        <f t="shared" si="76"/>
        <v>0</v>
      </c>
      <c r="AF24" s="11">
        <f t="shared" si="76"/>
        <v>0</v>
      </c>
      <c r="AG24" s="11">
        <f t="shared" si="76"/>
        <v>0</v>
      </c>
      <c r="AH24" s="11">
        <f t="shared" si="76"/>
        <v>0</v>
      </c>
      <c r="AI24" s="11">
        <f t="shared" si="76"/>
        <v>0</v>
      </c>
      <c r="AJ24" s="11">
        <f t="shared" si="76"/>
        <v>0</v>
      </c>
      <c r="AK24" s="11">
        <f t="shared" si="76"/>
        <v>0</v>
      </c>
      <c r="AL24" s="11">
        <f t="shared" si="76"/>
        <v>0</v>
      </c>
      <c r="AM24" s="11">
        <f t="shared" si="76"/>
        <v>0</v>
      </c>
      <c r="AN24" s="11">
        <f t="shared" si="76"/>
        <v>0</v>
      </c>
      <c r="AO24" s="11">
        <f t="shared" si="76"/>
        <v>-16.821016622636691</v>
      </c>
      <c r="AP24" s="11">
        <f t="shared" si="76"/>
        <v>-31.555841642692481</v>
      </c>
      <c r="AQ24" s="11">
        <f t="shared" si="76"/>
        <v>-37.223925806961759</v>
      </c>
      <c r="AR24" s="11">
        <f t="shared" si="76"/>
        <v>-43.458818387657907</v>
      </c>
      <c r="AS24" s="11">
        <f t="shared" si="76"/>
        <v>-50.317200226423715</v>
      </c>
      <c r="AT24" s="11">
        <f t="shared" si="76"/>
        <v>-50.329327560801765</v>
      </c>
      <c r="AU24" s="11">
        <f t="shared" si="76"/>
        <v>-51.456048831842992</v>
      </c>
      <c r="AV24" s="11">
        <f t="shared" si="76"/>
        <v>-52.662827839229806</v>
      </c>
      <c r="AW24" s="11">
        <f t="shared" si="76"/>
        <v>-53.957507284642965</v>
      </c>
      <c r="AX24" s="11">
        <f t="shared" si="76"/>
        <v>-52.098713324571577</v>
      </c>
      <c r="AY24" s="11">
        <f t="shared" si="76"/>
        <v>-53.595933911717083</v>
      </c>
      <c r="AZ24" s="11">
        <f t="shared" si="76"/>
        <v>-55.20960497051712</v>
      </c>
      <c r="BA24" s="11">
        <f t="shared" si="76"/>
        <v>-63.672232134235522</v>
      </c>
      <c r="BB24" s="11">
        <f t="shared" si="76"/>
        <v>-48.519490592035524</v>
      </c>
      <c r="BC24" s="11">
        <f t="shared" si="76"/>
        <v>-48.519490592035524</v>
      </c>
      <c r="BD24" s="11">
        <f t="shared" si="76"/>
        <v>-56.313106317905756</v>
      </c>
      <c r="BE24" s="11">
        <f t="shared" si="76"/>
        <v>-64.886083616362953</v>
      </c>
      <c r="BF24" s="11">
        <f t="shared" si="76"/>
        <v>-66.203326117668922</v>
      </c>
      <c r="BG24" s="11">
        <f t="shared" si="76"/>
        <v>-67.611727706470447</v>
      </c>
      <c r="BH24" s="11">
        <f t="shared" si="76"/>
        <v>-69.120201465703957</v>
      </c>
      <c r="BI24" s="11">
        <f t="shared" si="76"/>
        <v>-70.738550772470361</v>
      </c>
      <c r="BJ24" s="11">
        <f t="shared" si="76"/>
        <v>-72.477558322381128</v>
      </c>
      <c r="BK24" s="11">
        <f t="shared" si="76"/>
        <v>-74.349084056312989</v>
      </c>
      <c r="BL24" s="11">
        <f t="shared" si="76"/>
        <v>-76.366172879813135</v>
      </c>
      <c r="BM24" s="11">
        <f t="shared" si="76"/>
        <v>-86.944456834461135</v>
      </c>
      <c r="BN24" s="11">
        <f t="shared" si="76"/>
        <v>-65.665445188950017</v>
      </c>
      <c r="BO24" s="11">
        <f t="shared" si="76"/>
        <v>-65.665445188950017</v>
      </c>
      <c r="BP24" s="11">
        <f t="shared" si="76"/>
        <v>-75.173656374511665</v>
      </c>
      <c r="BQ24" s="11">
        <f t="shared" si="76"/>
        <v>-85.632688678629506</v>
      </c>
      <c r="BR24" s="11">
        <f t="shared" si="76"/>
        <v>-87.239724530222702</v>
      </c>
      <c r="BS24" s="11">
        <f t="shared" si="76"/>
        <v>-88.957974468560536</v>
      </c>
      <c r="BT24" s="11">
        <f t="shared" si="76"/>
        <v>-90.798312454825435</v>
      </c>
      <c r="BU24" s="11">
        <f t="shared" si="76"/>
        <v>-92.772698609080535</v>
      </c>
      <c r="BV24" s="11">
        <f t="shared" si="76"/>
        <v>-94.894287819971638</v>
      </c>
      <c r="BW24" s="11">
        <f t="shared" si="76"/>
        <v>-97.177549215368543</v>
      </c>
      <c r="BX24" s="11">
        <f t="shared" si="76"/>
        <v>-99.638397580038628</v>
      </c>
      <c r="BY24" s="11">
        <f t="shared" ref="BY24:CK24" si="77">-IF(BY22&lt;0,0,BY22*$D24)</f>
        <v>-112.54390400470925</v>
      </c>
      <c r="BZ24" s="11">
        <f t="shared" si="77"/>
        <v>-86.583509797185712</v>
      </c>
      <c r="CA24" s="11">
        <f t="shared" si="77"/>
        <v>-86.583509797185712</v>
      </c>
      <c r="CB24" s="11">
        <f t="shared" si="77"/>
        <v>-98.183527443570853</v>
      </c>
      <c r="CC24" s="11">
        <f t="shared" si="77"/>
        <v>-110.94354685459467</v>
      </c>
      <c r="CD24" s="11">
        <f t="shared" si="77"/>
        <v>-112.90413059353841</v>
      </c>
      <c r="CE24" s="11">
        <f t="shared" si="77"/>
        <v>-115.00039551831061</v>
      </c>
      <c r="CF24" s="11">
        <f t="shared" si="77"/>
        <v>-117.24560786155372</v>
      </c>
      <c r="CG24" s="11">
        <f t="shared" si="77"/>
        <v>-119.65435896974489</v>
      </c>
      <c r="CH24" s="11">
        <f t="shared" si="77"/>
        <v>-122.24269780703207</v>
      </c>
      <c r="CI24" s="11">
        <f t="shared" si="77"/>
        <v>-125.02827670941625</v>
      </c>
      <c r="CJ24" s="11">
        <f t="shared" si="77"/>
        <v>-128.0305117143138</v>
      </c>
      <c r="CK24" s="11">
        <f t="shared" si="77"/>
        <v>-143.77522955241187</v>
      </c>
      <c r="CM24" s="11">
        <f>SUMIF($L$2:$CK$2,CM$3,$L24:$CK24)</f>
        <v>0</v>
      </c>
      <c r="CN24" s="11">
        <f>SUMIF($L$2:$CK$2,CN$3,$L24:$CK24)</f>
        <v>0</v>
      </c>
      <c r="CO24" s="11">
        <f>SUMIF($L$2:$CK$2,CO$3,$L24:$CK24)</f>
        <v>-16.821016622636691</v>
      </c>
      <c r="CP24" s="11">
        <f>SUMIF($L$2:$CK$2,CP$3,$L24:$CK24)</f>
        <v>-595.53798192129477</v>
      </c>
      <c r="CQ24" s="11">
        <f>SUMIF($L$2:$CK$2,CQ$3,$L24:$CK24)</f>
        <v>-802.04924927362185</v>
      </c>
      <c r="CR24" s="11">
        <f t="shared" ref="CR24:CS24" si="78">SUMIF($L$2:$CK$2,CR$3,$L24:$CK24)</f>
        <v>-1056.1600841138184</v>
      </c>
      <c r="CS24" s="11">
        <f t="shared" si="78"/>
        <v>-1366.1753026188587</v>
      </c>
    </row>
    <row r="25" spans="1:97" x14ac:dyDescent="0.2">
      <c r="B25" s="92"/>
      <c r="C25" s="91"/>
      <c r="D25" s="9"/>
    </row>
    <row r="26" spans="1:97" s="12" customFormat="1" x14ac:dyDescent="0.2">
      <c r="B26" s="88" t="s">
        <v>57</v>
      </c>
      <c r="C26" s="89" t="s">
        <v>4</v>
      </c>
      <c r="D26" s="13"/>
      <c r="F26" s="93">
        <f t="shared" ref="F26:K26" si="79">F22+F24</f>
        <v>0</v>
      </c>
      <c r="G26" s="93">
        <f t="shared" si="79"/>
        <v>0</v>
      </c>
      <c r="H26" s="93">
        <f t="shared" si="79"/>
        <v>0</v>
      </c>
      <c r="I26" s="93">
        <f t="shared" si="79"/>
        <v>0</v>
      </c>
      <c r="J26" s="93">
        <f t="shared" si="79"/>
        <v>0</v>
      </c>
      <c r="K26" s="93">
        <f t="shared" si="79"/>
        <v>0</v>
      </c>
      <c r="L26" s="93">
        <f>L22+L24</f>
        <v>0</v>
      </c>
      <c r="M26" s="93">
        <f t="shared" ref="M26:AW26" si="80">M22+M24</f>
        <v>0</v>
      </c>
      <c r="N26" s="93">
        <f t="shared" si="80"/>
        <v>0</v>
      </c>
      <c r="O26" s="93">
        <f t="shared" si="80"/>
        <v>0</v>
      </c>
      <c r="P26" s="93">
        <f t="shared" si="80"/>
        <v>0</v>
      </c>
      <c r="Q26" s="93">
        <f t="shared" si="80"/>
        <v>0</v>
      </c>
      <c r="R26" s="93">
        <f t="shared" si="80"/>
        <v>0</v>
      </c>
      <c r="S26" s="93">
        <f t="shared" si="80"/>
        <v>0</v>
      </c>
      <c r="T26" s="93">
        <f t="shared" si="80"/>
        <v>0</v>
      </c>
      <c r="U26" s="93">
        <f t="shared" si="80"/>
        <v>0</v>
      </c>
      <c r="V26" s="93">
        <f t="shared" si="80"/>
        <v>0</v>
      </c>
      <c r="W26" s="93">
        <f t="shared" si="80"/>
        <v>0</v>
      </c>
      <c r="X26" s="93">
        <f t="shared" si="80"/>
        <v>0</v>
      </c>
      <c r="Y26" s="93">
        <f t="shared" si="80"/>
        <v>0</v>
      </c>
      <c r="Z26" s="93">
        <f t="shared" si="80"/>
        <v>0</v>
      </c>
      <c r="AA26" s="93">
        <f t="shared" si="80"/>
        <v>0</v>
      </c>
      <c r="AB26" s="93">
        <f t="shared" si="80"/>
        <v>0</v>
      </c>
      <c r="AC26" s="93">
        <f t="shared" si="80"/>
        <v>0</v>
      </c>
      <c r="AD26" s="93">
        <f t="shared" si="80"/>
        <v>0</v>
      </c>
      <c r="AE26" s="93">
        <f t="shared" si="80"/>
        <v>0</v>
      </c>
      <c r="AF26" s="93">
        <f t="shared" si="80"/>
        <v>0</v>
      </c>
      <c r="AG26" s="93">
        <f t="shared" si="80"/>
        <v>0</v>
      </c>
      <c r="AH26" s="93">
        <f t="shared" si="80"/>
        <v>0</v>
      </c>
      <c r="AI26" s="93">
        <f t="shared" si="80"/>
        <v>0</v>
      </c>
      <c r="AJ26" s="93">
        <f t="shared" si="80"/>
        <v>-904.4580666666667</v>
      </c>
      <c r="AK26" s="93">
        <f t="shared" si="80"/>
        <v>-768.06950000000006</v>
      </c>
      <c r="AL26" s="93">
        <f t="shared" si="80"/>
        <v>-750.73851499999989</v>
      </c>
      <c r="AM26" s="93">
        <f t="shared" si="80"/>
        <v>-334.87328529999996</v>
      </c>
      <c r="AN26" s="93">
        <f t="shared" si="80"/>
        <v>-81.440751006000013</v>
      </c>
      <c r="AO26" s="93">
        <f t="shared" si="80"/>
        <v>50.463049867910073</v>
      </c>
      <c r="AP26" s="93">
        <f t="shared" si="80"/>
        <v>94.667524928077441</v>
      </c>
      <c r="AQ26" s="93">
        <f t="shared" si="80"/>
        <v>111.67177742088528</v>
      </c>
      <c r="AR26" s="93">
        <f t="shared" si="80"/>
        <v>130.37645516297371</v>
      </c>
      <c r="AS26" s="93">
        <f t="shared" si="80"/>
        <v>150.95160067927114</v>
      </c>
      <c r="AT26" s="93">
        <f t="shared" si="80"/>
        <v>150.98798268240529</v>
      </c>
      <c r="AU26" s="93">
        <f t="shared" si="80"/>
        <v>154.36814649552898</v>
      </c>
      <c r="AV26" s="93">
        <f t="shared" si="80"/>
        <v>157.98848351768942</v>
      </c>
      <c r="AW26" s="93">
        <f t="shared" si="80"/>
        <v>161.8725218539289</v>
      </c>
      <c r="AX26" s="93">
        <f t="shared" ref="AX26:BU26" si="81">AX22+AX24</f>
        <v>156.29613997371473</v>
      </c>
      <c r="AY26" s="93">
        <f t="shared" si="81"/>
        <v>160.78780173515125</v>
      </c>
      <c r="AZ26" s="93">
        <f t="shared" si="81"/>
        <v>165.62881491155136</v>
      </c>
      <c r="BA26" s="93">
        <f t="shared" si="81"/>
        <v>191.01669640270657</v>
      </c>
      <c r="BB26" s="93">
        <f t="shared" si="81"/>
        <v>145.55847177610656</v>
      </c>
      <c r="BC26" s="93">
        <f t="shared" si="81"/>
        <v>145.55847177610656</v>
      </c>
      <c r="BD26" s="93">
        <f t="shared" si="81"/>
        <v>168.93931895371728</v>
      </c>
      <c r="BE26" s="93">
        <f t="shared" si="81"/>
        <v>194.65825084908886</v>
      </c>
      <c r="BF26" s="93">
        <f t="shared" si="81"/>
        <v>198.60997835300677</v>
      </c>
      <c r="BG26" s="93">
        <f t="shared" si="81"/>
        <v>202.83518311941134</v>
      </c>
      <c r="BH26" s="93">
        <f t="shared" si="81"/>
        <v>207.36060439711187</v>
      </c>
      <c r="BI26" s="93">
        <f t="shared" si="81"/>
        <v>212.21565231741107</v>
      </c>
      <c r="BJ26" s="93">
        <f t="shared" si="81"/>
        <v>217.43267496714338</v>
      </c>
      <c r="BK26" s="93">
        <f t="shared" si="81"/>
        <v>223.04725216893897</v>
      </c>
      <c r="BL26" s="93">
        <f t="shared" si="81"/>
        <v>229.09851863943942</v>
      </c>
      <c r="BM26" s="93">
        <f t="shared" si="81"/>
        <v>260.83337050338343</v>
      </c>
      <c r="BN26" s="93">
        <f t="shared" si="81"/>
        <v>196.99633556685006</v>
      </c>
      <c r="BO26" s="93">
        <f t="shared" si="81"/>
        <v>196.99633556685006</v>
      </c>
      <c r="BP26" s="93">
        <f t="shared" si="81"/>
        <v>225.520969123535</v>
      </c>
      <c r="BQ26" s="93">
        <f t="shared" si="81"/>
        <v>256.89806603588852</v>
      </c>
      <c r="BR26" s="93">
        <f t="shared" si="81"/>
        <v>261.71917359066811</v>
      </c>
      <c r="BS26" s="93">
        <f t="shared" si="81"/>
        <v>266.87392340568158</v>
      </c>
      <c r="BT26" s="93">
        <f t="shared" si="81"/>
        <v>272.39493736447628</v>
      </c>
      <c r="BU26" s="93">
        <f t="shared" si="81"/>
        <v>278.31809582724162</v>
      </c>
      <c r="BV26" s="93">
        <f t="shared" ref="BV26:BX26" si="82">BV22+BV24</f>
        <v>284.68286345991493</v>
      </c>
      <c r="BW26" s="93">
        <f t="shared" si="82"/>
        <v>291.5326476461056</v>
      </c>
      <c r="BX26" s="93">
        <f t="shared" si="82"/>
        <v>298.91519274011591</v>
      </c>
      <c r="BY26" s="93">
        <f t="shared" ref="BY26:CK26" si="83">BY22+BY24</f>
        <v>337.63171201412774</v>
      </c>
      <c r="BZ26" s="93">
        <f t="shared" si="83"/>
        <v>259.75052939155717</v>
      </c>
      <c r="CA26" s="93">
        <f t="shared" si="83"/>
        <v>259.75052939155717</v>
      </c>
      <c r="CB26" s="93">
        <f t="shared" si="83"/>
        <v>294.55058233071259</v>
      </c>
      <c r="CC26" s="93">
        <f t="shared" si="83"/>
        <v>332.83064056378402</v>
      </c>
      <c r="CD26" s="93">
        <f t="shared" si="83"/>
        <v>338.71239178061523</v>
      </c>
      <c r="CE26" s="93">
        <f t="shared" si="83"/>
        <v>345.00118655493185</v>
      </c>
      <c r="CF26" s="93">
        <f t="shared" si="83"/>
        <v>351.73682358466118</v>
      </c>
      <c r="CG26" s="93">
        <f t="shared" si="83"/>
        <v>358.9630769092347</v>
      </c>
      <c r="CH26" s="93">
        <f t="shared" si="83"/>
        <v>366.72809342109622</v>
      </c>
      <c r="CI26" s="93">
        <f t="shared" si="83"/>
        <v>375.08483012824877</v>
      </c>
      <c r="CJ26" s="93">
        <f t="shared" si="83"/>
        <v>384.09153514294144</v>
      </c>
      <c r="CK26" s="93">
        <f t="shared" si="83"/>
        <v>431.32568865723562</v>
      </c>
      <c r="CM26" s="94">
        <f>CM22+CM24</f>
        <v>0</v>
      </c>
      <c r="CN26" s="94">
        <f t="shared" ref="CN26:CO26" si="84">CN22+CN24</f>
        <v>0</v>
      </c>
      <c r="CO26" s="94">
        <f t="shared" si="84"/>
        <v>-2789.1170681047565</v>
      </c>
      <c r="CP26" s="94">
        <f t="shared" ref="CP26:CQ26" si="85">CP22+CP24</f>
        <v>1786.6139457638842</v>
      </c>
      <c r="CQ26" s="94">
        <f t="shared" si="85"/>
        <v>2406.1477478208681</v>
      </c>
      <c r="CR26" s="94">
        <f t="shared" ref="CR26:CS26" si="86">CR22+CR24</f>
        <v>3168.480252341456</v>
      </c>
      <c r="CS26" s="94">
        <f t="shared" si="86"/>
        <v>4098.5259078565759</v>
      </c>
    </row>
    <row r="27" spans="1:97" s="5" customFormat="1" x14ac:dyDescent="0.2">
      <c r="B27" s="5" t="s">
        <v>64</v>
      </c>
      <c r="C27" s="15" t="s">
        <v>59</v>
      </c>
      <c r="L27" s="16" t="str">
        <f>IFERROR(L26/L4,"")</f>
        <v/>
      </c>
      <c r="M27" s="16" t="str">
        <f t="shared" ref="M27:AW27" si="87">IFERROR(M26/M4,"")</f>
        <v/>
      </c>
      <c r="N27" s="16" t="str">
        <f t="shared" si="87"/>
        <v/>
      </c>
      <c r="O27" s="16" t="str">
        <f t="shared" si="87"/>
        <v/>
      </c>
      <c r="P27" s="16" t="str">
        <f t="shared" si="87"/>
        <v/>
      </c>
      <c r="Q27" s="16" t="str">
        <f t="shared" si="87"/>
        <v/>
      </c>
      <c r="R27" s="16" t="str">
        <f t="shared" si="87"/>
        <v/>
      </c>
      <c r="S27" s="16" t="str">
        <f t="shared" si="87"/>
        <v/>
      </c>
      <c r="T27" s="16" t="str">
        <f t="shared" si="87"/>
        <v/>
      </c>
      <c r="U27" s="16" t="str">
        <f t="shared" si="87"/>
        <v/>
      </c>
      <c r="V27" s="16" t="str">
        <f t="shared" si="87"/>
        <v/>
      </c>
      <c r="W27" s="16" t="str">
        <f t="shared" si="87"/>
        <v/>
      </c>
      <c r="X27" s="16" t="str">
        <f t="shared" si="87"/>
        <v/>
      </c>
      <c r="Y27" s="16" t="str">
        <f t="shared" si="87"/>
        <v/>
      </c>
      <c r="Z27" s="16" t="str">
        <f t="shared" si="87"/>
        <v/>
      </c>
      <c r="AA27" s="16" t="str">
        <f t="shared" si="87"/>
        <v/>
      </c>
      <c r="AB27" s="16" t="str">
        <f t="shared" si="87"/>
        <v/>
      </c>
      <c r="AC27" s="16" t="str">
        <f t="shared" si="87"/>
        <v/>
      </c>
      <c r="AD27" s="16" t="str">
        <f t="shared" si="87"/>
        <v/>
      </c>
      <c r="AE27" s="16" t="str">
        <f t="shared" si="87"/>
        <v/>
      </c>
      <c r="AF27" s="16" t="str">
        <f t="shared" si="87"/>
        <v/>
      </c>
      <c r="AG27" s="16" t="str">
        <f t="shared" si="87"/>
        <v/>
      </c>
      <c r="AH27" s="16" t="str">
        <f t="shared" si="87"/>
        <v/>
      </c>
      <c r="AI27" s="16" t="str">
        <f t="shared" si="87"/>
        <v/>
      </c>
      <c r="AJ27" s="16">
        <f t="shared" si="87"/>
        <v>-4.0198136296296294</v>
      </c>
      <c r="AK27" s="16">
        <f t="shared" si="87"/>
        <v>-1.271287448275862</v>
      </c>
      <c r="AL27" s="16">
        <f t="shared" si="87"/>
        <v>-1.1146133226105781</v>
      </c>
      <c r="AM27" s="16">
        <f t="shared" si="87"/>
        <v>-0.48743405003547963</v>
      </c>
      <c r="AN27" s="16">
        <f t="shared" si="87"/>
        <v>-0.11621895312719074</v>
      </c>
      <c r="AO27" s="16">
        <f t="shared" si="87"/>
        <v>7.0600619550722582E-2</v>
      </c>
      <c r="AP27" s="16">
        <f t="shared" si="87"/>
        <v>0.11266069877284195</v>
      </c>
      <c r="AQ27" s="16">
        <f t="shared" si="87"/>
        <v>0.12081536252076548</v>
      </c>
      <c r="AR27" s="16">
        <f t="shared" si="87"/>
        <v>0.1282286932006958</v>
      </c>
      <c r="AS27" s="16">
        <f t="shared" si="87"/>
        <v>0.13496808472790531</v>
      </c>
      <c r="AT27" s="16">
        <f t="shared" si="87"/>
        <v>0.1331408721033629</v>
      </c>
      <c r="AU27" s="16">
        <f t="shared" si="87"/>
        <v>0.13414564134785176</v>
      </c>
      <c r="AV27" s="16">
        <f t="shared" si="87"/>
        <v>0.13518994678324464</v>
      </c>
      <c r="AW27" s="16">
        <f t="shared" si="87"/>
        <v>0.13627534052045534</v>
      </c>
      <c r="AX27" s="16">
        <f t="shared" ref="AX27:BU27" si="88">IFERROR(AX26/AX4,"")</f>
        <v>0.12933510003781071</v>
      </c>
      <c r="AY27" s="16">
        <f t="shared" si="88"/>
        <v>0.13065221788831788</v>
      </c>
      <c r="AZ27" s="16">
        <f t="shared" si="88"/>
        <v>0.13201959468263744</v>
      </c>
      <c r="BA27" s="16">
        <f t="shared" si="88"/>
        <v>0.13841435880239772</v>
      </c>
      <c r="BB27" s="16">
        <f t="shared" si="88"/>
        <v>0.12598133524333055</v>
      </c>
      <c r="BC27" s="16">
        <f t="shared" si="88"/>
        <v>0.12598133524333055</v>
      </c>
      <c r="BD27" s="16">
        <f t="shared" si="88"/>
        <v>0.13292503203939146</v>
      </c>
      <c r="BE27" s="16">
        <f t="shared" si="88"/>
        <v>0.13923748367217395</v>
      </c>
      <c r="BF27" s="16">
        <f t="shared" si="88"/>
        <v>0.14010707478340673</v>
      </c>
      <c r="BG27" s="16">
        <f t="shared" si="88"/>
        <v>0.14101072712303617</v>
      </c>
      <c r="BH27" s="16">
        <f t="shared" si="88"/>
        <v>0.14194993685219207</v>
      </c>
      <c r="BI27" s="16">
        <f t="shared" si="88"/>
        <v>0.14292609988209101</v>
      </c>
      <c r="BJ27" s="16">
        <f t="shared" si="88"/>
        <v>0.14394048003024854</v>
      </c>
      <c r="BK27" s="16">
        <f t="shared" si="88"/>
        <v>0.14499417431065426</v>
      </c>
      <c r="BL27" s="16">
        <f t="shared" si="88"/>
        <v>0.14608807574611007</v>
      </c>
      <c r="BM27" s="16">
        <f t="shared" si="88"/>
        <v>0.15120388704191828</v>
      </c>
      <c r="BN27" s="16">
        <f t="shared" si="88"/>
        <v>0.1397548977404349</v>
      </c>
      <c r="BO27" s="16">
        <f t="shared" si="88"/>
        <v>0.1397548977404349</v>
      </c>
      <c r="BP27" s="16">
        <f t="shared" si="88"/>
        <v>0.14544645249130445</v>
      </c>
      <c r="BQ27" s="16">
        <f t="shared" si="88"/>
        <v>0.1506205931739131</v>
      </c>
      <c r="BR27" s="16">
        <f t="shared" si="88"/>
        <v>0.15133337277328415</v>
      </c>
      <c r="BS27" s="16">
        <f t="shared" si="88"/>
        <v>0.15207407141232462</v>
      </c>
      <c r="BT27" s="16">
        <f t="shared" si="88"/>
        <v>0.15284391545261636</v>
      </c>
      <c r="BU27" s="16">
        <f t="shared" si="88"/>
        <v>0.15364404908368121</v>
      </c>
      <c r="BV27" s="16">
        <f t="shared" ref="BV27:BX27" si="89">IFERROR(BV26/BV4,"")</f>
        <v>0.15447550822151521</v>
      </c>
      <c r="BW27" s="16">
        <f t="shared" si="89"/>
        <v>0.15533919205791336</v>
      </c>
      <c r="BX27" s="16">
        <f t="shared" si="89"/>
        <v>0.15623583257877866</v>
      </c>
      <c r="BY27" s="16">
        <f t="shared" ref="BY27:CK27" si="90">IFERROR(BY26/BY4,"")</f>
        <v>0.16042912052616251</v>
      </c>
      <c r="BZ27" s="16">
        <f t="shared" si="90"/>
        <v>0.15104470306593029</v>
      </c>
      <c r="CA27" s="16">
        <f t="shared" si="90"/>
        <v>0.15104470306593029</v>
      </c>
      <c r="CB27" s="16">
        <f t="shared" si="90"/>
        <v>0.15570991187811833</v>
      </c>
      <c r="CC27" s="16">
        <f t="shared" si="90"/>
        <v>0.15995101079828941</v>
      </c>
      <c r="CD27" s="16">
        <f t="shared" si="90"/>
        <v>0.16053525637154442</v>
      </c>
      <c r="CE27" s="16">
        <f t="shared" si="90"/>
        <v>0.16114238640354486</v>
      </c>
      <c r="CF27" s="16">
        <f t="shared" si="90"/>
        <v>0.16177340610870197</v>
      </c>
      <c r="CG27" s="16">
        <f t="shared" si="90"/>
        <v>0.16242925334727962</v>
      </c>
      <c r="CH27" s="16">
        <f t="shared" si="90"/>
        <v>0.16311077723075018</v>
      </c>
      <c r="CI27" s="16">
        <f t="shared" si="90"/>
        <v>0.16381871480156834</v>
      </c>
      <c r="CJ27" s="16">
        <f t="shared" si="90"/>
        <v>0.16455366604817925</v>
      </c>
      <c r="CK27" s="16">
        <f t="shared" si="90"/>
        <v>0.16799078731652659</v>
      </c>
      <c r="CM27" s="16" t="str">
        <f>IFERROR(CM26/CM4,"")</f>
        <v/>
      </c>
      <c r="CN27" s="16" t="str">
        <f t="shared" ref="CN27:CO27" si="91">IFERROR(CN26/CN4,"")</f>
        <v/>
      </c>
      <c r="CO27" s="16">
        <f t="shared" si="91"/>
        <v>-0.77362838370002651</v>
      </c>
      <c r="CP27" s="16">
        <f t="shared" ref="CP27:CQ27" si="92">IFERROR(CP26/CP4,"")</f>
        <v>0.13122606847116428</v>
      </c>
      <c r="CQ27" s="16">
        <f t="shared" si="92"/>
        <v>0.14051720329983977</v>
      </c>
      <c r="CR27" s="16">
        <f t="shared" ref="CR27:CS27" si="93">IFERROR(CR26/CR4,"")</f>
        <v>0.15166954368839314</v>
      </c>
      <c r="CS27" s="16">
        <f t="shared" si="93"/>
        <v>0.16081080630196157</v>
      </c>
    </row>
    <row r="31" spans="1:97" x14ac:dyDescent="0.2">
      <c r="A31" s="19"/>
      <c r="B31" s="20" t="s">
        <v>89</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row>
    <row r="33" spans="2:99" x14ac:dyDescent="0.2">
      <c r="B33" s="12" t="s">
        <v>65</v>
      </c>
      <c r="F33" s="188" t="s">
        <v>284</v>
      </c>
      <c r="G33" s="188" t="s">
        <v>284</v>
      </c>
      <c r="H33" s="188" t="s">
        <v>284</v>
      </c>
      <c r="I33" s="188" t="s">
        <v>284</v>
      </c>
      <c r="J33" s="188" t="s">
        <v>284</v>
      </c>
      <c r="K33" s="188" t="s">
        <v>284</v>
      </c>
      <c r="L33" s="188" t="s">
        <v>284</v>
      </c>
      <c r="M33" s="188" t="s">
        <v>284</v>
      </c>
      <c r="N33" s="188" t="s">
        <v>284</v>
      </c>
      <c r="O33" s="188" t="s">
        <v>284</v>
      </c>
      <c r="P33" s="188" t="s">
        <v>284</v>
      </c>
      <c r="Q33" s="188" t="s">
        <v>284</v>
      </c>
      <c r="R33" s="3">
        <v>1</v>
      </c>
      <c r="S33" s="3">
        <f>R33+1</f>
        <v>2</v>
      </c>
      <c r="T33" s="3">
        <f t="shared" ref="T33:BX33" si="94">S33+1</f>
        <v>3</v>
      </c>
      <c r="U33" s="3">
        <f t="shared" si="94"/>
        <v>4</v>
      </c>
      <c r="V33" s="3">
        <f t="shared" si="94"/>
        <v>5</v>
      </c>
      <c r="W33" s="3">
        <f t="shared" si="94"/>
        <v>6</v>
      </c>
      <c r="X33" s="3">
        <f t="shared" si="94"/>
        <v>7</v>
      </c>
      <c r="Y33" s="3">
        <f t="shared" si="94"/>
        <v>8</v>
      </c>
      <c r="Z33" s="3">
        <f t="shared" si="94"/>
        <v>9</v>
      </c>
      <c r="AA33" s="3">
        <f t="shared" si="94"/>
        <v>10</v>
      </c>
      <c r="AB33" s="3">
        <f t="shared" si="94"/>
        <v>11</v>
      </c>
      <c r="AC33" s="3">
        <f t="shared" si="94"/>
        <v>12</v>
      </c>
      <c r="AD33" s="3">
        <f t="shared" si="94"/>
        <v>13</v>
      </c>
      <c r="AE33" s="3">
        <f t="shared" si="94"/>
        <v>14</v>
      </c>
      <c r="AF33" s="3">
        <f t="shared" si="94"/>
        <v>15</v>
      </c>
      <c r="AG33" s="3">
        <f t="shared" si="94"/>
        <v>16</v>
      </c>
      <c r="AH33" s="3">
        <f t="shared" si="94"/>
        <v>17</v>
      </c>
      <c r="AI33" s="3">
        <f t="shared" si="94"/>
        <v>18</v>
      </c>
      <c r="AJ33" s="3">
        <f t="shared" si="94"/>
        <v>19</v>
      </c>
      <c r="AK33" s="3">
        <f t="shared" si="94"/>
        <v>20</v>
      </c>
      <c r="AL33" s="3">
        <f t="shared" si="94"/>
        <v>21</v>
      </c>
      <c r="AM33" s="3">
        <f t="shared" si="94"/>
        <v>22</v>
      </c>
      <c r="AN33" s="3">
        <f t="shared" si="94"/>
        <v>23</v>
      </c>
      <c r="AO33" s="3">
        <f t="shared" si="94"/>
        <v>24</v>
      </c>
      <c r="AP33" s="3">
        <f t="shared" si="94"/>
        <v>25</v>
      </c>
      <c r="AQ33" s="3">
        <f t="shared" si="94"/>
        <v>26</v>
      </c>
      <c r="AR33" s="3">
        <f t="shared" si="94"/>
        <v>27</v>
      </c>
      <c r="AS33" s="3">
        <f t="shared" si="94"/>
        <v>28</v>
      </c>
      <c r="AT33" s="3">
        <f t="shared" si="94"/>
        <v>29</v>
      </c>
      <c r="AU33" s="3">
        <f t="shared" si="94"/>
        <v>30</v>
      </c>
      <c r="AV33" s="3">
        <f t="shared" si="94"/>
        <v>31</v>
      </c>
      <c r="AW33" s="3">
        <f t="shared" si="94"/>
        <v>32</v>
      </c>
      <c r="AX33" s="3">
        <f t="shared" si="94"/>
        <v>33</v>
      </c>
      <c r="AY33" s="3">
        <f t="shared" si="94"/>
        <v>34</v>
      </c>
      <c r="AZ33" s="3">
        <f t="shared" si="94"/>
        <v>35</v>
      </c>
      <c r="BA33" s="3">
        <f t="shared" si="94"/>
        <v>36</v>
      </c>
      <c r="BB33" s="3">
        <f t="shared" si="94"/>
        <v>37</v>
      </c>
      <c r="BC33" s="3">
        <f t="shared" si="94"/>
        <v>38</v>
      </c>
      <c r="BD33" s="3">
        <f t="shared" si="94"/>
        <v>39</v>
      </c>
      <c r="BE33" s="3">
        <f t="shared" si="94"/>
        <v>40</v>
      </c>
      <c r="BF33" s="3">
        <f t="shared" si="94"/>
        <v>41</v>
      </c>
      <c r="BG33" s="3">
        <f t="shared" si="94"/>
        <v>42</v>
      </c>
      <c r="BH33" s="3">
        <f t="shared" si="94"/>
        <v>43</v>
      </c>
      <c r="BI33" s="3">
        <f t="shared" si="94"/>
        <v>44</v>
      </c>
      <c r="BJ33" s="3">
        <f t="shared" si="94"/>
        <v>45</v>
      </c>
      <c r="BK33" s="3">
        <f t="shared" si="94"/>
        <v>46</v>
      </c>
      <c r="BL33" s="3">
        <f t="shared" si="94"/>
        <v>47</v>
      </c>
      <c r="BM33" s="3">
        <f t="shared" si="94"/>
        <v>48</v>
      </c>
      <c r="BN33" s="3">
        <f t="shared" si="94"/>
        <v>49</v>
      </c>
      <c r="BO33" s="3">
        <f t="shared" si="94"/>
        <v>50</v>
      </c>
      <c r="BP33" s="3">
        <f t="shared" si="94"/>
        <v>51</v>
      </c>
      <c r="BQ33" s="3">
        <f t="shared" si="94"/>
        <v>52</v>
      </c>
      <c r="BR33" s="3">
        <f t="shared" si="94"/>
        <v>53</v>
      </c>
      <c r="BS33" s="3">
        <f t="shared" si="94"/>
        <v>54</v>
      </c>
      <c r="BT33" s="3">
        <f t="shared" si="94"/>
        <v>55</v>
      </c>
      <c r="BU33" s="3">
        <f t="shared" si="94"/>
        <v>56</v>
      </c>
      <c r="BV33" s="3">
        <f t="shared" si="94"/>
        <v>57</v>
      </c>
      <c r="BW33" s="3">
        <f t="shared" si="94"/>
        <v>58</v>
      </c>
      <c r="BX33" s="3">
        <f t="shared" si="94"/>
        <v>59</v>
      </c>
      <c r="BY33" s="3">
        <f t="shared" ref="BY33" si="95">BX33+1</f>
        <v>60</v>
      </c>
      <c r="BZ33" s="3">
        <f t="shared" ref="BZ33" si="96">BY33+1</f>
        <v>61</v>
      </c>
      <c r="CA33" s="3">
        <f t="shared" ref="CA33" si="97">BZ33+1</f>
        <v>62</v>
      </c>
      <c r="CB33" s="3">
        <f t="shared" ref="CB33" si="98">CA33+1</f>
        <v>63</v>
      </c>
      <c r="CC33" s="3">
        <f t="shared" ref="CC33" si="99">CB33+1</f>
        <v>64</v>
      </c>
      <c r="CD33" s="3">
        <f t="shared" ref="CD33" si="100">CC33+1</f>
        <v>65</v>
      </c>
      <c r="CE33" s="3">
        <f t="shared" ref="CE33" si="101">CD33+1</f>
        <v>66</v>
      </c>
      <c r="CF33" s="3">
        <f t="shared" ref="CF33" si="102">CE33+1</f>
        <v>67</v>
      </c>
      <c r="CG33" s="3">
        <f t="shared" ref="CG33" si="103">CF33+1</f>
        <v>68</v>
      </c>
      <c r="CH33" s="3">
        <f t="shared" ref="CH33" si="104">CG33+1</f>
        <v>69</v>
      </c>
      <c r="CI33" s="3">
        <f t="shared" ref="CI33" si="105">CH33+1</f>
        <v>70</v>
      </c>
      <c r="CJ33" s="3">
        <f t="shared" ref="CJ33" si="106">CI33+1</f>
        <v>71</v>
      </c>
      <c r="CK33" s="3">
        <f t="shared" ref="CK33" si="107">CJ33+1</f>
        <v>72</v>
      </c>
    </row>
    <row r="34" spans="2:99" x14ac:dyDescent="0.2">
      <c r="B34" s="200" t="s">
        <v>1</v>
      </c>
      <c r="C34" s="200" t="s">
        <v>2</v>
      </c>
      <c r="D34" s="102"/>
      <c r="F34" s="201">
        <f t="shared" ref="F34:K34" si="108">F3</f>
        <v>45292</v>
      </c>
      <c r="G34" s="201">
        <f t="shared" si="108"/>
        <v>45323</v>
      </c>
      <c r="H34" s="201">
        <f t="shared" si="108"/>
        <v>45352</v>
      </c>
      <c r="I34" s="201">
        <f t="shared" si="108"/>
        <v>45383</v>
      </c>
      <c r="J34" s="201">
        <f t="shared" si="108"/>
        <v>45413</v>
      </c>
      <c r="K34" s="201">
        <f t="shared" si="108"/>
        <v>45444</v>
      </c>
      <c r="L34" s="201">
        <f>L3</f>
        <v>45474</v>
      </c>
      <c r="M34" s="201">
        <f t="shared" ref="M34:BU34" si="109">M3</f>
        <v>45505</v>
      </c>
      <c r="N34" s="201">
        <f t="shared" si="109"/>
        <v>45536</v>
      </c>
      <c r="O34" s="201">
        <f t="shared" si="109"/>
        <v>45566</v>
      </c>
      <c r="P34" s="201">
        <f t="shared" si="109"/>
        <v>45597</v>
      </c>
      <c r="Q34" s="201">
        <f t="shared" si="109"/>
        <v>45627</v>
      </c>
      <c r="R34" s="201">
        <f t="shared" si="109"/>
        <v>45658</v>
      </c>
      <c r="S34" s="201">
        <f t="shared" si="109"/>
        <v>45689</v>
      </c>
      <c r="T34" s="201">
        <f t="shared" si="109"/>
        <v>45717</v>
      </c>
      <c r="U34" s="201">
        <f t="shared" si="109"/>
        <v>45748</v>
      </c>
      <c r="V34" s="201">
        <f t="shared" si="109"/>
        <v>45778</v>
      </c>
      <c r="W34" s="201">
        <f t="shared" si="109"/>
        <v>45809</v>
      </c>
      <c r="X34" s="201">
        <f t="shared" si="109"/>
        <v>45839</v>
      </c>
      <c r="Y34" s="201">
        <f t="shared" si="109"/>
        <v>45870</v>
      </c>
      <c r="Z34" s="201">
        <f t="shared" si="109"/>
        <v>45901</v>
      </c>
      <c r="AA34" s="201">
        <f t="shared" si="109"/>
        <v>45931</v>
      </c>
      <c r="AB34" s="201">
        <f t="shared" si="109"/>
        <v>45962</v>
      </c>
      <c r="AC34" s="201">
        <f t="shared" si="109"/>
        <v>45992</v>
      </c>
      <c r="AD34" s="201">
        <f t="shared" si="109"/>
        <v>46023</v>
      </c>
      <c r="AE34" s="201">
        <f t="shared" si="109"/>
        <v>46054</v>
      </c>
      <c r="AF34" s="201">
        <f t="shared" si="109"/>
        <v>46082</v>
      </c>
      <c r="AG34" s="201">
        <f t="shared" si="109"/>
        <v>46113</v>
      </c>
      <c r="AH34" s="201">
        <f t="shared" si="109"/>
        <v>46143</v>
      </c>
      <c r="AI34" s="201">
        <f t="shared" si="109"/>
        <v>46174</v>
      </c>
      <c r="AJ34" s="201">
        <f t="shared" si="109"/>
        <v>46204</v>
      </c>
      <c r="AK34" s="201">
        <f t="shared" si="109"/>
        <v>46235</v>
      </c>
      <c r="AL34" s="201">
        <f t="shared" si="109"/>
        <v>46266</v>
      </c>
      <c r="AM34" s="201">
        <f t="shared" si="109"/>
        <v>46296</v>
      </c>
      <c r="AN34" s="201">
        <f t="shared" si="109"/>
        <v>46327</v>
      </c>
      <c r="AO34" s="201">
        <f t="shared" si="109"/>
        <v>46357</v>
      </c>
      <c r="AP34" s="201">
        <f t="shared" si="109"/>
        <v>46388</v>
      </c>
      <c r="AQ34" s="201">
        <f t="shared" si="109"/>
        <v>46419</v>
      </c>
      <c r="AR34" s="201">
        <f t="shared" si="109"/>
        <v>46447</v>
      </c>
      <c r="AS34" s="201">
        <f t="shared" si="109"/>
        <v>46478</v>
      </c>
      <c r="AT34" s="201">
        <f t="shared" si="109"/>
        <v>46508</v>
      </c>
      <c r="AU34" s="201">
        <f t="shared" si="109"/>
        <v>46539</v>
      </c>
      <c r="AV34" s="201">
        <f t="shared" si="109"/>
        <v>46569</v>
      </c>
      <c r="AW34" s="201">
        <f t="shared" si="109"/>
        <v>46600</v>
      </c>
      <c r="AX34" s="201">
        <f t="shared" si="109"/>
        <v>46631</v>
      </c>
      <c r="AY34" s="201">
        <f t="shared" si="109"/>
        <v>46661</v>
      </c>
      <c r="AZ34" s="201">
        <f t="shared" si="109"/>
        <v>46692</v>
      </c>
      <c r="BA34" s="201">
        <f t="shared" si="109"/>
        <v>46722</v>
      </c>
      <c r="BB34" s="201">
        <f t="shared" si="109"/>
        <v>46753</v>
      </c>
      <c r="BC34" s="201">
        <f t="shared" si="109"/>
        <v>46784</v>
      </c>
      <c r="BD34" s="201">
        <f t="shared" si="109"/>
        <v>46813</v>
      </c>
      <c r="BE34" s="201">
        <f t="shared" si="109"/>
        <v>46844</v>
      </c>
      <c r="BF34" s="201">
        <f t="shared" si="109"/>
        <v>46874</v>
      </c>
      <c r="BG34" s="201">
        <f t="shared" si="109"/>
        <v>46905</v>
      </c>
      <c r="BH34" s="201">
        <f t="shared" si="109"/>
        <v>46935</v>
      </c>
      <c r="BI34" s="201">
        <f t="shared" si="109"/>
        <v>46966</v>
      </c>
      <c r="BJ34" s="201">
        <f t="shared" si="109"/>
        <v>46997</v>
      </c>
      <c r="BK34" s="201">
        <f t="shared" si="109"/>
        <v>47027</v>
      </c>
      <c r="BL34" s="201">
        <f t="shared" si="109"/>
        <v>47058</v>
      </c>
      <c r="BM34" s="201">
        <f t="shared" si="109"/>
        <v>47088</v>
      </c>
      <c r="BN34" s="201">
        <f t="shared" si="109"/>
        <v>47119</v>
      </c>
      <c r="BO34" s="201">
        <f t="shared" si="109"/>
        <v>47150</v>
      </c>
      <c r="BP34" s="201">
        <f t="shared" si="109"/>
        <v>47178</v>
      </c>
      <c r="BQ34" s="201">
        <f t="shared" si="109"/>
        <v>47209</v>
      </c>
      <c r="BR34" s="201">
        <f t="shared" si="109"/>
        <v>47239</v>
      </c>
      <c r="BS34" s="201">
        <f t="shared" si="109"/>
        <v>47270</v>
      </c>
      <c r="BT34" s="201">
        <f t="shared" si="109"/>
        <v>47300</v>
      </c>
      <c r="BU34" s="201">
        <f t="shared" si="109"/>
        <v>47331</v>
      </c>
      <c r="BV34" s="201">
        <f t="shared" ref="BV34:BX34" si="110">BV3</f>
        <v>47362</v>
      </c>
      <c r="BW34" s="201">
        <f t="shared" si="110"/>
        <v>47392</v>
      </c>
      <c r="BX34" s="201">
        <f t="shared" si="110"/>
        <v>47423</v>
      </c>
      <c r="BY34" s="201">
        <f t="shared" ref="BY34:CK34" si="111">BY3</f>
        <v>47453</v>
      </c>
      <c r="BZ34" s="201">
        <f t="shared" si="111"/>
        <v>47484</v>
      </c>
      <c r="CA34" s="201">
        <f t="shared" si="111"/>
        <v>47515</v>
      </c>
      <c r="CB34" s="201">
        <f t="shared" si="111"/>
        <v>47543</v>
      </c>
      <c r="CC34" s="201">
        <f t="shared" si="111"/>
        <v>47574</v>
      </c>
      <c r="CD34" s="201">
        <f t="shared" si="111"/>
        <v>47604</v>
      </c>
      <c r="CE34" s="201">
        <f t="shared" si="111"/>
        <v>47635</v>
      </c>
      <c r="CF34" s="201">
        <f t="shared" si="111"/>
        <v>47665</v>
      </c>
      <c r="CG34" s="201">
        <f t="shared" si="111"/>
        <v>47696</v>
      </c>
      <c r="CH34" s="201">
        <f t="shared" si="111"/>
        <v>47727</v>
      </c>
      <c r="CI34" s="201">
        <f t="shared" si="111"/>
        <v>47757</v>
      </c>
      <c r="CJ34" s="201">
        <f t="shared" si="111"/>
        <v>47788</v>
      </c>
      <c r="CK34" s="201">
        <f t="shared" si="111"/>
        <v>47818</v>
      </c>
      <c r="CM34" s="202">
        <f>CM3</f>
        <v>2024</v>
      </c>
      <c r="CN34" s="202">
        <f>CM34+1</f>
        <v>2025</v>
      </c>
      <c r="CO34" s="202">
        <f t="shared" ref="CO34" si="112">CN34+1</f>
        <v>2026</v>
      </c>
      <c r="CP34" s="202">
        <f t="shared" ref="CP34" si="113">CO34+1</f>
        <v>2027</v>
      </c>
      <c r="CQ34" s="202">
        <f t="shared" ref="CQ34" si="114">CP34+1</f>
        <v>2028</v>
      </c>
      <c r="CR34" s="202">
        <f t="shared" ref="CR34" si="115">CQ34+1</f>
        <v>2029</v>
      </c>
      <c r="CS34" s="202">
        <f t="shared" ref="CS34" si="116">CR34+1</f>
        <v>2030</v>
      </c>
    </row>
    <row r="35" spans="2:99" x14ac:dyDescent="0.2">
      <c r="B35" s="92" t="s">
        <v>3</v>
      </c>
      <c r="C35" s="91" t="s">
        <v>4</v>
      </c>
      <c r="D35" s="9"/>
      <c r="F35" s="10">
        <v>0</v>
      </c>
      <c r="G35" s="10">
        <v>0</v>
      </c>
      <c r="H35" s="10">
        <v>0</v>
      </c>
      <c r="I35" s="10">
        <v>0</v>
      </c>
      <c r="J35" s="10">
        <v>0</v>
      </c>
      <c r="K35" s="10">
        <v>0</v>
      </c>
      <c r="L35" s="10">
        <v>0</v>
      </c>
      <c r="M35" s="10">
        <v>0</v>
      </c>
      <c r="N35" s="10">
        <v>0</v>
      </c>
      <c r="O35" s="10">
        <v>0</v>
      </c>
      <c r="P35" s="10">
        <v>0</v>
      </c>
      <c r="Q35" s="10">
        <v>0</v>
      </c>
      <c r="R35" s="10">
        <v>0</v>
      </c>
      <c r="S35" s="10"/>
      <c r="T35" s="10"/>
      <c r="U35" s="10"/>
      <c r="V35" s="10"/>
      <c r="W35" s="10"/>
      <c r="X35" s="10"/>
      <c r="Y35" s="10"/>
      <c r="Z35" s="10"/>
      <c r="AA35" s="10"/>
      <c r="AB35" s="10"/>
      <c r="AC35" s="10"/>
      <c r="AD35" s="10"/>
      <c r="AE35" s="10"/>
      <c r="AF35" s="10"/>
      <c r="AG35" s="10"/>
      <c r="AH35" s="10"/>
      <c r="AI35" s="10"/>
      <c r="AJ35" s="243">
        <v>50</v>
      </c>
      <c r="AK35" s="10">
        <v>60</v>
      </c>
      <c r="AL35" s="10">
        <v>69</v>
      </c>
      <c r="AM35" s="10">
        <v>70.38</v>
      </c>
      <c r="AN35" s="10">
        <v>71.787600000000012</v>
      </c>
      <c r="AO35" s="10">
        <v>73.22335200000002</v>
      </c>
      <c r="AP35" s="10">
        <v>95.190357600000013</v>
      </c>
      <c r="AQ35" s="10">
        <f>AP35*1.1</f>
        <v>104.70939336000002</v>
      </c>
      <c r="AR35" s="10">
        <f t="shared" ref="AR35" si="117">AQ35*1.1</f>
        <v>115.18033269600004</v>
      </c>
      <c r="AS35" s="10">
        <f t="shared" ref="AS35" si="118">AR35*1.1</f>
        <v>126.69836596560005</v>
      </c>
      <c r="AT35" s="10">
        <f t="shared" ref="AT35" si="119">AS35*1.1</f>
        <v>139.36820256216006</v>
      </c>
      <c r="AU35" s="10">
        <f t="shared" ref="AU35" si="120">AT35*1.1</f>
        <v>153.30502281837607</v>
      </c>
      <c r="AV35" s="10">
        <f t="shared" ref="AV35" si="121">AU35*1.1</f>
        <v>168.6355251002137</v>
      </c>
      <c r="AW35" s="10">
        <f t="shared" ref="AW35" si="122">AV35*1.1</f>
        <v>185.49907761023508</v>
      </c>
      <c r="AX35" s="10">
        <f>AW35*1.1</f>
        <v>204.0489853712586</v>
      </c>
      <c r="AY35" s="10">
        <f t="shared" ref="AY35" si="123">AX35*1.1</f>
        <v>224.45388390838448</v>
      </c>
      <c r="AZ35" s="10">
        <f t="shared" ref="AZ35" si="124">AY35*1.1</f>
        <v>246.89927229922296</v>
      </c>
      <c r="BA35" s="10">
        <f>AZ35*1.1</f>
        <v>271.58919952914528</v>
      </c>
      <c r="BB35" s="10">
        <f>AQ35*(1+BB$40)</f>
        <v>130.88674170000002</v>
      </c>
      <c r="BC35" s="10">
        <f t="shared" ref="BC35" si="125">AQ35*(1+BC$40)</f>
        <v>130.88674170000002</v>
      </c>
      <c r="BD35" s="10">
        <f t="shared" ref="BD35" si="126">AR35*(1+BD$40)</f>
        <v>143.97541587000003</v>
      </c>
      <c r="BE35" s="10">
        <f t="shared" ref="BE35" si="127">AS35*(1+BE$40)</f>
        <v>158.37295745700007</v>
      </c>
      <c r="BF35" s="10">
        <f t="shared" ref="BF35" si="128">AT35*(1+BF$40)</f>
        <v>174.21025320270007</v>
      </c>
      <c r="BG35" s="10">
        <f t="shared" ref="BG35" si="129">AU35*(1+BG$40)</f>
        <v>191.63127852297009</v>
      </c>
      <c r="BH35" s="10">
        <f t="shared" ref="BH35" si="130">AV35*(1+BH$40)</f>
        <v>210.79440637526713</v>
      </c>
      <c r="BI35" s="10">
        <f t="shared" ref="BI35" si="131">AW35*(1+BI$40)</f>
        <v>231.87384701279385</v>
      </c>
      <c r="BJ35" s="10">
        <f t="shared" ref="BJ35" si="132">AX35*(1+BJ$40)</f>
        <v>255.06123171407324</v>
      </c>
      <c r="BK35" s="10">
        <f t="shared" ref="BK35" si="133">AY35*(1+BK$40)</f>
        <v>280.5673548854806</v>
      </c>
      <c r="BL35" s="10">
        <f t="shared" ref="BL35" si="134">AZ35*(1+BL$40)</f>
        <v>308.6240903740287</v>
      </c>
      <c r="BM35" s="10">
        <f t="shared" ref="BM35" si="135">BA35*(1+BM$40)</f>
        <v>339.48649941143162</v>
      </c>
      <c r="BN35" s="10">
        <f t="shared" ref="BN35" si="136">BB35*(1+BN$40)</f>
        <v>159.68182487400003</v>
      </c>
      <c r="BO35" s="10">
        <f t="shared" ref="BO35" si="137">BC35*(1+BO$40)</f>
        <v>159.68182487400003</v>
      </c>
      <c r="BP35" s="10">
        <f t="shared" ref="BP35" si="138">BD35*(1+BP$40)</f>
        <v>175.65000736140004</v>
      </c>
      <c r="BQ35" s="10">
        <f t="shared" ref="BQ35" si="139">BE35*(1+BQ$40)</f>
        <v>193.21500809754008</v>
      </c>
      <c r="BR35" s="10">
        <f t="shared" ref="BR35" si="140">BF35*(1+BR$40)</f>
        <v>212.53650890729409</v>
      </c>
      <c r="BS35" s="10">
        <f t="shared" ref="BS35" si="141">BG35*(1+BS$40)</f>
        <v>233.7901597980235</v>
      </c>
      <c r="BT35" s="10">
        <f t="shared" ref="BT35" si="142">BH35*(1+BT$40)</f>
        <v>257.1691757778259</v>
      </c>
      <c r="BU35" s="10">
        <f t="shared" ref="BU35" si="143">BI35*(1+BU$40)</f>
        <v>282.88609335560847</v>
      </c>
      <c r="BV35" s="10">
        <f t="shared" ref="BV35" si="144">BJ35*(1+BV$40)</f>
        <v>311.17470269116933</v>
      </c>
      <c r="BW35" s="10">
        <f t="shared" ref="BW35" si="145">BK35*(1+BW$40)</f>
        <v>342.29217296028634</v>
      </c>
      <c r="BX35" s="10">
        <f t="shared" ref="BX35" si="146">BL35*(1+BX$40)</f>
        <v>376.52139025631499</v>
      </c>
      <c r="BY35" s="10">
        <f t="shared" ref="BY35" si="147">BM35*(1+BY$40)</f>
        <v>414.17352928194657</v>
      </c>
      <c r="BZ35" s="10">
        <f t="shared" ref="BZ35" si="148">BN35*(1+BZ$40)</f>
        <v>194.81182634628004</v>
      </c>
      <c r="CA35" s="10">
        <f t="shared" ref="CA35" si="149">BO35*(1+CA$40)</f>
        <v>194.81182634628004</v>
      </c>
      <c r="CB35" s="10">
        <f t="shared" ref="CB35" si="150">BP35*(1+CB$40)</f>
        <v>214.29300898090804</v>
      </c>
      <c r="CC35" s="10">
        <f t="shared" ref="CC35" si="151">BQ35*(1+CC$40)</f>
        <v>235.72230987899889</v>
      </c>
      <c r="CD35" s="10">
        <f t="shared" ref="CD35" si="152">BR35*(1+CD$40)</f>
        <v>259.29454086689879</v>
      </c>
      <c r="CE35" s="10">
        <f t="shared" ref="CE35" si="153">BS35*(1+CE$40)</f>
        <v>285.22399495358866</v>
      </c>
      <c r="CF35" s="10">
        <f t="shared" ref="CF35" si="154">BT35*(1+CF$40)</f>
        <v>313.74639444894757</v>
      </c>
      <c r="CG35" s="10">
        <f t="shared" ref="CG35" si="155">BU35*(1+CG$40)</f>
        <v>345.12103389384231</v>
      </c>
      <c r="CH35" s="10">
        <f t="shared" ref="CH35" si="156">BV35*(1+CH$40)</f>
        <v>379.63313728322657</v>
      </c>
      <c r="CI35" s="10">
        <f t="shared" ref="CI35" si="157">BW35*(1+CI$40)</f>
        <v>417.59645101154933</v>
      </c>
      <c r="CJ35" s="10">
        <f t="shared" ref="CJ35" si="158">BX35*(1+CJ$40)</f>
        <v>459.35609611270428</v>
      </c>
      <c r="CK35" s="10">
        <f t="shared" ref="CK35" si="159">BY35*(1+CK$40)</f>
        <v>505.29170572397481</v>
      </c>
      <c r="CM35" s="10">
        <f>SUMIF($L$2:$CK$2,CM$3,$L35:$CK35)</f>
        <v>0</v>
      </c>
      <c r="CN35" s="10">
        <f>SUMIF($L$2:$CK$2,CN$3,$L35:$CK35)</f>
        <v>0</v>
      </c>
      <c r="CO35" s="10">
        <f>SUMIF($L$2:$CK$2,CO$3,$L35:$CK35)</f>
        <v>394.39095200000003</v>
      </c>
      <c r="CP35" s="10">
        <f>SUMIF($L$2:$CK$2,CP$3,$L35:$CK35)</f>
        <v>2035.5776188205964</v>
      </c>
      <c r="CQ35" s="10">
        <f>SUMIF($L$2:$CK$2,CQ$3,$L35:$CK35)</f>
        <v>2556.370818225746</v>
      </c>
      <c r="CR35" s="10">
        <f t="shared" ref="CR35:CS35" si="160">SUMIF($L$2:$CK$2,CR$3,$L35:$CK35)</f>
        <v>3118.7723982354096</v>
      </c>
      <c r="CS35" s="10">
        <f t="shared" si="160"/>
        <v>3804.9023258471989</v>
      </c>
    </row>
    <row r="36" spans="2:99" x14ac:dyDescent="0.2">
      <c r="B36" s="190" t="s">
        <v>317</v>
      </c>
      <c r="C36" s="204" t="s">
        <v>59</v>
      </c>
      <c r="D36" s="9"/>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243"/>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M36" s="10"/>
      <c r="CN36" s="205"/>
      <c r="CO36" s="205"/>
      <c r="CP36" s="205">
        <f t="shared" ref="CP36:CQ36" si="161">CP35/CO35-1</f>
        <v>4.1613192658146891</v>
      </c>
      <c r="CQ36" s="205">
        <f t="shared" si="161"/>
        <v>0.25584541438753616</v>
      </c>
      <c r="CR36" s="205">
        <f t="shared" ref="CR36" si="162">CR35/CQ35-1</f>
        <v>0.21999999999999975</v>
      </c>
      <c r="CS36" s="205">
        <f t="shared" ref="CS36" si="163">CS35/CR35-1</f>
        <v>0.21999999999999975</v>
      </c>
    </row>
    <row r="37" spans="2:99" x14ac:dyDescent="0.2">
      <c r="B37" s="92" t="s">
        <v>5</v>
      </c>
      <c r="C37" s="91" t="s">
        <v>4</v>
      </c>
      <c r="D37" s="9"/>
      <c r="F37" s="10"/>
      <c r="G37" s="10"/>
      <c r="H37" s="10"/>
      <c r="I37" s="10"/>
      <c r="J37" s="10"/>
      <c r="K37" s="10"/>
      <c r="L37" s="10"/>
      <c r="M37" s="10"/>
      <c r="N37" s="10"/>
      <c r="O37" s="10">
        <v>0</v>
      </c>
      <c r="P37" s="10">
        <v>0</v>
      </c>
      <c r="Q37" s="10">
        <v>0</v>
      </c>
      <c r="R37" s="10">
        <v>0</v>
      </c>
      <c r="S37" s="10"/>
      <c r="T37" s="10"/>
      <c r="U37" s="10"/>
      <c r="V37" s="10"/>
      <c r="W37" s="10"/>
      <c r="X37" s="10"/>
      <c r="Y37" s="10"/>
      <c r="Z37" s="10"/>
      <c r="AA37" s="10"/>
      <c r="AB37" s="10"/>
      <c r="AC37" s="10"/>
      <c r="AD37" s="10"/>
      <c r="AE37" s="10"/>
      <c r="AF37" s="10"/>
      <c r="AG37" s="10"/>
      <c r="AH37" s="10"/>
      <c r="AI37" s="10"/>
      <c r="AJ37" s="243">
        <v>220</v>
      </c>
      <c r="AK37" s="10">
        <v>665</v>
      </c>
      <c r="AL37" s="10">
        <v>739.25</v>
      </c>
      <c r="AM37" s="10">
        <v>754.03499999999997</v>
      </c>
      <c r="AN37" s="10">
        <v>769.11569999999995</v>
      </c>
      <c r="AO37" s="10">
        <v>784.49801400000001</v>
      </c>
      <c r="AP37" s="10">
        <v>913.1562189</v>
      </c>
      <c r="AQ37" s="10">
        <f>AP37*1.1</f>
        <v>1004.4718407900001</v>
      </c>
      <c r="AR37" s="10">
        <f t="shared" ref="AR37" si="164">AQ37*1.1</f>
        <v>1104.9190248690002</v>
      </c>
      <c r="AS37" s="10">
        <f t="shared" ref="AS37" si="165">AR37*1.1</f>
        <v>1215.4109273559002</v>
      </c>
      <c r="AT37" s="10">
        <f>AS37*1.005</f>
        <v>1221.4879819926796</v>
      </c>
      <c r="AU37" s="10">
        <f t="shared" ref="AU37" si="166">AT37*1.005</f>
        <v>1227.5954219026428</v>
      </c>
      <c r="AV37" s="10">
        <f t="shared" ref="AV37" si="167">AU37*1.005</f>
        <v>1233.7333990121558</v>
      </c>
      <c r="AW37" s="10">
        <f t="shared" ref="AW37" si="168">AV37*1.005</f>
        <v>1239.9020660072165</v>
      </c>
      <c r="AX37" s="10">
        <f t="shared" ref="AX37" si="169">AW37*1.005</f>
        <v>1246.1015763372525</v>
      </c>
      <c r="AY37" s="10">
        <f t="shared" ref="AY37" si="170">AX37*1.005</f>
        <v>1252.3320842189387</v>
      </c>
      <c r="AZ37" s="10">
        <f t="shared" ref="AZ37" si="171">AY37*1.005</f>
        <v>1258.5937446400333</v>
      </c>
      <c r="BA37" s="10">
        <f t="shared" ref="BA37" si="172">AZ37*1.1</f>
        <v>1384.4531191040367</v>
      </c>
      <c r="BB37" s="10">
        <f>AQ37*(1+BB$40)</f>
        <v>1255.5898009875002</v>
      </c>
      <c r="BC37" s="10">
        <f t="shared" ref="BC37" si="173">AQ37*(1+BC$40)</f>
        <v>1255.5898009875002</v>
      </c>
      <c r="BD37" s="10">
        <f t="shared" ref="BD37" si="174">AR37*(1+BD$40)</f>
        <v>1381.1487810862502</v>
      </c>
      <c r="BE37" s="10">
        <f t="shared" ref="BE37" si="175">AS37*(1+BE$40)</f>
        <v>1519.2636591948753</v>
      </c>
      <c r="BF37" s="10">
        <f t="shared" ref="BF37" si="176">AT37*(1+BF$40)</f>
        <v>1526.8599774908494</v>
      </c>
      <c r="BG37" s="10">
        <f t="shared" ref="BG37" si="177">AU37*(1+BG$40)</f>
        <v>1534.4942773783034</v>
      </c>
      <c r="BH37" s="10">
        <f t="shared" ref="BH37" si="178">AV37*(1+BH$40)</f>
        <v>1542.1667487651948</v>
      </c>
      <c r="BI37" s="10">
        <f t="shared" ref="BI37" si="179">AW37*(1+BI$40)</f>
        <v>1549.8775825090206</v>
      </c>
      <c r="BJ37" s="10">
        <f t="shared" ref="BJ37" si="180">AX37*(1+BJ$40)</f>
        <v>1557.6269704215656</v>
      </c>
      <c r="BK37" s="10">
        <f t="shared" ref="BK37" si="181">AY37*(1+BK$40)</f>
        <v>1565.4151052736734</v>
      </c>
      <c r="BL37" s="10">
        <f t="shared" ref="BL37" si="182">AZ37*(1+BL$40)</f>
        <v>1573.2421808000415</v>
      </c>
      <c r="BM37" s="10">
        <f t="shared" ref="BM37" si="183">BA37*(1+BM$40)</f>
        <v>1730.5663988800459</v>
      </c>
      <c r="BN37" s="10">
        <f t="shared" ref="BN37" si="184">BB37*(1+BN$40)</f>
        <v>1531.8195572047503</v>
      </c>
      <c r="BO37" s="10">
        <f t="shared" ref="BO37" si="185">BC37*(1+BO$40)</f>
        <v>1531.8195572047503</v>
      </c>
      <c r="BP37" s="10">
        <f t="shared" ref="BP37" si="186">BD37*(1+BP$40)</f>
        <v>1685.0015129252251</v>
      </c>
      <c r="BQ37" s="10">
        <f t="shared" ref="BQ37" si="187">BE37*(1+BQ$40)</f>
        <v>1853.5016642177479</v>
      </c>
      <c r="BR37" s="10">
        <f t="shared" ref="BR37" si="188">BF37*(1+BR$40)</f>
        <v>1862.7691725388361</v>
      </c>
      <c r="BS37" s="10">
        <f t="shared" ref="BS37" si="189">BG37*(1+BS$40)</f>
        <v>1872.0830184015301</v>
      </c>
      <c r="BT37" s="10">
        <f t="shared" ref="BT37" si="190">BH37*(1+BT$40)</f>
        <v>1881.4434334935377</v>
      </c>
      <c r="BU37" s="10">
        <f t="shared" ref="BU37" si="191">BI37*(1+BU$40)</f>
        <v>1890.8506506610051</v>
      </c>
      <c r="BV37" s="10">
        <f t="shared" ref="BV37" si="192">BJ37*(1+BV$40)</f>
        <v>1900.30490391431</v>
      </c>
      <c r="BW37" s="10">
        <f t="shared" ref="BW37" si="193">BK37*(1+BW$40)</f>
        <v>1909.8064284338814</v>
      </c>
      <c r="BX37" s="10">
        <f t="shared" ref="BX37" si="194">BL37*(1+BX$40)</f>
        <v>1919.3554605760505</v>
      </c>
      <c r="BY37" s="10">
        <f t="shared" ref="BY37" si="195">BM37*(1+BY$40)</f>
        <v>2111.2910066336558</v>
      </c>
      <c r="BZ37" s="10">
        <f t="shared" ref="BZ37" si="196">BN37*(1+BZ$40)</f>
        <v>1868.8198597897954</v>
      </c>
      <c r="CA37" s="10">
        <f t="shared" ref="CA37" si="197">BO37*(1+CA$40)</f>
        <v>1868.8198597897954</v>
      </c>
      <c r="CB37" s="10">
        <f t="shared" ref="CB37" si="198">BP37*(1+CB$40)</f>
        <v>2055.7018457687745</v>
      </c>
      <c r="CC37" s="10">
        <f t="shared" ref="CC37" si="199">BQ37*(1+CC$40)</f>
        <v>2261.2720303456526</v>
      </c>
      <c r="CD37" s="10">
        <f t="shared" ref="CD37" si="200">BR37*(1+CD$40)</f>
        <v>2272.57839049738</v>
      </c>
      <c r="CE37" s="10">
        <f t="shared" ref="CE37" si="201">BS37*(1+CE$40)</f>
        <v>2283.9412824498668</v>
      </c>
      <c r="CF37" s="10">
        <f t="shared" ref="CF37" si="202">BT37*(1+CF$40)</f>
        <v>2295.3609888621158</v>
      </c>
      <c r="CG37" s="10">
        <f t="shared" ref="CG37" si="203">BU37*(1+CG$40)</f>
        <v>2306.8377938064264</v>
      </c>
      <c r="CH37" s="10">
        <f t="shared" ref="CH37" si="204">BV37*(1+CH$40)</f>
        <v>2318.371982775458</v>
      </c>
      <c r="CI37" s="10">
        <f t="shared" ref="CI37" si="205">BW37*(1+CI$40)</f>
        <v>2329.9638426893353</v>
      </c>
      <c r="CJ37" s="10">
        <f t="shared" ref="CJ37" si="206">BX37*(1+CJ$40)</f>
        <v>2341.6136619027816</v>
      </c>
      <c r="CK37" s="10">
        <f t="shared" ref="CK37" si="207">BY37*(1+CK$40)</f>
        <v>2575.77502809306</v>
      </c>
      <c r="CM37" s="10">
        <f>SUMIF($L$2:$CK$2,CM$3,$L37:$CK37)</f>
        <v>0</v>
      </c>
      <c r="CN37" s="10">
        <f>SUMIF($L$2:$CK$2,CN$3,$L37:$CK37)</f>
        <v>0</v>
      </c>
      <c r="CO37" s="10">
        <f>SUMIF($L$2:$CK$2,CO$3,$L37:$CK37)</f>
        <v>3931.8987139999999</v>
      </c>
      <c r="CP37" s="10">
        <f>SUMIF($L$2:$CK$2,CP$3,$L37:$CK37)</f>
        <v>14302.157405129858</v>
      </c>
      <c r="CQ37" s="10">
        <f>SUMIF($L$2:$CK$2,CQ$3,$L37:$CK37)</f>
        <v>17991.841283774822</v>
      </c>
      <c r="CR37" s="10">
        <f t="shared" ref="CR37:CS37" si="208">SUMIF($L$2:$CK$2,CR$3,$L37:$CK37)</f>
        <v>21950.046366205279</v>
      </c>
      <c r="CS37" s="10">
        <f t="shared" si="208"/>
        <v>26779.056566770443</v>
      </c>
    </row>
    <row r="38" spans="2:99" x14ac:dyDescent="0.2">
      <c r="B38" s="190" t="s">
        <v>317</v>
      </c>
      <c r="C38" s="204" t="s">
        <v>59</v>
      </c>
      <c r="D38" s="9"/>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243"/>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M38" s="10"/>
      <c r="CN38" s="205"/>
      <c r="CO38" s="205"/>
      <c r="CP38" s="205">
        <f t="shared" ref="CP38:CQ38" si="209">CP37/CO37-1</f>
        <v>2.6374684205890908</v>
      </c>
      <c r="CQ38" s="205">
        <f t="shared" si="209"/>
        <v>0.25798093071759642</v>
      </c>
      <c r="CR38" s="205">
        <f t="shared" ref="CR38" si="210">CR37/CQ37-1</f>
        <v>0.21999999999999975</v>
      </c>
      <c r="CS38" s="205">
        <f t="shared" ref="CS38" si="211">CS37/CR37-1</f>
        <v>0.2200000000000002</v>
      </c>
    </row>
    <row r="39" spans="2:99" x14ac:dyDescent="0.2">
      <c r="B39" s="20" t="s">
        <v>6</v>
      </c>
      <c r="C39" s="23" t="s">
        <v>4</v>
      </c>
      <c r="D39" s="102"/>
      <c r="F39" s="24">
        <f t="shared" ref="F39:AK39" si="212">F35+F37</f>
        <v>0</v>
      </c>
      <c r="G39" s="24">
        <f t="shared" si="212"/>
        <v>0</v>
      </c>
      <c r="H39" s="24">
        <f t="shared" si="212"/>
        <v>0</v>
      </c>
      <c r="I39" s="24">
        <f t="shared" si="212"/>
        <v>0</v>
      </c>
      <c r="J39" s="24">
        <f t="shared" si="212"/>
        <v>0</v>
      </c>
      <c r="K39" s="24">
        <f t="shared" si="212"/>
        <v>0</v>
      </c>
      <c r="L39" s="24">
        <f t="shared" si="212"/>
        <v>0</v>
      </c>
      <c r="M39" s="24">
        <f t="shared" si="212"/>
        <v>0</v>
      </c>
      <c r="N39" s="24">
        <f t="shared" si="212"/>
        <v>0</v>
      </c>
      <c r="O39" s="24">
        <f t="shared" si="212"/>
        <v>0</v>
      </c>
      <c r="P39" s="24">
        <f t="shared" si="212"/>
        <v>0</v>
      </c>
      <c r="Q39" s="24">
        <f t="shared" si="212"/>
        <v>0</v>
      </c>
      <c r="R39" s="24">
        <f t="shared" si="212"/>
        <v>0</v>
      </c>
      <c r="S39" s="24">
        <f t="shared" si="212"/>
        <v>0</v>
      </c>
      <c r="T39" s="24">
        <f t="shared" si="212"/>
        <v>0</v>
      </c>
      <c r="U39" s="24">
        <f t="shared" si="212"/>
        <v>0</v>
      </c>
      <c r="V39" s="24">
        <f t="shared" si="212"/>
        <v>0</v>
      </c>
      <c r="W39" s="24">
        <f t="shared" si="212"/>
        <v>0</v>
      </c>
      <c r="X39" s="24">
        <f t="shared" si="212"/>
        <v>0</v>
      </c>
      <c r="Y39" s="24">
        <f t="shared" si="212"/>
        <v>0</v>
      </c>
      <c r="Z39" s="24">
        <f t="shared" si="212"/>
        <v>0</v>
      </c>
      <c r="AA39" s="24">
        <f t="shared" si="212"/>
        <v>0</v>
      </c>
      <c r="AB39" s="24">
        <f t="shared" si="212"/>
        <v>0</v>
      </c>
      <c r="AC39" s="24">
        <f t="shared" si="212"/>
        <v>0</v>
      </c>
      <c r="AD39" s="24">
        <f t="shared" si="212"/>
        <v>0</v>
      </c>
      <c r="AE39" s="24">
        <f t="shared" si="212"/>
        <v>0</v>
      </c>
      <c r="AF39" s="24">
        <f t="shared" si="212"/>
        <v>0</v>
      </c>
      <c r="AG39" s="24">
        <f t="shared" si="212"/>
        <v>0</v>
      </c>
      <c r="AH39" s="24">
        <f t="shared" si="212"/>
        <v>0</v>
      </c>
      <c r="AI39" s="24">
        <f t="shared" si="212"/>
        <v>0</v>
      </c>
      <c r="AJ39" s="24">
        <f t="shared" si="212"/>
        <v>270</v>
      </c>
      <c r="AK39" s="24">
        <f t="shared" si="212"/>
        <v>725</v>
      </c>
      <c r="AL39" s="24">
        <f t="shared" ref="AL39:BQ39" si="213">AL35+AL37</f>
        <v>808.25</v>
      </c>
      <c r="AM39" s="24">
        <f t="shared" si="213"/>
        <v>824.41499999999996</v>
      </c>
      <c r="AN39" s="24">
        <f t="shared" si="213"/>
        <v>840.90329999999994</v>
      </c>
      <c r="AO39" s="24">
        <f t="shared" si="213"/>
        <v>857.72136599999999</v>
      </c>
      <c r="AP39" s="24">
        <f t="shared" si="213"/>
        <v>1008.3465765</v>
      </c>
      <c r="AQ39" s="24">
        <f t="shared" si="213"/>
        <v>1109.1812341500001</v>
      </c>
      <c r="AR39" s="24">
        <f t="shared" si="213"/>
        <v>1220.0993575650002</v>
      </c>
      <c r="AS39" s="24">
        <f t="shared" si="213"/>
        <v>1342.1092933215002</v>
      </c>
      <c r="AT39" s="24">
        <f t="shared" si="213"/>
        <v>1360.8561845548397</v>
      </c>
      <c r="AU39" s="24">
        <f t="shared" si="213"/>
        <v>1380.9004447210189</v>
      </c>
      <c r="AV39" s="24">
        <f t="shared" si="213"/>
        <v>1402.3689241123695</v>
      </c>
      <c r="AW39" s="24">
        <f t="shared" si="213"/>
        <v>1425.4011436174515</v>
      </c>
      <c r="AX39" s="24">
        <f t="shared" si="213"/>
        <v>1450.1505617085111</v>
      </c>
      <c r="AY39" s="24">
        <f t="shared" si="213"/>
        <v>1476.7859681273233</v>
      </c>
      <c r="AZ39" s="24">
        <f t="shared" si="213"/>
        <v>1505.4930169392562</v>
      </c>
      <c r="BA39" s="24">
        <f t="shared" si="213"/>
        <v>1656.0423186331818</v>
      </c>
      <c r="BB39" s="24">
        <f t="shared" si="213"/>
        <v>1386.4765426875001</v>
      </c>
      <c r="BC39" s="24">
        <f t="shared" si="213"/>
        <v>1386.4765426875001</v>
      </c>
      <c r="BD39" s="24">
        <f t="shared" si="213"/>
        <v>1525.1241969562502</v>
      </c>
      <c r="BE39" s="24">
        <f t="shared" si="213"/>
        <v>1677.6366166518753</v>
      </c>
      <c r="BF39" s="24">
        <f t="shared" si="213"/>
        <v>1701.0702306935495</v>
      </c>
      <c r="BG39" s="24">
        <f t="shared" si="213"/>
        <v>1726.1255559012734</v>
      </c>
      <c r="BH39" s="24">
        <f t="shared" si="213"/>
        <v>1752.9611551404619</v>
      </c>
      <c r="BI39" s="24">
        <f t="shared" si="213"/>
        <v>1781.7514295218145</v>
      </c>
      <c r="BJ39" s="24">
        <f t="shared" si="213"/>
        <v>1812.6882021356389</v>
      </c>
      <c r="BK39" s="24">
        <f t="shared" si="213"/>
        <v>1845.982460159154</v>
      </c>
      <c r="BL39" s="24">
        <f t="shared" si="213"/>
        <v>1881.8662711740703</v>
      </c>
      <c r="BM39" s="24">
        <f t="shared" si="213"/>
        <v>2070.0528982914775</v>
      </c>
      <c r="BN39" s="24">
        <f t="shared" si="213"/>
        <v>1691.5013820787503</v>
      </c>
      <c r="BO39" s="24">
        <f t="shared" si="213"/>
        <v>1691.5013820787503</v>
      </c>
      <c r="BP39" s="24">
        <f t="shared" si="213"/>
        <v>1860.6515202866251</v>
      </c>
      <c r="BQ39" s="24">
        <f t="shared" si="213"/>
        <v>2046.716672315288</v>
      </c>
      <c r="BR39" s="24">
        <f t="shared" ref="BR39:BX39" si="214">BR35+BR37</f>
        <v>2075.3056814461302</v>
      </c>
      <c r="BS39" s="24">
        <f t="shared" si="214"/>
        <v>2105.8731781995534</v>
      </c>
      <c r="BT39" s="24">
        <f t="shared" si="214"/>
        <v>2138.6126092713635</v>
      </c>
      <c r="BU39" s="24">
        <f t="shared" si="214"/>
        <v>2173.7367440166136</v>
      </c>
      <c r="BV39" s="24">
        <f t="shared" si="214"/>
        <v>2211.4796066054791</v>
      </c>
      <c r="BW39" s="24">
        <f t="shared" si="214"/>
        <v>2252.0986013941679</v>
      </c>
      <c r="BX39" s="24">
        <f t="shared" si="214"/>
        <v>2295.8768508323656</v>
      </c>
      <c r="BY39" s="24">
        <f t="shared" ref="BY39:CK39" si="215">BY35+BY37</f>
        <v>2525.4645359156025</v>
      </c>
      <c r="BZ39" s="24">
        <f t="shared" si="215"/>
        <v>2063.6316861360756</v>
      </c>
      <c r="CA39" s="24">
        <f t="shared" si="215"/>
        <v>2063.6316861360756</v>
      </c>
      <c r="CB39" s="24">
        <f t="shared" si="215"/>
        <v>2269.9948547496824</v>
      </c>
      <c r="CC39" s="24">
        <f t="shared" si="215"/>
        <v>2496.9943402246518</v>
      </c>
      <c r="CD39" s="24">
        <f t="shared" si="215"/>
        <v>2531.8729313642789</v>
      </c>
      <c r="CE39" s="24">
        <f t="shared" si="215"/>
        <v>2569.1652774034555</v>
      </c>
      <c r="CF39" s="24">
        <f t="shared" si="215"/>
        <v>2609.1073833110636</v>
      </c>
      <c r="CG39" s="24">
        <f t="shared" si="215"/>
        <v>2651.9588277002686</v>
      </c>
      <c r="CH39" s="24">
        <f t="shared" si="215"/>
        <v>2698.0051200586845</v>
      </c>
      <c r="CI39" s="24">
        <f t="shared" si="215"/>
        <v>2747.5602937008844</v>
      </c>
      <c r="CJ39" s="24">
        <f t="shared" si="215"/>
        <v>2800.9697580154857</v>
      </c>
      <c r="CK39" s="24">
        <f t="shared" si="215"/>
        <v>3081.0667338170347</v>
      </c>
      <c r="CM39" s="24">
        <f>SUMIF($L$2:$CK$2,CM$3,$L39:$CK39)</f>
        <v>0</v>
      </c>
      <c r="CN39" s="24">
        <f>SUMIF($L$2:$CK$2,CN$3,$L39:$CK39)</f>
        <v>0</v>
      </c>
      <c r="CO39" s="24">
        <f>SUMIF($L$2:$CK$2,CO$3,$L39:$CK39)</f>
        <v>4326.2896659999997</v>
      </c>
      <c r="CP39" s="24">
        <f>SUMIF($L$2:$CK$2,CP$3,$L39:$CK39)</f>
        <v>16337.735023950452</v>
      </c>
      <c r="CQ39" s="24">
        <f>SUMIF($L$2:$CK$2,CQ$3,$L39:$CK39)</f>
        <v>20548.212102000565</v>
      </c>
      <c r="CR39" s="24">
        <f t="shared" ref="CR39:CS39" si="216">SUMIF($L$2:$CK$2,CR$3,$L39:$CK39)</f>
        <v>25068.818764440693</v>
      </c>
      <c r="CS39" s="24">
        <f t="shared" si="216"/>
        <v>30583.958892617644</v>
      </c>
    </row>
    <row r="40" spans="2:99" s="27" customFormat="1" x14ac:dyDescent="0.2">
      <c r="B40" s="207" t="s">
        <v>318</v>
      </c>
      <c r="L40" s="28"/>
      <c r="M40" s="28"/>
      <c r="N40" s="28"/>
      <c r="O40" s="28"/>
      <c r="P40" s="2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9">
        <v>0.3</v>
      </c>
      <c r="AQ40" s="208">
        <f>AP40</f>
        <v>0.3</v>
      </c>
      <c r="AR40" s="208">
        <f t="shared" ref="AR40:BX40" si="217">AQ40</f>
        <v>0.3</v>
      </c>
      <c r="AS40" s="208">
        <f t="shared" si="217"/>
        <v>0.3</v>
      </c>
      <c r="AT40" s="208">
        <f t="shared" si="217"/>
        <v>0.3</v>
      </c>
      <c r="AU40" s="208">
        <f t="shared" si="217"/>
        <v>0.3</v>
      </c>
      <c r="AV40" s="208">
        <f t="shared" si="217"/>
        <v>0.3</v>
      </c>
      <c r="AW40" s="208">
        <f t="shared" si="217"/>
        <v>0.3</v>
      </c>
      <c r="AX40" s="208">
        <f t="shared" si="217"/>
        <v>0.3</v>
      </c>
      <c r="AY40" s="208">
        <f t="shared" si="217"/>
        <v>0.3</v>
      </c>
      <c r="AZ40" s="208">
        <f t="shared" si="217"/>
        <v>0.3</v>
      </c>
      <c r="BA40" s="208">
        <f t="shared" si="217"/>
        <v>0.3</v>
      </c>
      <c r="BB40" s="209">
        <v>0.25</v>
      </c>
      <c r="BC40" s="208">
        <f t="shared" si="217"/>
        <v>0.25</v>
      </c>
      <c r="BD40" s="208">
        <f t="shared" si="217"/>
        <v>0.25</v>
      </c>
      <c r="BE40" s="208">
        <f t="shared" si="217"/>
        <v>0.25</v>
      </c>
      <c r="BF40" s="208">
        <f t="shared" si="217"/>
        <v>0.25</v>
      </c>
      <c r="BG40" s="208">
        <f t="shared" si="217"/>
        <v>0.25</v>
      </c>
      <c r="BH40" s="208">
        <f t="shared" si="217"/>
        <v>0.25</v>
      </c>
      <c r="BI40" s="208">
        <f t="shared" si="217"/>
        <v>0.25</v>
      </c>
      <c r="BJ40" s="208">
        <f t="shared" si="217"/>
        <v>0.25</v>
      </c>
      <c r="BK40" s="208">
        <f t="shared" si="217"/>
        <v>0.25</v>
      </c>
      <c r="BL40" s="208">
        <f t="shared" si="217"/>
        <v>0.25</v>
      </c>
      <c r="BM40" s="208">
        <f t="shared" si="217"/>
        <v>0.25</v>
      </c>
      <c r="BN40" s="209">
        <v>0.22</v>
      </c>
      <c r="BO40" s="208">
        <f t="shared" si="217"/>
        <v>0.22</v>
      </c>
      <c r="BP40" s="208">
        <f t="shared" si="217"/>
        <v>0.22</v>
      </c>
      <c r="BQ40" s="208">
        <f t="shared" si="217"/>
        <v>0.22</v>
      </c>
      <c r="BR40" s="208">
        <f t="shared" si="217"/>
        <v>0.22</v>
      </c>
      <c r="BS40" s="208">
        <f t="shared" si="217"/>
        <v>0.22</v>
      </c>
      <c r="BT40" s="208">
        <f t="shared" si="217"/>
        <v>0.22</v>
      </c>
      <c r="BU40" s="208">
        <f t="shared" si="217"/>
        <v>0.22</v>
      </c>
      <c r="BV40" s="208">
        <f t="shared" si="217"/>
        <v>0.22</v>
      </c>
      <c r="BW40" s="208">
        <f t="shared" si="217"/>
        <v>0.22</v>
      </c>
      <c r="BX40" s="208">
        <f t="shared" si="217"/>
        <v>0.22</v>
      </c>
      <c r="BY40" s="208">
        <f t="shared" ref="BY40" si="218">BX40</f>
        <v>0.22</v>
      </c>
      <c r="BZ40" s="208">
        <f t="shared" ref="BZ40" si="219">BY40</f>
        <v>0.22</v>
      </c>
      <c r="CA40" s="208">
        <f t="shared" ref="CA40" si="220">BZ40</f>
        <v>0.22</v>
      </c>
      <c r="CB40" s="208">
        <f t="shared" ref="CB40" si="221">CA40</f>
        <v>0.22</v>
      </c>
      <c r="CC40" s="208">
        <f t="shared" ref="CC40" si="222">CB40</f>
        <v>0.22</v>
      </c>
      <c r="CD40" s="208">
        <f t="shared" ref="CD40" si="223">CC40</f>
        <v>0.22</v>
      </c>
      <c r="CE40" s="208">
        <f t="shared" ref="CE40" si="224">CD40</f>
        <v>0.22</v>
      </c>
      <c r="CF40" s="208">
        <f t="shared" ref="CF40" si="225">CE40</f>
        <v>0.22</v>
      </c>
      <c r="CG40" s="208">
        <f t="shared" ref="CG40" si="226">CF40</f>
        <v>0.22</v>
      </c>
      <c r="CH40" s="208">
        <f t="shared" ref="CH40" si="227">CG40</f>
        <v>0.22</v>
      </c>
      <c r="CI40" s="208">
        <f t="shared" ref="CI40" si="228">CH40</f>
        <v>0.22</v>
      </c>
      <c r="CJ40" s="208">
        <f t="shared" ref="CJ40" si="229">CI40</f>
        <v>0.22</v>
      </c>
      <c r="CK40" s="208">
        <f t="shared" ref="CK40" si="230">CJ40</f>
        <v>0.22</v>
      </c>
      <c r="CP40" s="208"/>
      <c r="CQ40" s="208"/>
      <c r="CR40" s="208"/>
      <c r="CS40" s="208"/>
      <c r="CT40" s="208"/>
      <c r="CU40" s="208"/>
    </row>
    <row r="42" spans="2:99" x14ac:dyDescent="0.2">
      <c r="B42" s="12" t="s">
        <v>66</v>
      </c>
    </row>
    <row r="43" spans="2:99" x14ac:dyDescent="0.2">
      <c r="B43" s="200" t="s">
        <v>1</v>
      </c>
      <c r="C43" s="200" t="s">
        <v>2</v>
      </c>
      <c r="D43" s="200" t="s">
        <v>38</v>
      </c>
      <c r="F43" s="201">
        <f t="shared" ref="F43:AK43" si="231">F34</f>
        <v>45292</v>
      </c>
      <c r="G43" s="201">
        <f t="shared" si="231"/>
        <v>45323</v>
      </c>
      <c r="H43" s="201">
        <f t="shared" si="231"/>
        <v>45352</v>
      </c>
      <c r="I43" s="201">
        <f t="shared" si="231"/>
        <v>45383</v>
      </c>
      <c r="J43" s="201">
        <f t="shared" si="231"/>
        <v>45413</v>
      </c>
      <c r="K43" s="201">
        <f t="shared" si="231"/>
        <v>45444</v>
      </c>
      <c r="L43" s="201">
        <f t="shared" si="231"/>
        <v>45474</v>
      </c>
      <c r="M43" s="201">
        <f t="shared" si="231"/>
        <v>45505</v>
      </c>
      <c r="N43" s="201">
        <f t="shared" si="231"/>
        <v>45536</v>
      </c>
      <c r="O43" s="201">
        <f t="shared" si="231"/>
        <v>45566</v>
      </c>
      <c r="P43" s="201">
        <f t="shared" si="231"/>
        <v>45597</v>
      </c>
      <c r="Q43" s="201">
        <f t="shared" si="231"/>
        <v>45627</v>
      </c>
      <c r="R43" s="201">
        <f t="shared" si="231"/>
        <v>45658</v>
      </c>
      <c r="S43" s="201">
        <f t="shared" si="231"/>
        <v>45689</v>
      </c>
      <c r="T43" s="201">
        <f t="shared" si="231"/>
        <v>45717</v>
      </c>
      <c r="U43" s="201">
        <f t="shared" si="231"/>
        <v>45748</v>
      </c>
      <c r="V43" s="201">
        <f t="shared" si="231"/>
        <v>45778</v>
      </c>
      <c r="W43" s="201">
        <f t="shared" si="231"/>
        <v>45809</v>
      </c>
      <c r="X43" s="201">
        <f t="shared" si="231"/>
        <v>45839</v>
      </c>
      <c r="Y43" s="201">
        <f t="shared" si="231"/>
        <v>45870</v>
      </c>
      <c r="Z43" s="201">
        <f t="shared" si="231"/>
        <v>45901</v>
      </c>
      <c r="AA43" s="201">
        <f t="shared" si="231"/>
        <v>45931</v>
      </c>
      <c r="AB43" s="201">
        <f t="shared" si="231"/>
        <v>45962</v>
      </c>
      <c r="AC43" s="201">
        <f t="shared" si="231"/>
        <v>45992</v>
      </c>
      <c r="AD43" s="201">
        <f t="shared" si="231"/>
        <v>46023</v>
      </c>
      <c r="AE43" s="201">
        <f t="shared" si="231"/>
        <v>46054</v>
      </c>
      <c r="AF43" s="201">
        <f t="shared" si="231"/>
        <v>46082</v>
      </c>
      <c r="AG43" s="201">
        <f t="shared" si="231"/>
        <v>46113</v>
      </c>
      <c r="AH43" s="201">
        <f t="shared" si="231"/>
        <v>46143</v>
      </c>
      <c r="AI43" s="201">
        <f t="shared" si="231"/>
        <v>46174</v>
      </c>
      <c r="AJ43" s="201">
        <f t="shared" si="231"/>
        <v>46204</v>
      </c>
      <c r="AK43" s="201">
        <f t="shared" si="231"/>
        <v>46235</v>
      </c>
      <c r="AL43" s="201">
        <f t="shared" ref="AL43:BQ43" si="232">AL34</f>
        <v>46266</v>
      </c>
      <c r="AM43" s="201">
        <f t="shared" si="232"/>
        <v>46296</v>
      </c>
      <c r="AN43" s="201">
        <f t="shared" si="232"/>
        <v>46327</v>
      </c>
      <c r="AO43" s="201">
        <f t="shared" si="232"/>
        <v>46357</v>
      </c>
      <c r="AP43" s="201">
        <f t="shared" si="232"/>
        <v>46388</v>
      </c>
      <c r="AQ43" s="201">
        <f t="shared" si="232"/>
        <v>46419</v>
      </c>
      <c r="AR43" s="201">
        <f t="shared" si="232"/>
        <v>46447</v>
      </c>
      <c r="AS43" s="201">
        <f t="shared" si="232"/>
        <v>46478</v>
      </c>
      <c r="AT43" s="201">
        <f t="shared" si="232"/>
        <v>46508</v>
      </c>
      <c r="AU43" s="201">
        <f t="shared" si="232"/>
        <v>46539</v>
      </c>
      <c r="AV43" s="201">
        <f t="shared" si="232"/>
        <v>46569</v>
      </c>
      <c r="AW43" s="201">
        <f t="shared" si="232"/>
        <v>46600</v>
      </c>
      <c r="AX43" s="201">
        <f t="shared" si="232"/>
        <v>46631</v>
      </c>
      <c r="AY43" s="201">
        <f t="shared" si="232"/>
        <v>46661</v>
      </c>
      <c r="AZ43" s="201">
        <f t="shared" si="232"/>
        <v>46692</v>
      </c>
      <c r="BA43" s="201">
        <f t="shared" si="232"/>
        <v>46722</v>
      </c>
      <c r="BB43" s="201">
        <f t="shared" si="232"/>
        <v>46753</v>
      </c>
      <c r="BC43" s="201">
        <f t="shared" si="232"/>
        <v>46784</v>
      </c>
      <c r="BD43" s="201">
        <f t="shared" si="232"/>
        <v>46813</v>
      </c>
      <c r="BE43" s="201">
        <f t="shared" si="232"/>
        <v>46844</v>
      </c>
      <c r="BF43" s="201">
        <f t="shared" si="232"/>
        <v>46874</v>
      </c>
      <c r="BG43" s="201">
        <f t="shared" si="232"/>
        <v>46905</v>
      </c>
      <c r="BH43" s="201">
        <f t="shared" si="232"/>
        <v>46935</v>
      </c>
      <c r="BI43" s="201">
        <f t="shared" si="232"/>
        <v>46966</v>
      </c>
      <c r="BJ43" s="201">
        <f t="shared" si="232"/>
        <v>46997</v>
      </c>
      <c r="BK43" s="201">
        <f t="shared" si="232"/>
        <v>47027</v>
      </c>
      <c r="BL43" s="201">
        <f t="shared" si="232"/>
        <v>47058</v>
      </c>
      <c r="BM43" s="201">
        <f t="shared" si="232"/>
        <v>47088</v>
      </c>
      <c r="BN43" s="201">
        <f t="shared" si="232"/>
        <v>47119</v>
      </c>
      <c r="BO43" s="201">
        <f t="shared" si="232"/>
        <v>47150</v>
      </c>
      <c r="BP43" s="201">
        <f t="shared" si="232"/>
        <v>47178</v>
      </c>
      <c r="BQ43" s="201">
        <f t="shared" si="232"/>
        <v>47209</v>
      </c>
      <c r="BR43" s="201">
        <f t="shared" ref="BR43:BX43" si="233">BR34</f>
        <v>47239</v>
      </c>
      <c r="BS43" s="201">
        <f t="shared" si="233"/>
        <v>47270</v>
      </c>
      <c r="BT43" s="201">
        <f t="shared" si="233"/>
        <v>47300</v>
      </c>
      <c r="BU43" s="201">
        <f t="shared" si="233"/>
        <v>47331</v>
      </c>
      <c r="BV43" s="201">
        <f t="shared" si="233"/>
        <v>47362</v>
      </c>
      <c r="BW43" s="201">
        <f t="shared" si="233"/>
        <v>47392</v>
      </c>
      <c r="BX43" s="201">
        <f t="shared" si="233"/>
        <v>47423</v>
      </c>
      <c r="BY43" s="201">
        <f t="shared" ref="BY43:CK43" si="234">BY34</f>
        <v>47453</v>
      </c>
      <c r="BZ43" s="201">
        <f t="shared" si="234"/>
        <v>47484</v>
      </c>
      <c r="CA43" s="201">
        <f t="shared" si="234"/>
        <v>47515</v>
      </c>
      <c r="CB43" s="201">
        <f t="shared" si="234"/>
        <v>47543</v>
      </c>
      <c r="CC43" s="201">
        <f t="shared" si="234"/>
        <v>47574</v>
      </c>
      <c r="CD43" s="201">
        <f t="shared" si="234"/>
        <v>47604</v>
      </c>
      <c r="CE43" s="201">
        <f t="shared" si="234"/>
        <v>47635</v>
      </c>
      <c r="CF43" s="201">
        <f t="shared" si="234"/>
        <v>47665</v>
      </c>
      <c r="CG43" s="201">
        <f t="shared" si="234"/>
        <v>47696</v>
      </c>
      <c r="CH43" s="201">
        <f t="shared" si="234"/>
        <v>47727</v>
      </c>
      <c r="CI43" s="201">
        <f t="shared" si="234"/>
        <v>47757</v>
      </c>
      <c r="CJ43" s="201">
        <f t="shared" si="234"/>
        <v>47788</v>
      </c>
      <c r="CK43" s="201">
        <f t="shared" si="234"/>
        <v>47818</v>
      </c>
      <c r="CM43" s="202">
        <f>CM3</f>
        <v>2024</v>
      </c>
      <c r="CN43" s="202">
        <f>CM43+1</f>
        <v>2025</v>
      </c>
      <c r="CO43" s="202">
        <f t="shared" ref="CO43" si="235">CN43+1</f>
        <v>2026</v>
      </c>
      <c r="CP43" s="202">
        <f t="shared" ref="CP43" si="236">CO43+1</f>
        <v>2027</v>
      </c>
      <c r="CQ43" s="202">
        <f t="shared" ref="CQ43" si="237">CP43+1</f>
        <v>2028</v>
      </c>
      <c r="CR43" s="202">
        <f t="shared" ref="CR43" si="238">CQ43+1</f>
        <v>2029</v>
      </c>
      <c r="CS43" s="202">
        <f t="shared" ref="CS43" si="239">CR43+1</f>
        <v>2030</v>
      </c>
    </row>
    <row r="44" spans="2:99" x14ac:dyDescent="0.2">
      <c r="B44" s="96" t="s">
        <v>7</v>
      </c>
      <c r="C44" s="96"/>
      <c r="D44" s="96"/>
      <c r="F44" s="21">
        <f t="shared" ref="F44:K44" si="240">SUM(F45:F46)</f>
        <v>0</v>
      </c>
      <c r="G44" s="21">
        <f t="shared" si="240"/>
        <v>0</v>
      </c>
      <c r="H44" s="21">
        <f t="shared" si="240"/>
        <v>0</v>
      </c>
      <c r="I44" s="21">
        <f t="shared" si="240"/>
        <v>0</v>
      </c>
      <c r="J44" s="21">
        <f t="shared" si="240"/>
        <v>0</v>
      </c>
      <c r="K44" s="21">
        <f t="shared" si="240"/>
        <v>0</v>
      </c>
      <c r="L44" s="21">
        <f t="shared" ref="L44:AW44" si="241">SUM(L45:L46)</f>
        <v>0</v>
      </c>
      <c r="M44" s="21">
        <f t="shared" si="241"/>
        <v>0</v>
      </c>
      <c r="N44" s="21">
        <f t="shared" si="241"/>
        <v>0</v>
      </c>
      <c r="O44" s="21">
        <f t="shared" si="241"/>
        <v>0</v>
      </c>
      <c r="P44" s="21">
        <f t="shared" si="241"/>
        <v>0</v>
      </c>
      <c r="Q44" s="21">
        <f t="shared" si="241"/>
        <v>0</v>
      </c>
      <c r="R44" s="21">
        <f t="shared" si="241"/>
        <v>0</v>
      </c>
      <c r="S44" s="21">
        <f t="shared" si="241"/>
        <v>0</v>
      </c>
      <c r="T44" s="21">
        <f t="shared" si="241"/>
        <v>0</v>
      </c>
      <c r="U44" s="21">
        <f t="shared" si="241"/>
        <v>0</v>
      </c>
      <c r="V44" s="21">
        <f t="shared" si="241"/>
        <v>0</v>
      </c>
      <c r="W44" s="21">
        <f t="shared" si="241"/>
        <v>0</v>
      </c>
      <c r="X44" s="21">
        <f t="shared" si="241"/>
        <v>0</v>
      </c>
      <c r="Y44" s="21">
        <f t="shared" si="241"/>
        <v>0</v>
      </c>
      <c r="Z44" s="21">
        <f t="shared" si="241"/>
        <v>0</v>
      </c>
      <c r="AA44" s="21">
        <f t="shared" si="241"/>
        <v>0</v>
      </c>
      <c r="AB44" s="21">
        <f t="shared" si="241"/>
        <v>0</v>
      </c>
      <c r="AC44" s="21">
        <f t="shared" si="241"/>
        <v>0</v>
      </c>
      <c r="AD44" s="21">
        <f t="shared" si="241"/>
        <v>0</v>
      </c>
      <c r="AE44" s="21">
        <f t="shared" si="241"/>
        <v>0</v>
      </c>
      <c r="AF44" s="21">
        <f t="shared" si="241"/>
        <v>0</v>
      </c>
      <c r="AG44" s="21">
        <f t="shared" si="241"/>
        <v>0</v>
      </c>
      <c r="AH44" s="21">
        <f t="shared" si="241"/>
        <v>0</v>
      </c>
      <c r="AI44" s="21">
        <f t="shared" si="241"/>
        <v>0</v>
      </c>
      <c r="AJ44" s="21">
        <f t="shared" si="241"/>
        <v>169</v>
      </c>
      <c r="AK44" s="21">
        <f t="shared" si="241"/>
        <v>442</v>
      </c>
      <c r="AL44" s="21">
        <f t="shared" si="241"/>
        <v>491.95</v>
      </c>
      <c r="AM44" s="21">
        <f t="shared" si="241"/>
        <v>501.64899999999994</v>
      </c>
      <c r="AN44" s="21">
        <f t="shared" si="241"/>
        <v>511.54197999999997</v>
      </c>
      <c r="AO44" s="21">
        <f t="shared" si="241"/>
        <v>521.63281959999995</v>
      </c>
      <c r="AP44" s="21">
        <f t="shared" si="241"/>
        <v>561.59061707500007</v>
      </c>
      <c r="AQ44" s="21">
        <f t="shared" si="241"/>
        <v>617.04967878250011</v>
      </c>
      <c r="AR44" s="21">
        <f t="shared" si="241"/>
        <v>678.05464666075022</v>
      </c>
      <c r="AS44" s="21">
        <f t="shared" si="241"/>
        <v>745.16011132682513</v>
      </c>
      <c r="AT44" s="21">
        <f t="shared" si="241"/>
        <v>755.47090150516192</v>
      </c>
      <c r="AU44" s="21">
        <f t="shared" si="241"/>
        <v>766.49524459656038</v>
      </c>
      <c r="AV44" s="21">
        <f t="shared" si="241"/>
        <v>778.30290826180328</v>
      </c>
      <c r="AW44" s="21">
        <f t="shared" si="241"/>
        <v>790.97062898959837</v>
      </c>
      <c r="AX44" s="21">
        <f t="shared" ref="AX44" si="242">SUM(AX45:AX46)</f>
        <v>804.58280893968117</v>
      </c>
      <c r="AY44" s="21">
        <f t="shared" ref="AY44" si="243">SUM(AY45:AY46)</f>
        <v>819.23228247002783</v>
      </c>
      <c r="AZ44" s="21">
        <f t="shared" ref="AZ44" si="244">SUM(AZ45:AZ46)</f>
        <v>835.02115931659102</v>
      </c>
      <c r="BA44" s="21">
        <f t="shared" ref="BA44" si="245">SUM(BA45:BA46)</f>
        <v>917.82327524825007</v>
      </c>
      <c r="BB44" s="21">
        <f t="shared" ref="BB44" si="246">SUM(BB45:BB46)</f>
        <v>769.56209847812511</v>
      </c>
      <c r="BC44" s="21">
        <f t="shared" ref="BC44" si="247">SUM(BC45:BC46)</f>
        <v>769.56209847812511</v>
      </c>
      <c r="BD44" s="21">
        <f t="shared" ref="BD44" si="248">SUM(BD45:BD46)</f>
        <v>845.81830832593766</v>
      </c>
      <c r="BE44" s="21">
        <f t="shared" ref="BE44" si="249">SUM(BE45:BE46)</f>
        <v>929.70013915853156</v>
      </c>
      <c r="BF44" s="21">
        <f t="shared" ref="BF44" si="250">SUM(BF45:BF46)</f>
        <v>942.58862688145234</v>
      </c>
      <c r="BG44" s="21">
        <f t="shared" ref="BG44" si="251">SUM(BG45:BG46)</f>
        <v>956.36905574570039</v>
      </c>
      <c r="BH44" s="21">
        <f t="shared" ref="BH44" si="252">SUM(BH45:BH46)</f>
        <v>971.12863532725407</v>
      </c>
      <c r="BI44" s="21">
        <f t="shared" ref="BI44" si="253">SUM(BI45:BI46)</f>
        <v>986.9632862369981</v>
      </c>
      <c r="BJ44" s="21">
        <f t="shared" ref="BJ44" si="254">SUM(BJ45:BJ46)</f>
        <v>1003.9785111746015</v>
      </c>
      <c r="BK44" s="21">
        <f t="shared" ref="BK44" si="255">SUM(BK45:BK46)</f>
        <v>1022.2903530875348</v>
      </c>
      <c r="BL44" s="21">
        <f t="shared" ref="BL44" si="256">SUM(BL45:BL46)</f>
        <v>1042.0264491457388</v>
      </c>
      <c r="BM44" s="21">
        <f t="shared" ref="BM44" si="257">SUM(BM45:BM46)</f>
        <v>1145.5290940603127</v>
      </c>
      <c r="BN44" s="21">
        <f t="shared" ref="BN44" si="258">SUM(BN45:BN46)</f>
        <v>937.32576014331278</v>
      </c>
      <c r="BO44" s="21">
        <f t="shared" ref="BO44" si="259">SUM(BO45:BO46)</f>
        <v>937.32576014331278</v>
      </c>
      <c r="BP44" s="21">
        <f t="shared" ref="BP44" si="260">SUM(BP45:BP46)</f>
        <v>1030.3583361576439</v>
      </c>
      <c r="BQ44" s="21">
        <f t="shared" ref="BQ44" si="261">SUM(BQ45:BQ46)</f>
        <v>1132.6941697734085</v>
      </c>
      <c r="BR44" s="21">
        <f t="shared" ref="BR44" si="262">SUM(BR45:BR46)</f>
        <v>1148.4181247953718</v>
      </c>
      <c r="BS44" s="21">
        <f t="shared" ref="BS44" si="263">SUM(BS45:BS46)</f>
        <v>1165.2302480097544</v>
      </c>
      <c r="BT44" s="21">
        <f t="shared" ref="BT44" si="264">SUM(BT45:BT46)</f>
        <v>1183.2369350992501</v>
      </c>
      <c r="BU44" s="21">
        <f t="shared" ref="BU44:BX44" si="265">SUM(BU45:BU46)</f>
        <v>1202.5552092091375</v>
      </c>
      <c r="BV44" s="21">
        <f t="shared" si="265"/>
        <v>1223.3137836330136</v>
      </c>
      <c r="BW44" s="21">
        <f t="shared" si="265"/>
        <v>1245.6542307667924</v>
      </c>
      <c r="BX44" s="21">
        <f t="shared" si="265"/>
        <v>1269.7322679578012</v>
      </c>
      <c r="BY44" s="21">
        <f t="shared" ref="BY44:CK44" si="266">SUM(BY45:BY46)</f>
        <v>1396.0054947535814</v>
      </c>
      <c r="BZ44" s="21">
        <f t="shared" si="266"/>
        <v>1141.9974273748417</v>
      </c>
      <c r="CA44" s="21">
        <f t="shared" si="266"/>
        <v>1141.9974273748417</v>
      </c>
      <c r="CB44" s="21">
        <f t="shared" si="266"/>
        <v>1255.4971701123254</v>
      </c>
      <c r="CC44" s="21">
        <f t="shared" si="266"/>
        <v>1380.3468871235586</v>
      </c>
      <c r="CD44" s="21">
        <f t="shared" si="266"/>
        <v>1399.5301122503536</v>
      </c>
      <c r="CE44" s="21">
        <f t="shared" si="266"/>
        <v>1420.0409025719007</v>
      </c>
      <c r="CF44" s="21">
        <f t="shared" si="266"/>
        <v>1442.0090608210851</v>
      </c>
      <c r="CG44" s="21">
        <f t="shared" si="266"/>
        <v>1465.5773552351479</v>
      </c>
      <c r="CH44" s="21">
        <f t="shared" si="266"/>
        <v>1490.9028160322766</v>
      </c>
      <c r="CI44" s="21">
        <f t="shared" si="266"/>
        <v>1518.1581615354864</v>
      </c>
      <c r="CJ44" s="21">
        <f t="shared" si="266"/>
        <v>1547.5333669085173</v>
      </c>
      <c r="CK44" s="21">
        <f t="shared" si="266"/>
        <v>1701.5867035993692</v>
      </c>
      <c r="CM44" s="21">
        <f t="shared" ref="CM44:CQ53" si="267">SUMIF($L$2:$CK$2,CM$3,$L44:$CK44)</f>
        <v>0</v>
      </c>
      <c r="CN44" s="21">
        <f t="shared" si="267"/>
        <v>0</v>
      </c>
      <c r="CO44" s="21">
        <f t="shared" si="267"/>
        <v>2637.7737996000001</v>
      </c>
      <c r="CP44" s="21">
        <f t="shared" si="267"/>
        <v>9069.7542631727501</v>
      </c>
      <c r="CQ44" s="21">
        <f t="shared" si="267"/>
        <v>11385.516656100313</v>
      </c>
      <c r="CR44" s="21">
        <f t="shared" ref="CR44:CS59" si="268">SUMIF($L$2:$CK$2,CR$3,$L44:$CK44)</f>
        <v>13871.85032044238</v>
      </c>
      <c r="CS44" s="21">
        <f t="shared" si="268"/>
        <v>16905.177390939705</v>
      </c>
    </row>
    <row r="45" spans="2:99" outlineLevel="1" x14ac:dyDescent="0.2">
      <c r="B45" s="95" t="s">
        <v>8</v>
      </c>
      <c r="C45" s="92" t="s">
        <v>39</v>
      </c>
      <c r="D45" s="103">
        <v>0.6</v>
      </c>
      <c r="F45" s="22"/>
      <c r="G45" s="22"/>
      <c r="H45" s="22"/>
      <c r="I45" s="22"/>
      <c r="J45" s="22"/>
      <c r="K45" s="22"/>
      <c r="L45" s="22"/>
      <c r="M45" s="22"/>
      <c r="N45" s="22"/>
      <c r="O45" s="22"/>
      <c r="P45" s="22"/>
      <c r="Q45" s="22"/>
      <c r="R45" s="22"/>
      <c r="S45" s="22">
        <f t="shared" ref="S45:AE45" si="269">S$39*$D45</f>
        <v>0</v>
      </c>
      <c r="T45" s="22">
        <f t="shared" si="269"/>
        <v>0</v>
      </c>
      <c r="U45" s="22">
        <f t="shared" si="269"/>
        <v>0</v>
      </c>
      <c r="V45" s="22">
        <f t="shared" si="269"/>
        <v>0</v>
      </c>
      <c r="W45" s="22">
        <f t="shared" si="269"/>
        <v>0</v>
      </c>
      <c r="X45" s="22">
        <f t="shared" si="269"/>
        <v>0</v>
      </c>
      <c r="Y45" s="22">
        <f t="shared" si="269"/>
        <v>0</v>
      </c>
      <c r="Z45" s="22">
        <f t="shared" si="269"/>
        <v>0</v>
      </c>
      <c r="AA45" s="22">
        <f t="shared" si="269"/>
        <v>0</v>
      </c>
      <c r="AB45" s="22">
        <f t="shared" si="269"/>
        <v>0</v>
      </c>
      <c r="AC45" s="22">
        <f t="shared" si="269"/>
        <v>0</v>
      </c>
      <c r="AD45" s="22">
        <f t="shared" si="269"/>
        <v>0</v>
      </c>
      <c r="AE45" s="22">
        <f t="shared" si="269"/>
        <v>0</v>
      </c>
      <c r="AF45" s="22">
        <f t="shared" ref="AF45:AO45" si="270">AF$39*$D45</f>
        <v>0</v>
      </c>
      <c r="AG45" s="22">
        <f t="shared" si="270"/>
        <v>0</v>
      </c>
      <c r="AH45" s="22">
        <f t="shared" si="270"/>
        <v>0</v>
      </c>
      <c r="AI45" s="22">
        <f t="shared" si="270"/>
        <v>0</v>
      </c>
      <c r="AJ45" s="22">
        <f t="shared" si="270"/>
        <v>162</v>
      </c>
      <c r="AK45" s="22">
        <f t="shared" si="270"/>
        <v>435</v>
      </c>
      <c r="AL45" s="22">
        <f t="shared" si="270"/>
        <v>484.95</v>
      </c>
      <c r="AM45" s="22">
        <f t="shared" si="270"/>
        <v>494.64899999999994</v>
      </c>
      <c r="AN45" s="22">
        <f t="shared" si="270"/>
        <v>504.54197999999997</v>
      </c>
      <c r="AO45" s="22">
        <f t="shared" si="270"/>
        <v>514.63281959999995</v>
      </c>
      <c r="AP45" s="22">
        <f>AP$39*0.55</f>
        <v>554.59061707500007</v>
      </c>
      <c r="AQ45" s="22">
        <f t="shared" ref="AQ45:CK45" si="271">AQ$39*0.55</f>
        <v>610.04967878250011</v>
      </c>
      <c r="AR45" s="22">
        <f t="shared" si="271"/>
        <v>671.05464666075022</v>
      </c>
      <c r="AS45" s="22">
        <f t="shared" si="271"/>
        <v>738.16011132682513</v>
      </c>
      <c r="AT45" s="22">
        <f t="shared" si="271"/>
        <v>748.47090150516192</v>
      </c>
      <c r="AU45" s="22">
        <f t="shared" si="271"/>
        <v>759.49524459656038</v>
      </c>
      <c r="AV45" s="22">
        <f t="shared" si="271"/>
        <v>771.30290826180328</v>
      </c>
      <c r="AW45" s="22">
        <f t="shared" si="271"/>
        <v>783.97062898959837</v>
      </c>
      <c r="AX45" s="22">
        <f t="shared" si="271"/>
        <v>797.58280893968117</v>
      </c>
      <c r="AY45" s="22">
        <f t="shared" si="271"/>
        <v>812.23228247002783</v>
      </c>
      <c r="AZ45" s="22">
        <f t="shared" si="271"/>
        <v>828.02115931659102</v>
      </c>
      <c r="BA45" s="22">
        <f t="shared" si="271"/>
        <v>910.82327524825007</v>
      </c>
      <c r="BB45" s="22">
        <f t="shared" si="271"/>
        <v>762.56209847812511</v>
      </c>
      <c r="BC45" s="22">
        <f t="shared" si="271"/>
        <v>762.56209847812511</v>
      </c>
      <c r="BD45" s="22">
        <f t="shared" si="271"/>
        <v>838.81830832593766</v>
      </c>
      <c r="BE45" s="22">
        <f t="shared" si="271"/>
        <v>922.70013915853156</v>
      </c>
      <c r="BF45" s="22">
        <f t="shared" si="271"/>
        <v>935.58862688145234</v>
      </c>
      <c r="BG45" s="22">
        <f t="shared" si="271"/>
        <v>949.36905574570039</v>
      </c>
      <c r="BH45" s="22">
        <f t="shared" si="271"/>
        <v>964.12863532725407</v>
      </c>
      <c r="BI45" s="22">
        <f t="shared" si="271"/>
        <v>979.9632862369981</v>
      </c>
      <c r="BJ45" s="22">
        <f t="shared" si="271"/>
        <v>996.97851117460152</v>
      </c>
      <c r="BK45" s="22">
        <f t="shared" si="271"/>
        <v>1015.2903530875348</v>
      </c>
      <c r="BL45" s="22">
        <f t="shared" si="271"/>
        <v>1035.0264491457388</v>
      </c>
      <c r="BM45" s="22">
        <f t="shared" si="271"/>
        <v>1138.5290940603127</v>
      </c>
      <c r="BN45" s="22">
        <f t="shared" si="271"/>
        <v>930.32576014331278</v>
      </c>
      <c r="BO45" s="22">
        <f t="shared" si="271"/>
        <v>930.32576014331278</v>
      </c>
      <c r="BP45" s="22">
        <f t="shared" si="271"/>
        <v>1023.3583361576439</v>
      </c>
      <c r="BQ45" s="22">
        <f t="shared" si="271"/>
        <v>1125.6941697734085</v>
      </c>
      <c r="BR45" s="22">
        <f t="shared" si="271"/>
        <v>1141.4181247953718</v>
      </c>
      <c r="BS45" s="22">
        <f t="shared" si="271"/>
        <v>1158.2302480097544</v>
      </c>
      <c r="BT45" s="22">
        <f t="shared" si="271"/>
        <v>1176.2369350992501</v>
      </c>
      <c r="BU45" s="22">
        <f t="shared" si="271"/>
        <v>1195.5552092091375</v>
      </c>
      <c r="BV45" s="22">
        <f t="shared" si="271"/>
        <v>1216.3137836330136</v>
      </c>
      <c r="BW45" s="22">
        <f t="shared" si="271"/>
        <v>1238.6542307667924</v>
      </c>
      <c r="BX45" s="22">
        <f t="shared" si="271"/>
        <v>1262.7322679578012</v>
      </c>
      <c r="BY45" s="22">
        <f t="shared" si="271"/>
        <v>1389.0054947535814</v>
      </c>
      <c r="BZ45" s="22">
        <f t="shared" si="271"/>
        <v>1134.9974273748417</v>
      </c>
      <c r="CA45" s="22">
        <f t="shared" si="271"/>
        <v>1134.9974273748417</v>
      </c>
      <c r="CB45" s="22">
        <f t="shared" si="271"/>
        <v>1248.4971701123254</v>
      </c>
      <c r="CC45" s="22">
        <f t="shared" si="271"/>
        <v>1373.3468871235586</v>
      </c>
      <c r="CD45" s="22">
        <f t="shared" si="271"/>
        <v>1392.5301122503536</v>
      </c>
      <c r="CE45" s="22">
        <f t="shared" si="271"/>
        <v>1413.0409025719007</v>
      </c>
      <c r="CF45" s="22">
        <f t="shared" si="271"/>
        <v>1435.0090608210851</v>
      </c>
      <c r="CG45" s="22">
        <f t="shared" si="271"/>
        <v>1458.5773552351479</v>
      </c>
      <c r="CH45" s="22">
        <f t="shared" si="271"/>
        <v>1483.9028160322766</v>
      </c>
      <c r="CI45" s="22">
        <f t="shared" si="271"/>
        <v>1511.1581615354864</v>
      </c>
      <c r="CJ45" s="22">
        <f t="shared" si="271"/>
        <v>1540.5333669085173</v>
      </c>
      <c r="CK45" s="22">
        <f t="shared" si="271"/>
        <v>1694.5867035993692</v>
      </c>
      <c r="CM45" s="10">
        <f t="shared" si="267"/>
        <v>0</v>
      </c>
      <c r="CN45" s="10">
        <f t="shared" si="267"/>
        <v>0</v>
      </c>
      <c r="CO45" s="10">
        <f t="shared" si="267"/>
        <v>2595.7737996000001</v>
      </c>
      <c r="CP45" s="10">
        <f t="shared" si="267"/>
        <v>8985.7542631727501</v>
      </c>
      <c r="CQ45" s="10">
        <f t="shared" si="267"/>
        <v>11301.516656100313</v>
      </c>
      <c r="CR45" s="10">
        <f t="shared" si="268"/>
        <v>13787.85032044238</v>
      </c>
      <c r="CS45" s="10">
        <f t="shared" si="268"/>
        <v>16821.177390939705</v>
      </c>
    </row>
    <row r="46" spans="2:99" outlineLevel="1" x14ac:dyDescent="0.2">
      <c r="B46" s="95" t="s">
        <v>46</v>
      </c>
      <c r="C46" s="95" t="s">
        <v>4</v>
      </c>
      <c r="D46" s="92">
        <v>7</v>
      </c>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f t="shared" ref="AJ46:CK46" si="272">$D$46</f>
        <v>7</v>
      </c>
      <c r="AK46" s="22">
        <f t="shared" si="272"/>
        <v>7</v>
      </c>
      <c r="AL46" s="22">
        <f t="shared" si="272"/>
        <v>7</v>
      </c>
      <c r="AM46" s="22">
        <f t="shared" si="272"/>
        <v>7</v>
      </c>
      <c r="AN46" s="22">
        <f t="shared" si="272"/>
        <v>7</v>
      </c>
      <c r="AO46" s="22">
        <f t="shared" si="272"/>
        <v>7</v>
      </c>
      <c r="AP46" s="22">
        <f t="shared" si="272"/>
        <v>7</v>
      </c>
      <c r="AQ46" s="22">
        <f t="shared" si="272"/>
        <v>7</v>
      </c>
      <c r="AR46" s="22">
        <f t="shared" si="272"/>
        <v>7</v>
      </c>
      <c r="AS46" s="22">
        <f t="shared" si="272"/>
        <v>7</v>
      </c>
      <c r="AT46" s="22">
        <f t="shared" si="272"/>
        <v>7</v>
      </c>
      <c r="AU46" s="22">
        <f t="shared" si="272"/>
        <v>7</v>
      </c>
      <c r="AV46" s="22">
        <f t="shared" si="272"/>
        <v>7</v>
      </c>
      <c r="AW46" s="22">
        <f t="shared" si="272"/>
        <v>7</v>
      </c>
      <c r="AX46" s="22">
        <f t="shared" si="272"/>
        <v>7</v>
      </c>
      <c r="AY46" s="22">
        <f t="shared" si="272"/>
        <v>7</v>
      </c>
      <c r="AZ46" s="22">
        <f t="shared" si="272"/>
        <v>7</v>
      </c>
      <c r="BA46" s="22">
        <f t="shared" si="272"/>
        <v>7</v>
      </c>
      <c r="BB46" s="22">
        <f t="shared" si="272"/>
        <v>7</v>
      </c>
      <c r="BC46" s="22">
        <f t="shared" si="272"/>
        <v>7</v>
      </c>
      <c r="BD46" s="22">
        <f t="shared" si="272"/>
        <v>7</v>
      </c>
      <c r="BE46" s="22">
        <f t="shared" si="272"/>
        <v>7</v>
      </c>
      <c r="BF46" s="22">
        <f t="shared" si="272"/>
        <v>7</v>
      </c>
      <c r="BG46" s="22">
        <f t="shared" si="272"/>
        <v>7</v>
      </c>
      <c r="BH46" s="22">
        <f t="shared" si="272"/>
        <v>7</v>
      </c>
      <c r="BI46" s="22">
        <f t="shared" si="272"/>
        <v>7</v>
      </c>
      <c r="BJ46" s="22">
        <f t="shared" si="272"/>
        <v>7</v>
      </c>
      <c r="BK46" s="22">
        <f t="shared" si="272"/>
        <v>7</v>
      </c>
      <c r="BL46" s="22">
        <f t="shared" si="272"/>
        <v>7</v>
      </c>
      <c r="BM46" s="22">
        <f t="shared" si="272"/>
        <v>7</v>
      </c>
      <c r="BN46" s="22">
        <f t="shared" si="272"/>
        <v>7</v>
      </c>
      <c r="BO46" s="22">
        <f t="shared" si="272"/>
        <v>7</v>
      </c>
      <c r="BP46" s="22">
        <f t="shared" si="272"/>
        <v>7</v>
      </c>
      <c r="BQ46" s="22">
        <f t="shared" si="272"/>
        <v>7</v>
      </c>
      <c r="BR46" s="22">
        <f t="shared" si="272"/>
        <v>7</v>
      </c>
      <c r="BS46" s="22">
        <f t="shared" si="272"/>
        <v>7</v>
      </c>
      <c r="BT46" s="22">
        <f t="shared" si="272"/>
        <v>7</v>
      </c>
      <c r="BU46" s="22">
        <f t="shared" si="272"/>
        <v>7</v>
      </c>
      <c r="BV46" s="22">
        <f t="shared" si="272"/>
        <v>7</v>
      </c>
      <c r="BW46" s="22">
        <f t="shared" si="272"/>
        <v>7</v>
      </c>
      <c r="BX46" s="22">
        <f t="shared" si="272"/>
        <v>7</v>
      </c>
      <c r="BY46" s="22">
        <f t="shared" si="272"/>
        <v>7</v>
      </c>
      <c r="BZ46" s="22">
        <f t="shared" si="272"/>
        <v>7</v>
      </c>
      <c r="CA46" s="22">
        <f t="shared" si="272"/>
        <v>7</v>
      </c>
      <c r="CB46" s="22">
        <f t="shared" si="272"/>
        <v>7</v>
      </c>
      <c r="CC46" s="22">
        <f t="shared" si="272"/>
        <v>7</v>
      </c>
      <c r="CD46" s="22">
        <f t="shared" si="272"/>
        <v>7</v>
      </c>
      <c r="CE46" s="22">
        <f t="shared" si="272"/>
        <v>7</v>
      </c>
      <c r="CF46" s="22">
        <f t="shared" si="272"/>
        <v>7</v>
      </c>
      <c r="CG46" s="22">
        <f t="shared" si="272"/>
        <v>7</v>
      </c>
      <c r="CH46" s="22">
        <f t="shared" si="272"/>
        <v>7</v>
      </c>
      <c r="CI46" s="22">
        <f t="shared" si="272"/>
        <v>7</v>
      </c>
      <c r="CJ46" s="22">
        <f t="shared" si="272"/>
        <v>7</v>
      </c>
      <c r="CK46" s="22">
        <f t="shared" si="272"/>
        <v>7</v>
      </c>
      <c r="CM46" s="10">
        <f t="shared" si="267"/>
        <v>0</v>
      </c>
      <c r="CN46" s="10">
        <f t="shared" si="267"/>
        <v>0</v>
      </c>
      <c r="CO46" s="10">
        <f t="shared" si="267"/>
        <v>42</v>
      </c>
      <c r="CP46" s="10">
        <f t="shared" si="267"/>
        <v>84</v>
      </c>
      <c r="CQ46" s="10">
        <f t="shared" si="267"/>
        <v>84</v>
      </c>
      <c r="CR46" s="10">
        <f t="shared" si="268"/>
        <v>84</v>
      </c>
      <c r="CS46" s="10">
        <f t="shared" si="268"/>
        <v>84</v>
      </c>
    </row>
    <row r="47" spans="2:99" x14ac:dyDescent="0.2">
      <c r="B47" s="96" t="s">
        <v>10</v>
      </c>
      <c r="C47" s="96"/>
      <c r="D47" s="96"/>
      <c r="F47" s="21">
        <f t="shared" ref="F47:K47" si="273">F48+F51+F54+F61</f>
        <v>0</v>
      </c>
      <c r="G47" s="21">
        <f t="shared" si="273"/>
        <v>0</v>
      </c>
      <c r="H47" s="21">
        <f t="shared" si="273"/>
        <v>0</v>
      </c>
      <c r="I47" s="21">
        <f t="shared" si="273"/>
        <v>0</v>
      </c>
      <c r="J47" s="21">
        <f t="shared" si="273"/>
        <v>0</v>
      </c>
      <c r="K47" s="21">
        <f t="shared" si="273"/>
        <v>0</v>
      </c>
      <c r="L47" s="21">
        <f t="shared" ref="L47:AQ47" si="274">L48+L51+L54+L61</f>
        <v>0</v>
      </c>
      <c r="M47" s="21">
        <f t="shared" si="274"/>
        <v>0</v>
      </c>
      <c r="N47" s="21">
        <f t="shared" si="274"/>
        <v>0</v>
      </c>
      <c r="O47" s="21">
        <f t="shared" si="274"/>
        <v>0</v>
      </c>
      <c r="P47" s="21">
        <f t="shared" si="274"/>
        <v>0</v>
      </c>
      <c r="Q47" s="21">
        <f t="shared" si="274"/>
        <v>0</v>
      </c>
      <c r="R47" s="21">
        <f t="shared" si="274"/>
        <v>0</v>
      </c>
      <c r="S47" s="21">
        <f t="shared" si="274"/>
        <v>0</v>
      </c>
      <c r="T47" s="21">
        <f t="shared" si="274"/>
        <v>0</v>
      </c>
      <c r="U47" s="21">
        <f t="shared" si="274"/>
        <v>0</v>
      </c>
      <c r="V47" s="21">
        <f t="shared" si="274"/>
        <v>0</v>
      </c>
      <c r="W47" s="21">
        <f t="shared" si="274"/>
        <v>0</v>
      </c>
      <c r="X47" s="21">
        <f t="shared" si="274"/>
        <v>0</v>
      </c>
      <c r="Y47" s="21">
        <f t="shared" si="274"/>
        <v>0</v>
      </c>
      <c r="Z47" s="21">
        <f t="shared" si="274"/>
        <v>0</v>
      </c>
      <c r="AA47" s="21">
        <f t="shared" si="274"/>
        <v>0</v>
      </c>
      <c r="AB47" s="21">
        <f t="shared" si="274"/>
        <v>0</v>
      </c>
      <c r="AC47" s="21">
        <f t="shared" si="274"/>
        <v>0</v>
      </c>
      <c r="AD47" s="21">
        <f t="shared" si="274"/>
        <v>0</v>
      </c>
      <c r="AE47" s="21">
        <f t="shared" si="274"/>
        <v>0</v>
      </c>
      <c r="AF47" s="21">
        <f t="shared" si="274"/>
        <v>0</v>
      </c>
      <c r="AG47" s="21">
        <f t="shared" si="274"/>
        <v>0</v>
      </c>
      <c r="AH47" s="21">
        <f t="shared" si="274"/>
        <v>0</v>
      </c>
      <c r="AI47" s="21">
        <f t="shared" si="274"/>
        <v>0</v>
      </c>
      <c r="AJ47" s="21">
        <f t="shared" si="274"/>
        <v>1078.9000000000001</v>
      </c>
      <c r="AK47" s="21">
        <f t="shared" si="274"/>
        <v>1060.75</v>
      </c>
      <c r="AL47" s="21">
        <f t="shared" si="274"/>
        <v>1066.5774999999999</v>
      </c>
      <c r="AM47" s="21">
        <f t="shared" si="274"/>
        <v>572.70904999999993</v>
      </c>
      <c r="AN47" s="21">
        <f t="shared" si="274"/>
        <v>273.86323100000004</v>
      </c>
      <c r="AO47" s="21">
        <f t="shared" si="274"/>
        <v>100.7721366</v>
      </c>
      <c r="AP47" s="21">
        <f t="shared" si="274"/>
        <v>120.83465765</v>
      </c>
      <c r="AQ47" s="21">
        <f t="shared" si="274"/>
        <v>130.91812341500003</v>
      </c>
      <c r="AR47" s="21">
        <f t="shared" ref="AR47:BU47" si="275">AR48+AR51+AR54+AR61</f>
        <v>142.00993575650003</v>
      </c>
      <c r="AS47" s="21">
        <f t="shared" si="275"/>
        <v>154.21092933215002</v>
      </c>
      <c r="AT47" s="21">
        <f t="shared" si="275"/>
        <v>161.08561845548397</v>
      </c>
      <c r="AU47" s="21">
        <f t="shared" si="275"/>
        <v>163.09004447210188</v>
      </c>
      <c r="AV47" s="21">
        <f t="shared" si="275"/>
        <v>165.23689241123697</v>
      </c>
      <c r="AW47" s="21">
        <f t="shared" si="275"/>
        <v>167.54011436174517</v>
      </c>
      <c r="AX47" s="21">
        <f t="shared" si="275"/>
        <v>170.0150561708511</v>
      </c>
      <c r="AY47" s="21">
        <f t="shared" si="275"/>
        <v>172.67859681273234</v>
      </c>
      <c r="AZ47" s="21">
        <f t="shared" si="275"/>
        <v>175.5493016939256</v>
      </c>
      <c r="BA47" s="21">
        <f t="shared" si="275"/>
        <v>190.6042318633182</v>
      </c>
      <c r="BB47" s="21">
        <f t="shared" si="275"/>
        <v>163.64765426875002</v>
      </c>
      <c r="BC47" s="21">
        <f t="shared" si="275"/>
        <v>163.64765426875002</v>
      </c>
      <c r="BD47" s="21">
        <f t="shared" si="275"/>
        <v>177.51241969562503</v>
      </c>
      <c r="BE47" s="21">
        <f t="shared" si="275"/>
        <v>192.76366166518753</v>
      </c>
      <c r="BF47" s="21">
        <f t="shared" si="275"/>
        <v>195.10702306935497</v>
      </c>
      <c r="BG47" s="21">
        <f t="shared" si="275"/>
        <v>197.61255559012733</v>
      </c>
      <c r="BH47" s="21">
        <f t="shared" si="275"/>
        <v>200.29611551404622</v>
      </c>
      <c r="BI47" s="21">
        <f t="shared" si="275"/>
        <v>203.17514295218143</v>
      </c>
      <c r="BJ47" s="21">
        <f t="shared" si="275"/>
        <v>206.26882021356391</v>
      </c>
      <c r="BK47" s="21">
        <f t="shared" si="275"/>
        <v>209.59824601591544</v>
      </c>
      <c r="BL47" s="21">
        <f t="shared" si="275"/>
        <v>213.18662711740703</v>
      </c>
      <c r="BM47" s="21">
        <f t="shared" si="275"/>
        <v>232.00528982914773</v>
      </c>
      <c r="BN47" s="21">
        <f t="shared" si="275"/>
        <v>194.15013820787505</v>
      </c>
      <c r="BO47" s="21">
        <f t="shared" si="275"/>
        <v>194.15013820787505</v>
      </c>
      <c r="BP47" s="21">
        <f t="shared" si="275"/>
        <v>211.06515202866251</v>
      </c>
      <c r="BQ47" s="21">
        <f t="shared" si="275"/>
        <v>229.67166723152877</v>
      </c>
      <c r="BR47" s="21">
        <f t="shared" si="275"/>
        <v>232.53056814461303</v>
      </c>
      <c r="BS47" s="21">
        <f t="shared" si="275"/>
        <v>235.58731781995533</v>
      </c>
      <c r="BT47" s="21">
        <f t="shared" si="275"/>
        <v>238.86126092713636</v>
      </c>
      <c r="BU47" s="21">
        <f t="shared" si="275"/>
        <v>242.37367440166133</v>
      </c>
      <c r="BV47" s="21">
        <f t="shared" ref="BV47:BX47" si="276">BV48+BV51+BV54+BV61</f>
        <v>246.14796066054791</v>
      </c>
      <c r="BW47" s="21">
        <f t="shared" si="276"/>
        <v>250.2098601394168</v>
      </c>
      <c r="BX47" s="21">
        <f t="shared" si="276"/>
        <v>254.58768508323655</v>
      </c>
      <c r="BY47" s="21">
        <f t="shared" ref="BY47:CK47" si="277">BY48+BY51+BY54+BY61</f>
        <v>277.54645359156029</v>
      </c>
      <c r="BZ47" s="21">
        <f t="shared" si="277"/>
        <v>231.36316861360757</v>
      </c>
      <c r="CA47" s="21">
        <f t="shared" si="277"/>
        <v>231.36316861360757</v>
      </c>
      <c r="CB47" s="21">
        <f t="shared" si="277"/>
        <v>251.99948547496825</v>
      </c>
      <c r="CC47" s="21">
        <f t="shared" si="277"/>
        <v>274.6994340224652</v>
      </c>
      <c r="CD47" s="21">
        <f t="shared" si="277"/>
        <v>278.18729313642791</v>
      </c>
      <c r="CE47" s="21">
        <f t="shared" si="277"/>
        <v>281.91652774034554</v>
      </c>
      <c r="CF47" s="21">
        <f t="shared" si="277"/>
        <v>285.91073833110636</v>
      </c>
      <c r="CG47" s="21">
        <f t="shared" si="277"/>
        <v>290.19588277002686</v>
      </c>
      <c r="CH47" s="21">
        <f t="shared" si="277"/>
        <v>294.80051200586843</v>
      </c>
      <c r="CI47" s="21">
        <f t="shared" si="277"/>
        <v>299.75602937008841</v>
      </c>
      <c r="CJ47" s="21">
        <f t="shared" si="277"/>
        <v>305.09697580154852</v>
      </c>
      <c r="CK47" s="21">
        <f t="shared" si="277"/>
        <v>333.10667338170344</v>
      </c>
      <c r="CM47" s="21">
        <f t="shared" si="267"/>
        <v>0</v>
      </c>
      <c r="CN47" s="21">
        <f t="shared" si="267"/>
        <v>0</v>
      </c>
      <c r="CO47" s="21">
        <f t="shared" si="267"/>
        <v>4153.5719175999993</v>
      </c>
      <c r="CP47" s="21">
        <f t="shared" si="267"/>
        <v>1913.7735023950454</v>
      </c>
      <c r="CQ47" s="21">
        <f t="shared" si="267"/>
        <v>2354.8212102000571</v>
      </c>
      <c r="CR47" s="21">
        <f t="shared" si="268"/>
        <v>2806.8818764440684</v>
      </c>
      <c r="CS47" s="21">
        <f t="shared" si="268"/>
        <v>3358.3958892617643</v>
      </c>
    </row>
    <row r="48" spans="2:99" outlineLevel="1" x14ac:dyDescent="0.2">
      <c r="B48" s="88" t="s">
        <v>16</v>
      </c>
      <c r="C48" s="88"/>
      <c r="D48" s="92"/>
      <c r="F48" s="94">
        <f t="shared" ref="F48:K48" si="278">SUM(F49:F50)</f>
        <v>0</v>
      </c>
      <c r="G48" s="94">
        <f t="shared" si="278"/>
        <v>0</v>
      </c>
      <c r="H48" s="94">
        <f t="shared" si="278"/>
        <v>0</v>
      </c>
      <c r="I48" s="94">
        <f t="shared" si="278"/>
        <v>0</v>
      </c>
      <c r="J48" s="94">
        <f t="shared" si="278"/>
        <v>0</v>
      </c>
      <c r="K48" s="94">
        <f t="shared" si="278"/>
        <v>0</v>
      </c>
      <c r="L48" s="94">
        <f t="shared" ref="L48:AQ48" si="279">SUM(L49:L50)</f>
        <v>0</v>
      </c>
      <c r="M48" s="94">
        <f t="shared" si="279"/>
        <v>0</v>
      </c>
      <c r="N48" s="94">
        <f t="shared" si="279"/>
        <v>0</v>
      </c>
      <c r="O48" s="94">
        <f t="shared" si="279"/>
        <v>0</v>
      </c>
      <c r="P48" s="94">
        <f t="shared" si="279"/>
        <v>0</v>
      </c>
      <c r="Q48" s="94">
        <f t="shared" si="279"/>
        <v>0</v>
      </c>
      <c r="R48" s="94">
        <f t="shared" si="279"/>
        <v>0</v>
      </c>
      <c r="S48" s="94">
        <f t="shared" si="279"/>
        <v>0</v>
      </c>
      <c r="T48" s="94">
        <f t="shared" si="279"/>
        <v>0</v>
      </c>
      <c r="U48" s="94">
        <f t="shared" si="279"/>
        <v>0</v>
      </c>
      <c r="V48" s="94">
        <f t="shared" si="279"/>
        <v>0</v>
      </c>
      <c r="W48" s="94">
        <f t="shared" si="279"/>
        <v>0</v>
      </c>
      <c r="X48" s="94">
        <f t="shared" si="279"/>
        <v>0</v>
      </c>
      <c r="Y48" s="94">
        <f t="shared" si="279"/>
        <v>0</v>
      </c>
      <c r="Z48" s="94">
        <f t="shared" si="279"/>
        <v>0</v>
      </c>
      <c r="AA48" s="94">
        <f t="shared" si="279"/>
        <v>0</v>
      </c>
      <c r="AB48" s="94">
        <f t="shared" si="279"/>
        <v>0</v>
      </c>
      <c r="AC48" s="94">
        <f t="shared" si="279"/>
        <v>0</v>
      </c>
      <c r="AD48" s="94">
        <f t="shared" si="279"/>
        <v>0</v>
      </c>
      <c r="AE48" s="94">
        <f t="shared" si="279"/>
        <v>0</v>
      </c>
      <c r="AF48" s="94">
        <f t="shared" si="279"/>
        <v>0</v>
      </c>
      <c r="AG48" s="94">
        <f t="shared" si="279"/>
        <v>0</v>
      </c>
      <c r="AH48" s="94">
        <f t="shared" si="279"/>
        <v>0</v>
      </c>
      <c r="AI48" s="94">
        <f t="shared" si="279"/>
        <v>0</v>
      </c>
      <c r="AJ48" s="94">
        <f t="shared" si="279"/>
        <v>60</v>
      </c>
      <c r="AK48" s="94">
        <f t="shared" si="279"/>
        <v>10</v>
      </c>
      <c r="AL48" s="94">
        <f t="shared" si="279"/>
        <v>10</v>
      </c>
      <c r="AM48" s="94">
        <f t="shared" si="279"/>
        <v>15</v>
      </c>
      <c r="AN48" s="94">
        <f t="shared" si="279"/>
        <v>15</v>
      </c>
      <c r="AO48" s="94">
        <f t="shared" si="279"/>
        <v>15</v>
      </c>
      <c r="AP48" s="94">
        <f t="shared" si="279"/>
        <v>20</v>
      </c>
      <c r="AQ48" s="94">
        <f t="shared" si="279"/>
        <v>20</v>
      </c>
      <c r="AR48" s="94">
        <f t="shared" ref="AR48:BU48" si="280">SUM(AR49:AR50)</f>
        <v>20</v>
      </c>
      <c r="AS48" s="94">
        <f t="shared" si="280"/>
        <v>20</v>
      </c>
      <c r="AT48" s="94">
        <f t="shared" si="280"/>
        <v>25</v>
      </c>
      <c r="AU48" s="94">
        <f t="shared" si="280"/>
        <v>25</v>
      </c>
      <c r="AV48" s="94">
        <f t="shared" si="280"/>
        <v>25</v>
      </c>
      <c r="AW48" s="94">
        <f t="shared" si="280"/>
        <v>25</v>
      </c>
      <c r="AX48" s="94">
        <f t="shared" si="280"/>
        <v>25</v>
      </c>
      <c r="AY48" s="94">
        <f t="shared" si="280"/>
        <v>25</v>
      </c>
      <c r="AZ48" s="94">
        <f t="shared" si="280"/>
        <v>25</v>
      </c>
      <c r="BA48" s="94">
        <f t="shared" si="280"/>
        <v>25</v>
      </c>
      <c r="BB48" s="94">
        <f t="shared" si="280"/>
        <v>25</v>
      </c>
      <c r="BC48" s="94">
        <f t="shared" si="280"/>
        <v>25</v>
      </c>
      <c r="BD48" s="94">
        <f t="shared" si="280"/>
        <v>25</v>
      </c>
      <c r="BE48" s="94">
        <f t="shared" si="280"/>
        <v>25</v>
      </c>
      <c r="BF48" s="94">
        <f t="shared" si="280"/>
        <v>25</v>
      </c>
      <c r="BG48" s="94">
        <f t="shared" si="280"/>
        <v>25</v>
      </c>
      <c r="BH48" s="94">
        <f t="shared" si="280"/>
        <v>25</v>
      </c>
      <c r="BI48" s="94">
        <f t="shared" si="280"/>
        <v>25</v>
      </c>
      <c r="BJ48" s="94">
        <f t="shared" si="280"/>
        <v>25</v>
      </c>
      <c r="BK48" s="94">
        <f t="shared" si="280"/>
        <v>25</v>
      </c>
      <c r="BL48" s="94">
        <f t="shared" si="280"/>
        <v>25</v>
      </c>
      <c r="BM48" s="94">
        <f t="shared" si="280"/>
        <v>25</v>
      </c>
      <c r="BN48" s="94">
        <f t="shared" si="280"/>
        <v>25</v>
      </c>
      <c r="BO48" s="94">
        <f t="shared" si="280"/>
        <v>25</v>
      </c>
      <c r="BP48" s="94">
        <f t="shared" si="280"/>
        <v>25</v>
      </c>
      <c r="BQ48" s="94">
        <f t="shared" si="280"/>
        <v>25</v>
      </c>
      <c r="BR48" s="94">
        <f t="shared" si="280"/>
        <v>25</v>
      </c>
      <c r="BS48" s="94">
        <f t="shared" si="280"/>
        <v>25</v>
      </c>
      <c r="BT48" s="94">
        <f t="shared" si="280"/>
        <v>25</v>
      </c>
      <c r="BU48" s="94">
        <f t="shared" si="280"/>
        <v>25</v>
      </c>
      <c r="BV48" s="94">
        <f t="shared" ref="BV48:BX48" si="281">SUM(BV49:BV50)</f>
        <v>25</v>
      </c>
      <c r="BW48" s="94">
        <f t="shared" si="281"/>
        <v>25</v>
      </c>
      <c r="BX48" s="94">
        <f t="shared" si="281"/>
        <v>25</v>
      </c>
      <c r="BY48" s="94">
        <f t="shared" ref="BY48:CK48" si="282">SUM(BY49:BY50)</f>
        <v>25</v>
      </c>
      <c r="BZ48" s="94">
        <f t="shared" si="282"/>
        <v>25</v>
      </c>
      <c r="CA48" s="94">
        <f t="shared" si="282"/>
        <v>25</v>
      </c>
      <c r="CB48" s="94">
        <f t="shared" si="282"/>
        <v>25</v>
      </c>
      <c r="CC48" s="94">
        <f t="shared" si="282"/>
        <v>25</v>
      </c>
      <c r="CD48" s="94">
        <f t="shared" si="282"/>
        <v>25</v>
      </c>
      <c r="CE48" s="94">
        <f t="shared" si="282"/>
        <v>25</v>
      </c>
      <c r="CF48" s="94">
        <f t="shared" si="282"/>
        <v>25</v>
      </c>
      <c r="CG48" s="94">
        <f t="shared" si="282"/>
        <v>25</v>
      </c>
      <c r="CH48" s="94">
        <f t="shared" si="282"/>
        <v>25</v>
      </c>
      <c r="CI48" s="94">
        <f t="shared" si="282"/>
        <v>25</v>
      </c>
      <c r="CJ48" s="94">
        <f t="shared" si="282"/>
        <v>25</v>
      </c>
      <c r="CK48" s="94">
        <f t="shared" si="282"/>
        <v>25</v>
      </c>
      <c r="CM48" s="94">
        <f t="shared" si="267"/>
        <v>0</v>
      </c>
      <c r="CN48" s="94">
        <f t="shared" si="267"/>
        <v>0</v>
      </c>
      <c r="CO48" s="94">
        <f t="shared" si="267"/>
        <v>125</v>
      </c>
      <c r="CP48" s="94">
        <f t="shared" si="267"/>
        <v>280</v>
      </c>
      <c r="CQ48" s="94">
        <f t="shared" si="267"/>
        <v>300</v>
      </c>
      <c r="CR48" s="94">
        <f t="shared" si="268"/>
        <v>300</v>
      </c>
      <c r="CS48" s="94">
        <f t="shared" si="268"/>
        <v>300</v>
      </c>
    </row>
    <row r="49" spans="2:97" outlineLevel="2" x14ac:dyDescent="0.2">
      <c r="B49" s="95" t="s">
        <v>12</v>
      </c>
      <c r="C49" s="95" t="s">
        <v>4</v>
      </c>
      <c r="D49" s="92"/>
      <c r="AJ49" s="227">
        <v>50</v>
      </c>
      <c r="CM49" s="10">
        <f t="shared" si="267"/>
        <v>0</v>
      </c>
      <c r="CN49" s="10">
        <f t="shared" si="267"/>
        <v>0</v>
      </c>
      <c r="CO49" s="10">
        <f t="shared" si="267"/>
        <v>50</v>
      </c>
      <c r="CP49" s="10">
        <f t="shared" si="267"/>
        <v>0</v>
      </c>
      <c r="CQ49" s="10">
        <f t="shared" si="267"/>
        <v>0</v>
      </c>
      <c r="CR49" s="10">
        <f t="shared" si="268"/>
        <v>0</v>
      </c>
      <c r="CS49" s="10">
        <f t="shared" si="268"/>
        <v>0</v>
      </c>
    </row>
    <row r="50" spans="2:97" outlineLevel="2" x14ac:dyDescent="0.2">
      <c r="B50" s="95" t="s">
        <v>14</v>
      </c>
      <c r="C50" s="95" t="s">
        <v>4</v>
      </c>
      <c r="D50" s="104"/>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6">
        <v>10</v>
      </c>
      <c r="AK50" s="22">
        <f t="shared" ref="AK50:AW50" si="283">AJ50</f>
        <v>10</v>
      </c>
      <c r="AL50" s="22">
        <f t="shared" si="283"/>
        <v>10</v>
      </c>
      <c r="AM50" s="226">
        <v>15</v>
      </c>
      <c r="AN50" s="22">
        <f t="shared" si="283"/>
        <v>15</v>
      </c>
      <c r="AO50" s="22">
        <f t="shared" si="283"/>
        <v>15</v>
      </c>
      <c r="AP50" s="226">
        <v>20</v>
      </c>
      <c r="AQ50" s="22">
        <f t="shared" si="283"/>
        <v>20</v>
      </c>
      <c r="AR50" s="22">
        <f t="shared" si="283"/>
        <v>20</v>
      </c>
      <c r="AS50" s="22">
        <f t="shared" si="283"/>
        <v>20</v>
      </c>
      <c r="AT50" s="226">
        <v>25</v>
      </c>
      <c r="AU50" s="22">
        <f t="shared" si="283"/>
        <v>25</v>
      </c>
      <c r="AV50" s="22">
        <f t="shared" si="283"/>
        <v>25</v>
      </c>
      <c r="AW50" s="22">
        <f t="shared" si="283"/>
        <v>25</v>
      </c>
      <c r="AX50" s="22">
        <f t="shared" ref="AX50" si="284">AW50</f>
        <v>25</v>
      </c>
      <c r="AY50" s="22">
        <f t="shared" ref="AY50" si="285">AX50</f>
        <v>25</v>
      </c>
      <c r="AZ50" s="22">
        <f t="shared" ref="AZ50" si="286">AY50</f>
        <v>25</v>
      </c>
      <c r="BA50" s="22">
        <f t="shared" ref="BA50" si="287">AZ50</f>
        <v>25</v>
      </c>
      <c r="BB50" s="22">
        <f t="shared" ref="BB50" si="288">BA50</f>
        <v>25</v>
      </c>
      <c r="BC50" s="22">
        <f t="shared" ref="BC50" si="289">BB50</f>
        <v>25</v>
      </c>
      <c r="BD50" s="22">
        <f t="shared" ref="BD50" si="290">BC50</f>
        <v>25</v>
      </c>
      <c r="BE50" s="22">
        <f t="shared" ref="BE50" si="291">BD50</f>
        <v>25</v>
      </c>
      <c r="BF50" s="22">
        <f t="shared" ref="BF50" si="292">BE50</f>
        <v>25</v>
      </c>
      <c r="BG50" s="22">
        <f t="shared" ref="BG50" si="293">BF50</f>
        <v>25</v>
      </c>
      <c r="BH50" s="22">
        <f t="shared" ref="BH50" si="294">BG50</f>
        <v>25</v>
      </c>
      <c r="BI50" s="22">
        <f t="shared" ref="BI50" si="295">BH50</f>
        <v>25</v>
      </c>
      <c r="BJ50" s="22">
        <f t="shared" ref="BJ50" si="296">BI50</f>
        <v>25</v>
      </c>
      <c r="BK50" s="22">
        <f t="shared" ref="BK50" si="297">BJ50</f>
        <v>25</v>
      </c>
      <c r="BL50" s="22">
        <f t="shared" ref="BL50" si="298">BK50</f>
        <v>25</v>
      </c>
      <c r="BM50" s="22">
        <f t="shared" ref="BM50" si="299">BL50</f>
        <v>25</v>
      </c>
      <c r="BN50" s="22">
        <f t="shared" ref="BN50" si="300">BM50</f>
        <v>25</v>
      </c>
      <c r="BO50" s="22">
        <f t="shared" ref="BO50" si="301">BN50</f>
        <v>25</v>
      </c>
      <c r="BP50" s="22">
        <f t="shared" ref="BP50" si="302">BO50</f>
        <v>25</v>
      </c>
      <c r="BQ50" s="22">
        <f t="shared" ref="BQ50" si="303">BP50</f>
        <v>25</v>
      </c>
      <c r="BR50" s="22">
        <f t="shared" ref="BR50" si="304">BQ50</f>
        <v>25</v>
      </c>
      <c r="BS50" s="22">
        <f t="shared" ref="BS50" si="305">BR50</f>
        <v>25</v>
      </c>
      <c r="BT50" s="22">
        <f t="shared" ref="BT50" si="306">BS50</f>
        <v>25</v>
      </c>
      <c r="BU50" s="22">
        <f t="shared" ref="BU50" si="307">BT50</f>
        <v>25</v>
      </c>
      <c r="BV50" s="22">
        <f t="shared" ref="BV50" si="308">BU50</f>
        <v>25</v>
      </c>
      <c r="BW50" s="22">
        <f t="shared" ref="BW50" si="309">BV50</f>
        <v>25</v>
      </c>
      <c r="BX50" s="22">
        <f t="shared" ref="BX50" si="310">BW50</f>
        <v>25</v>
      </c>
      <c r="BY50" s="22">
        <f t="shared" ref="BY50" si="311">BX50</f>
        <v>25</v>
      </c>
      <c r="BZ50" s="22">
        <f t="shared" ref="BZ50" si="312">BY50</f>
        <v>25</v>
      </c>
      <c r="CA50" s="22">
        <f t="shared" ref="CA50" si="313">BZ50</f>
        <v>25</v>
      </c>
      <c r="CB50" s="22">
        <f t="shared" ref="CB50" si="314">CA50</f>
        <v>25</v>
      </c>
      <c r="CC50" s="22">
        <f t="shared" ref="CC50" si="315">CB50</f>
        <v>25</v>
      </c>
      <c r="CD50" s="22">
        <f t="shared" ref="CD50" si="316">CC50</f>
        <v>25</v>
      </c>
      <c r="CE50" s="22">
        <f t="shared" ref="CE50" si="317">CD50</f>
        <v>25</v>
      </c>
      <c r="CF50" s="22">
        <f t="shared" ref="CF50" si="318">CE50</f>
        <v>25</v>
      </c>
      <c r="CG50" s="22">
        <f t="shared" ref="CG50" si="319">CF50</f>
        <v>25</v>
      </c>
      <c r="CH50" s="22">
        <f t="shared" ref="CH50" si="320">CG50</f>
        <v>25</v>
      </c>
      <c r="CI50" s="22">
        <f t="shared" ref="CI50" si="321">CH50</f>
        <v>25</v>
      </c>
      <c r="CJ50" s="22">
        <f t="shared" ref="CJ50" si="322">CI50</f>
        <v>25</v>
      </c>
      <c r="CK50" s="22">
        <f t="shared" ref="CK50" si="323">CJ50</f>
        <v>25</v>
      </c>
      <c r="CM50" s="10">
        <f t="shared" si="267"/>
        <v>0</v>
      </c>
      <c r="CN50" s="10">
        <f t="shared" si="267"/>
        <v>0</v>
      </c>
      <c r="CO50" s="10">
        <f t="shared" si="267"/>
        <v>75</v>
      </c>
      <c r="CP50" s="10">
        <f t="shared" si="267"/>
        <v>280</v>
      </c>
      <c r="CQ50" s="10">
        <f t="shared" si="267"/>
        <v>300</v>
      </c>
      <c r="CR50" s="10">
        <f t="shared" si="268"/>
        <v>300</v>
      </c>
      <c r="CS50" s="10">
        <f t="shared" si="268"/>
        <v>300</v>
      </c>
    </row>
    <row r="51" spans="2:97" outlineLevel="1" x14ac:dyDescent="0.2">
      <c r="B51" s="88" t="s">
        <v>17</v>
      </c>
      <c r="C51" s="92"/>
      <c r="D51" s="92"/>
      <c r="F51" s="94">
        <f t="shared" ref="F51:K51" si="324">SUM(F52:F53)</f>
        <v>0</v>
      </c>
      <c r="G51" s="94">
        <f t="shared" si="324"/>
        <v>0</v>
      </c>
      <c r="H51" s="94">
        <f t="shared" si="324"/>
        <v>0</v>
      </c>
      <c r="I51" s="94">
        <f t="shared" si="324"/>
        <v>0</v>
      </c>
      <c r="J51" s="94">
        <f t="shared" si="324"/>
        <v>0</v>
      </c>
      <c r="K51" s="94">
        <f t="shared" si="324"/>
        <v>0</v>
      </c>
      <c r="L51" s="94">
        <f t="shared" ref="L51:AQ51" si="325">SUM(L52:L53)</f>
        <v>0</v>
      </c>
      <c r="M51" s="94">
        <f t="shared" si="325"/>
        <v>0</v>
      </c>
      <c r="N51" s="94">
        <f t="shared" si="325"/>
        <v>0</v>
      </c>
      <c r="O51" s="94">
        <f t="shared" si="325"/>
        <v>0</v>
      </c>
      <c r="P51" s="94">
        <f t="shared" si="325"/>
        <v>0</v>
      </c>
      <c r="Q51" s="94">
        <f t="shared" si="325"/>
        <v>0</v>
      </c>
      <c r="R51" s="94">
        <f t="shared" si="325"/>
        <v>0</v>
      </c>
      <c r="S51" s="94">
        <f t="shared" si="325"/>
        <v>0</v>
      </c>
      <c r="T51" s="94">
        <f t="shared" si="325"/>
        <v>0</v>
      </c>
      <c r="U51" s="94">
        <f t="shared" si="325"/>
        <v>0</v>
      </c>
      <c r="V51" s="94">
        <f t="shared" si="325"/>
        <v>0</v>
      </c>
      <c r="W51" s="94">
        <f t="shared" si="325"/>
        <v>0</v>
      </c>
      <c r="X51" s="94">
        <f t="shared" si="325"/>
        <v>0</v>
      </c>
      <c r="Y51" s="94">
        <f t="shared" si="325"/>
        <v>0</v>
      </c>
      <c r="Z51" s="94">
        <f t="shared" si="325"/>
        <v>0</v>
      </c>
      <c r="AA51" s="94">
        <f t="shared" si="325"/>
        <v>0</v>
      </c>
      <c r="AB51" s="94">
        <f t="shared" si="325"/>
        <v>0</v>
      </c>
      <c r="AC51" s="94">
        <f t="shared" si="325"/>
        <v>0</v>
      </c>
      <c r="AD51" s="94">
        <f t="shared" si="325"/>
        <v>0</v>
      </c>
      <c r="AE51" s="94">
        <f t="shared" si="325"/>
        <v>0</v>
      </c>
      <c r="AF51" s="94">
        <f t="shared" si="325"/>
        <v>0</v>
      </c>
      <c r="AG51" s="94">
        <f t="shared" si="325"/>
        <v>0</v>
      </c>
      <c r="AH51" s="94">
        <f t="shared" si="325"/>
        <v>0</v>
      </c>
      <c r="AI51" s="94">
        <f t="shared" si="325"/>
        <v>0</v>
      </c>
      <c r="AJ51" s="94">
        <f t="shared" si="325"/>
        <v>13.5</v>
      </c>
      <c r="AK51" s="94">
        <f t="shared" si="325"/>
        <v>36.25</v>
      </c>
      <c r="AL51" s="94">
        <f t="shared" si="325"/>
        <v>40.412499999999994</v>
      </c>
      <c r="AM51" s="94">
        <f t="shared" si="325"/>
        <v>41.220749999999995</v>
      </c>
      <c r="AN51" s="94">
        <f t="shared" si="325"/>
        <v>42.045164999999997</v>
      </c>
      <c r="AO51" s="94">
        <f t="shared" si="325"/>
        <v>42.886068299999998</v>
      </c>
      <c r="AP51" s="94">
        <f t="shared" si="325"/>
        <v>50.417328824999998</v>
      </c>
      <c r="AQ51" s="94">
        <f t="shared" si="325"/>
        <v>55.459061707500005</v>
      </c>
      <c r="AR51" s="94">
        <f t="shared" ref="AR51:BU51" si="326">SUM(AR52:AR53)</f>
        <v>61.004967878250014</v>
      </c>
      <c r="AS51" s="94">
        <f t="shared" si="326"/>
        <v>67.105464666075008</v>
      </c>
      <c r="AT51" s="94">
        <f t="shared" si="326"/>
        <v>68.042809227741984</v>
      </c>
      <c r="AU51" s="94">
        <f t="shared" si="326"/>
        <v>69.04502223605094</v>
      </c>
      <c r="AV51" s="94">
        <f t="shared" si="326"/>
        <v>70.118446205618483</v>
      </c>
      <c r="AW51" s="94">
        <f t="shared" si="326"/>
        <v>71.270057180872584</v>
      </c>
      <c r="AX51" s="94">
        <f t="shared" si="326"/>
        <v>72.507528085425562</v>
      </c>
      <c r="AY51" s="94">
        <f t="shared" si="326"/>
        <v>73.839298406366169</v>
      </c>
      <c r="AZ51" s="94">
        <f t="shared" si="326"/>
        <v>75.274650846962814</v>
      </c>
      <c r="BA51" s="94">
        <f t="shared" si="326"/>
        <v>82.802115931659088</v>
      </c>
      <c r="BB51" s="94">
        <f t="shared" si="326"/>
        <v>69.323827134375009</v>
      </c>
      <c r="BC51" s="94">
        <f t="shared" si="326"/>
        <v>69.323827134375009</v>
      </c>
      <c r="BD51" s="94">
        <f t="shared" si="326"/>
        <v>76.256209847812514</v>
      </c>
      <c r="BE51" s="94">
        <f t="shared" si="326"/>
        <v>83.881830832593764</v>
      </c>
      <c r="BF51" s="94">
        <f t="shared" si="326"/>
        <v>85.053511534677483</v>
      </c>
      <c r="BG51" s="94">
        <f t="shared" si="326"/>
        <v>86.306277795063679</v>
      </c>
      <c r="BH51" s="94">
        <f t="shared" si="326"/>
        <v>87.648057757023111</v>
      </c>
      <c r="BI51" s="94">
        <f t="shared" si="326"/>
        <v>89.08757147609073</v>
      </c>
      <c r="BJ51" s="94">
        <f t="shared" si="326"/>
        <v>90.634410106781957</v>
      </c>
      <c r="BK51" s="94">
        <f t="shared" si="326"/>
        <v>92.299123007957718</v>
      </c>
      <c r="BL51" s="94">
        <f t="shared" si="326"/>
        <v>94.093313558703514</v>
      </c>
      <c r="BM51" s="94">
        <f t="shared" si="326"/>
        <v>103.50264491457388</v>
      </c>
      <c r="BN51" s="94">
        <f t="shared" si="326"/>
        <v>84.575069103937523</v>
      </c>
      <c r="BO51" s="94">
        <f t="shared" si="326"/>
        <v>84.575069103937523</v>
      </c>
      <c r="BP51" s="94">
        <f t="shared" si="326"/>
        <v>93.032576014331255</v>
      </c>
      <c r="BQ51" s="94">
        <f t="shared" si="326"/>
        <v>102.33583361576439</v>
      </c>
      <c r="BR51" s="94">
        <f t="shared" si="326"/>
        <v>103.76528407230651</v>
      </c>
      <c r="BS51" s="94">
        <f t="shared" si="326"/>
        <v>105.29365890997767</v>
      </c>
      <c r="BT51" s="94">
        <f t="shared" si="326"/>
        <v>106.93063046356818</v>
      </c>
      <c r="BU51" s="94">
        <f t="shared" si="326"/>
        <v>108.68683720083068</v>
      </c>
      <c r="BV51" s="94">
        <f t="shared" ref="BV51:BX51" si="327">SUM(BV52:BV53)</f>
        <v>110.57398033027395</v>
      </c>
      <c r="BW51" s="94">
        <f t="shared" si="327"/>
        <v>112.6049300697084</v>
      </c>
      <c r="BX51" s="94">
        <f t="shared" si="327"/>
        <v>114.79384254161828</v>
      </c>
      <c r="BY51" s="94">
        <f t="shared" ref="BY51:CK51" si="328">SUM(BY52:BY53)</f>
        <v>126.27322679578013</v>
      </c>
      <c r="BZ51" s="94">
        <f t="shared" si="328"/>
        <v>103.18158430680379</v>
      </c>
      <c r="CA51" s="94">
        <f t="shared" si="328"/>
        <v>103.18158430680379</v>
      </c>
      <c r="CB51" s="94">
        <f t="shared" si="328"/>
        <v>113.49974273748413</v>
      </c>
      <c r="CC51" s="94">
        <f t="shared" si="328"/>
        <v>124.84971701123258</v>
      </c>
      <c r="CD51" s="94">
        <f t="shared" si="328"/>
        <v>126.59364656821396</v>
      </c>
      <c r="CE51" s="94">
        <f t="shared" si="328"/>
        <v>128.45826387017277</v>
      </c>
      <c r="CF51" s="94">
        <f t="shared" si="328"/>
        <v>130.45536916555318</v>
      </c>
      <c r="CG51" s="94">
        <f t="shared" si="328"/>
        <v>132.59794138501343</v>
      </c>
      <c r="CH51" s="94">
        <f t="shared" si="328"/>
        <v>134.90025600293424</v>
      </c>
      <c r="CI51" s="94">
        <f t="shared" si="328"/>
        <v>137.37801468504421</v>
      </c>
      <c r="CJ51" s="94">
        <f t="shared" si="328"/>
        <v>140.04848790077429</v>
      </c>
      <c r="CK51" s="94">
        <f t="shared" si="328"/>
        <v>154.05333669085172</v>
      </c>
      <c r="CM51" s="94">
        <f t="shared" si="267"/>
        <v>0</v>
      </c>
      <c r="CN51" s="94">
        <f t="shared" si="267"/>
        <v>0</v>
      </c>
      <c r="CO51" s="94">
        <f t="shared" si="267"/>
        <v>216.31448329999998</v>
      </c>
      <c r="CP51" s="94">
        <f t="shared" si="267"/>
        <v>816.88675119752259</v>
      </c>
      <c r="CQ51" s="94">
        <f t="shared" si="267"/>
        <v>1027.4106051000283</v>
      </c>
      <c r="CR51" s="94">
        <f t="shared" si="268"/>
        <v>1253.4409382220344</v>
      </c>
      <c r="CS51" s="94">
        <f t="shared" si="268"/>
        <v>1529.1979446308821</v>
      </c>
    </row>
    <row r="52" spans="2:97" outlineLevel="2" x14ac:dyDescent="0.2">
      <c r="B52" s="95" t="s">
        <v>40</v>
      </c>
      <c r="C52" s="92" t="s">
        <v>39</v>
      </c>
      <c r="D52" s="104">
        <v>0.04</v>
      </c>
      <c r="F52" s="22"/>
      <c r="G52" s="22"/>
      <c r="H52" s="22"/>
      <c r="I52" s="22"/>
      <c r="J52" s="22"/>
      <c r="K52" s="22"/>
      <c r="L52" s="22"/>
      <c r="M52" s="22"/>
      <c r="N52" s="22"/>
      <c r="O52" s="22"/>
      <c r="P52" s="22"/>
      <c r="Q52" s="22"/>
      <c r="R52" s="22"/>
      <c r="S52" s="22">
        <f t="shared" ref="S52:AE53" si="329">S$39*$D52</f>
        <v>0</v>
      </c>
      <c r="T52" s="22">
        <f t="shared" si="329"/>
        <v>0</v>
      </c>
      <c r="U52" s="22">
        <f t="shared" si="329"/>
        <v>0</v>
      </c>
      <c r="V52" s="22">
        <f t="shared" si="329"/>
        <v>0</v>
      </c>
      <c r="W52" s="22">
        <f t="shared" si="329"/>
        <v>0</v>
      </c>
      <c r="X52" s="22">
        <f t="shared" si="329"/>
        <v>0</v>
      </c>
      <c r="Y52" s="22">
        <f t="shared" si="329"/>
        <v>0</v>
      </c>
      <c r="Z52" s="22">
        <f t="shared" si="329"/>
        <v>0</v>
      </c>
      <c r="AA52" s="22">
        <f t="shared" si="329"/>
        <v>0</v>
      </c>
      <c r="AB52" s="22">
        <f t="shared" si="329"/>
        <v>0</v>
      </c>
      <c r="AC52" s="22">
        <f t="shared" si="329"/>
        <v>0</v>
      </c>
      <c r="AD52" s="22">
        <f t="shared" si="329"/>
        <v>0</v>
      </c>
      <c r="AE52" s="22">
        <f t="shared" si="329"/>
        <v>0</v>
      </c>
      <c r="AF52" s="22">
        <f t="shared" ref="AF52:CK53" si="330">AF$39*$D52</f>
        <v>0</v>
      </c>
      <c r="AG52" s="22">
        <f t="shared" si="330"/>
        <v>0</v>
      </c>
      <c r="AH52" s="22">
        <f t="shared" si="330"/>
        <v>0</v>
      </c>
      <c r="AI52" s="22">
        <f t="shared" si="330"/>
        <v>0</v>
      </c>
      <c r="AJ52" s="22">
        <f t="shared" si="330"/>
        <v>10.8</v>
      </c>
      <c r="AK52" s="22">
        <f t="shared" si="330"/>
        <v>29</v>
      </c>
      <c r="AL52" s="22">
        <f t="shared" si="330"/>
        <v>32.33</v>
      </c>
      <c r="AM52" s="22">
        <f t="shared" si="330"/>
        <v>32.976599999999998</v>
      </c>
      <c r="AN52" s="22">
        <f t="shared" si="330"/>
        <v>33.636131999999996</v>
      </c>
      <c r="AO52" s="22">
        <f t="shared" si="330"/>
        <v>34.30885464</v>
      </c>
      <c r="AP52" s="22">
        <f t="shared" si="330"/>
        <v>40.333863059999999</v>
      </c>
      <c r="AQ52" s="22">
        <f t="shared" si="330"/>
        <v>44.367249366000003</v>
      </c>
      <c r="AR52" s="22">
        <f t="shared" si="330"/>
        <v>48.803974302600011</v>
      </c>
      <c r="AS52" s="22">
        <f t="shared" si="330"/>
        <v>53.684371732860008</v>
      </c>
      <c r="AT52" s="22">
        <f t="shared" si="330"/>
        <v>54.43424738219359</v>
      </c>
      <c r="AU52" s="22">
        <f t="shared" si="330"/>
        <v>55.236017788840755</v>
      </c>
      <c r="AV52" s="22">
        <f t="shared" si="330"/>
        <v>56.094756964494785</v>
      </c>
      <c r="AW52" s="22">
        <f t="shared" si="330"/>
        <v>57.016045744698062</v>
      </c>
      <c r="AX52" s="22">
        <f t="shared" si="330"/>
        <v>58.006022468340447</v>
      </c>
      <c r="AY52" s="22">
        <f t="shared" si="330"/>
        <v>59.071438725092932</v>
      </c>
      <c r="AZ52" s="22">
        <f t="shared" si="330"/>
        <v>60.219720677570251</v>
      </c>
      <c r="BA52" s="22">
        <f t="shared" si="330"/>
        <v>66.241692745327271</v>
      </c>
      <c r="BB52" s="22">
        <f t="shared" si="330"/>
        <v>55.459061707500005</v>
      </c>
      <c r="BC52" s="22">
        <f t="shared" si="330"/>
        <v>55.459061707500005</v>
      </c>
      <c r="BD52" s="22">
        <f t="shared" si="330"/>
        <v>61.004967878250007</v>
      </c>
      <c r="BE52" s="22">
        <f t="shared" si="330"/>
        <v>67.105464666075008</v>
      </c>
      <c r="BF52" s="22">
        <f t="shared" si="330"/>
        <v>68.042809227741984</v>
      </c>
      <c r="BG52" s="22">
        <f t="shared" si="330"/>
        <v>69.04502223605094</v>
      </c>
      <c r="BH52" s="22">
        <f t="shared" si="330"/>
        <v>70.118446205618483</v>
      </c>
      <c r="BI52" s="22">
        <f t="shared" si="330"/>
        <v>71.270057180872584</v>
      </c>
      <c r="BJ52" s="22">
        <f t="shared" si="330"/>
        <v>72.507528085425562</v>
      </c>
      <c r="BK52" s="22">
        <f t="shared" si="330"/>
        <v>73.839298406366169</v>
      </c>
      <c r="BL52" s="22">
        <f t="shared" si="330"/>
        <v>75.274650846962814</v>
      </c>
      <c r="BM52" s="22">
        <f t="shared" si="330"/>
        <v>82.802115931659102</v>
      </c>
      <c r="BN52" s="22">
        <f t="shared" si="330"/>
        <v>67.660055283150015</v>
      </c>
      <c r="BO52" s="22">
        <f t="shared" si="330"/>
        <v>67.660055283150015</v>
      </c>
      <c r="BP52" s="22">
        <f t="shared" si="330"/>
        <v>74.426060811465007</v>
      </c>
      <c r="BQ52" s="22">
        <f t="shared" si="330"/>
        <v>81.868666892611515</v>
      </c>
      <c r="BR52" s="22">
        <f t="shared" si="330"/>
        <v>83.012227257845211</v>
      </c>
      <c r="BS52" s="22">
        <f t="shared" si="330"/>
        <v>84.234927127982132</v>
      </c>
      <c r="BT52" s="22">
        <f t="shared" si="330"/>
        <v>85.54450437085454</v>
      </c>
      <c r="BU52" s="22">
        <f t="shared" si="330"/>
        <v>86.949469760664542</v>
      </c>
      <c r="BV52" s="22">
        <f t="shared" si="330"/>
        <v>88.459184264219161</v>
      </c>
      <c r="BW52" s="22">
        <f t="shared" si="330"/>
        <v>90.083944055766722</v>
      </c>
      <c r="BX52" s="22">
        <f t="shared" si="330"/>
        <v>91.835074033294617</v>
      </c>
      <c r="BY52" s="22">
        <f t="shared" si="330"/>
        <v>101.0185814366241</v>
      </c>
      <c r="BZ52" s="22">
        <f t="shared" si="330"/>
        <v>82.545267445443031</v>
      </c>
      <c r="CA52" s="22">
        <f t="shared" si="330"/>
        <v>82.545267445443031</v>
      </c>
      <c r="CB52" s="22">
        <f t="shared" si="330"/>
        <v>90.799794189987296</v>
      </c>
      <c r="CC52" s="22">
        <f t="shared" si="330"/>
        <v>99.879773608986071</v>
      </c>
      <c r="CD52" s="22">
        <f t="shared" si="330"/>
        <v>101.27491725457116</v>
      </c>
      <c r="CE52" s="22">
        <f t="shared" si="330"/>
        <v>102.76661109613822</v>
      </c>
      <c r="CF52" s="22">
        <f t="shared" si="330"/>
        <v>104.36429533244255</v>
      </c>
      <c r="CG52" s="22">
        <f t="shared" si="330"/>
        <v>106.07835310801075</v>
      </c>
      <c r="CH52" s="22">
        <f t="shared" si="330"/>
        <v>107.92020480234738</v>
      </c>
      <c r="CI52" s="22">
        <f t="shared" si="330"/>
        <v>109.90241174803538</v>
      </c>
      <c r="CJ52" s="22">
        <f t="shared" si="330"/>
        <v>112.03879032061943</v>
      </c>
      <c r="CK52" s="22">
        <f t="shared" si="330"/>
        <v>123.24266935268139</v>
      </c>
      <c r="CM52" s="10">
        <f t="shared" si="267"/>
        <v>0</v>
      </c>
      <c r="CN52" s="10">
        <f t="shared" si="267"/>
        <v>0</v>
      </c>
      <c r="CO52" s="10">
        <f t="shared" si="267"/>
        <v>173.05158663999998</v>
      </c>
      <c r="CP52" s="10">
        <f t="shared" si="267"/>
        <v>653.5094009580182</v>
      </c>
      <c r="CQ52" s="10">
        <f t="shared" si="267"/>
        <v>821.92848408002283</v>
      </c>
      <c r="CR52" s="10">
        <f t="shared" si="268"/>
        <v>1002.7527505776277</v>
      </c>
      <c r="CS52" s="10">
        <f t="shared" si="268"/>
        <v>1223.3583557047057</v>
      </c>
    </row>
    <row r="53" spans="2:97" outlineLevel="2" x14ac:dyDescent="0.2">
      <c r="B53" s="95" t="s">
        <v>41</v>
      </c>
      <c r="C53" s="92" t="s">
        <v>39</v>
      </c>
      <c r="D53" s="104">
        <v>0.01</v>
      </c>
      <c r="S53" s="22">
        <f t="shared" si="329"/>
        <v>0</v>
      </c>
      <c r="T53" s="22">
        <f t="shared" si="329"/>
        <v>0</v>
      </c>
      <c r="U53" s="22">
        <f t="shared" si="329"/>
        <v>0</v>
      </c>
      <c r="V53" s="22">
        <f t="shared" si="329"/>
        <v>0</v>
      </c>
      <c r="W53" s="22">
        <f t="shared" si="329"/>
        <v>0</v>
      </c>
      <c r="X53" s="22">
        <f t="shared" si="329"/>
        <v>0</v>
      </c>
      <c r="Y53" s="22">
        <f t="shared" si="329"/>
        <v>0</v>
      </c>
      <c r="Z53" s="22">
        <f t="shared" si="329"/>
        <v>0</v>
      </c>
      <c r="AA53" s="22">
        <f t="shared" si="329"/>
        <v>0</v>
      </c>
      <c r="AB53" s="22">
        <f t="shared" si="329"/>
        <v>0</v>
      </c>
      <c r="AC53" s="22">
        <f t="shared" si="329"/>
        <v>0</v>
      </c>
      <c r="AD53" s="22">
        <f t="shared" si="329"/>
        <v>0</v>
      </c>
      <c r="AE53" s="22">
        <f t="shared" si="329"/>
        <v>0</v>
      </c>
      <c r="AF53" s="22">
        <f t="shared" si="330"/>
        <v>0</v>
      </c>
      <c r="AG53" s="22">
        <f t="shared" si="330"/>
        <v>0</v>
      </c>
      <c r="AH53" s="22">
        <f t="shared" si="330"/>
        <v>0</v>
      </c>
      <c r="AI53" s="22">
        <f t="shared" si="330"/>
        <v>0</v>
      </c>
      <c r="AJ53" s="22">
        <f t="shared" si="330"/>
        <v>2.7</v>
      </c>
      <c r="AK53" s="22">
        <f t="shared" si="330"/>
        <v>7.25</v>
      </c>
      <c r="AL53" s="22">
        <f t="shared" si="330"/>
        <v>8.0824999999999996</v>
      </c>
      <c r="AM53" s="22">
        <f t="shared" si="330"/>
        <v>8.2441499999999994</v>
      </c>
      <c r="AN53" s="22">
        <f t="shared" si="330"/>
        <v>8.4090329999999991</v>
      </c>
      <c r="AO53" s="22">
        <f t="shared" si="330"/>
        <v>8.57721366</v>
      </c>
      <c r="AP53" s="22">
        <f t="shared" si="330"/>
        <v>10.083465765</v>
      </c>
      <c r="AQ53" s="22">
        <f t="shared" si="330"/>
        <v>11.091812341500001</v>
      </c>
      <c r="AR53" s="22">
        <f t="shared" si="330"/>
        <v>12.200993575650003</v>
      </c>
      <c r="AS53" s="22">
        <f t="shared" si="330"/>
        <v>13.421092933215002</v>
      </c>
      <c r="AT53" s="22">
        <f t="shared" si="330"/>
        <v>13.608561845548397</v>
      </c>
      <c r="AU53" s="22">
        <f t="shared" si="330"/>
        <v>13.809004447210189</v>
      </c>
      <c r="AV53" s="22">
        <f t="shared" si="330"/>
        <v>14.023689241123696</v>
      </c>
      <c r="AW53" s="22">
        <f t="shared" si="330"/>
        <v>14.254011436174515</v>
      </c>
      <c r="AX53" s="22">
        <f t="shared" si="330"/>
        <v>14.501505617085112</v>
      </c>
      <c r="AY53" s="22">
        <f t="shared" si="330"/>
        <v>14.767859681273233</v>
      </c>
      <c r="AZ53" s="22">
        <f t="shared" si="330"/>
        <v>15.054930169392563</v>
      </c>
      <c r="BA53" s="22">
        <f t="shared" si="330"/>
        <v>16.560423186331818</v>
      </c>
      <c r="BB53" s="22">
        <f t="shared" si="330"/>
        <v>13.864765426875001</v>
      </c>
      <c r="BC53" s="22">
        <f t="shared" si="330"/>
        <v>13.864765426875001</v>
      </c>
      <c r="BD53" s="22">
        <f t="shared" si="330"/>
        <v>15.251241969562502</v>
      </c>
      <c r="BE53" s="22">
        <f t="shared" si="330"/>
        <v>16.776366166518752</v>
      </c>
      <c r="BF53" s="22">
        <f t="shared" si="330"/>
        <v>17.010702306935496</v>
      </c>
      <c r="BG53" s="22">
        <f t="shared" si="330"/>
        <v>17.261255559012735</v>
      </c>
      <c r="BH53" s="22">
        <f t="shared" si="330"/>
        <v>17.529611551404621</v>
      </c>
      <c r="BI53" s="22">
        <f t="shared" si="330"/>
        <v>17.817514295218146</v>
      </c>
      <c r="BJ53" s="22">
        <f t="shared" si="330"/>
        <v>18.126882021356391</v>
      </c>
      <c r="BK53" s="22">
        <f t="shared" si="330"/>
        <v>18.459824601591542</v>
      </c>
      <c r="BL53" s="22">
        <f t="shared" si="330"/>
        <v>18.818662711740703</v>
      </c>
      <c r="BM53" s="22">
        <f t="shared" si="330"/>
        <v>20.700528982914776</v>
      </c>
      <c r="BN53" s="22">
        <f t="shared" si="330"/>
        <v>16.915013820787504</v>
      </c>
      <c r="BO53" s="22">
        <f t="shared" si="330"/>
        <v>16.915013820787504</v>
      </c>
      <c r="BP53" s="22">
        <f t="shared" si="330"/>
        <v>18.606515202866252</v>
      </c>
      <c r="BQ53" s="22">
        <f t="shared" si="330"/>
        <v>20.467166723152879</v>
      </c>
      <c r="BR53" s="22">
        <f t="shared" si="330"/>
        <v>20.753056814461303</v>
      </c>
      <c r="BS53" s="22">
        <f t="shared" si="330"/>
        <v>21.058731781995533</v>
      </c>
      <c r="BT53" s="22">
        <f t="shared" si="330"/>
        <v>21.386126092713635</v>
      </c>
      <c r="BU53" s="22">
        <f t="shared" si="330"/>
        <v>21.737367440166135</v>
      </c>
      <c r="BV53" s="22">
        <f t="shared" si="330"/>
        <v>22.11479606605479</v>
      </c>
      <c r="BW53" s="22">
        <f t="shared" si="330"/>
        <v>22.52098601394168</v>
      </c>
      <c r="BX53" s="22">
        <f t="shared" si="330"/>
        <v>22.958768508323654</v>
      </c>
      <c r="BY53" s="22">
        <f t="shared" si="330"/>
        <v>25.254645359156026</v>
      </c>
      <c r="BZ53" s="22">
        <f t="shared" si="330"/>
        <v>20.636316861360758</v>
      </c>
      <c r="CA53" s="22">
        <f t="shared" si="330"/>
        <v>20.636316861360758</v>
      </c>
      <c r="CB53" s="22">
        <f t="shared" si="330"/>
        <v>22.699948547496824</v>
      </c>
      <c r="CC53" s="22">
        <f t="shared" si="330"/>
        <v>24.969943402246518</v>
      </c>
      <c r="CD53" s="22">
        <f t="shared" si="330"/>
        <v>25.318729313642791</v>
      </c>
      <c r="CE53" s="22">
        <f t="shared" si="330"/>
        <v>25.691652774034555</v>
      </c>
      <c r="CF53" s="22">
        <f t="shared" si="330"/>
        <v>26.091073833110638</v>
      </c>
      <c r="CG53" s="22">
        <f t="shared" si="330"/>
        <v>26.519588277002686</v>
      </c>
      <c r="CH53" s="22">
        <f t="shared" si="330"/>
        <v>26.980051200586846</v>
      </c>
      <c r="CI53" s="22">
        <f t="shared" si="330"/>
        <v>27.475602937008844</v>
      </c>
      <c r="CJ53" s="22">
        <f t="shared" si="330"/>
        <v>28.009697580154857</v>
      </c>
      <c r="CK53" s="22">
        <f t="shared" si="330"/>
        <v>30.810667338170347</v>
      </c>
      <c r="CM53" s="10">
        <f t="shared" si="267"/>
        <v>0</v>
      </c>
      <c r="CN53" s="10">
        <f t="shared" si="267"/>
        <v>0</v>
      </c>
      <c r="CO53" s="10">
        <f t="shared" si="267"/>
        <v>43.262896659999996</v>
      </c>
      <c r="CP53" s="10">
        <f t="shared" si="267"/>
        <v>163.37735023950455</v>
      </c>
      <c r="CQ53" s="10">
        <f t="shared" si="267"/>
        <v>205.48212102000571</v>
      </c>
      <c r="CR53" s="10">
        <f t="shared" si="268"/>
        <v>250.68818764440692</v>
      </c>
      <c r="CS53" s="10">
        <f t="shared" si="268"/>
        <v>305.83958892617642</v>
      </c>
    </row>
    <row r="54" spans="2:97" outlineLevel="1" x14ac:dyDescent="0.2">
      <c r="B54" s="88" t="s">
        <v>19</v>
      </c>
      <c r="C54" s="92"/>
      <c r="D54" s="92"/>
      <c r="F54" s="94">
        <f t="shared" ref="F54:K54" si="331">SUM(F55:F60)</f>
        <v>0</v>
      </c>
      <c r="G54" s="94">
        <f t="shared" si="331"/>
        <v>0</v>
      </c>
      <c r="H54" s="94">
        <f t="shared" si="331"/>
        <v>0</v>
      </c>
      <c r="I54" s="94">
        <f t="shared" si="331"/>
        <v>0</v>
      </c>
      <c r="J54" s="94">
        <f t="shared" si="331"/>
        <v>0</v>
      </c>
      <c r="K54" s="94">
        <f t="shared" si="331"/>
        <v>0</v>
      </c>
      <c r="L54" s="94">
        <f>SUM(L55:L60)</f>
        <v>0</v>
      </c>
      <c r="M54" s="94">
        <f t="shared" ref="M54:AW54" si="332">SUM(M55:M60)</f>
        <v>0</v>
      </c>
      <c r="N54" s="94">
        <f t="shared" si="332"/>
        <v>0</v>
      </c>
      <c r="O54" s="94">
        <f t="shared" si="332"/>
        <v>0</v>
      </c>
      <c r="P54" s="94">
        <f t="shared" si="332"/>
        <v>0</v>
      </c>
      <c r="Q54" s="94">
        <f t="shared" si="332"/>
        <v>0</v>
      </c>
      <c r="R54" s="94">
        <f t="shared" si="332"/>
        <v>0</v>
      </c>
      <c r="S54" s="94">
        <f t="shared" si="332"/>
        <v>0</v>
      </c>
      <c r="T54" s="94">
        <f t="shared" si="332"/>
        <v>0</v>
      </c>
      <c r="U54" s="94">
        <f t="shared" si="332"/>
        <v>0</v>
      </c>
      <c r="V54" s="94">
        <f t="shared" si="332"/>
        <v>0</v>
      </c>
      <c r="W54" s="94">
        <f t="shared" si="332"/>
        <v>0</v>
      </c>
      <c r="X54" s="94">
        <f t="shared" si="332"/>
        <v>0</v>
      </c>
      <c r="Y54" s="94">
        <f t="shared" si="332"/>
        <v>0</v>
      </c>
      <c r="Z54" s="94">
        <f t="shared" si="332"/>
        <v>0</v>
      </c>
      <c r="AA54" s="94">
        <f t="shared" si="332"/>
        <v>0</v>
      </c>
      <c r="AB54" s="94">
        <f t="shared" si="332"/>
        <v>0</v>
      </c>
      <c r="AC54" s="94">
        <f t="shared" si="332"/>
        <v>0</v>
      </c>
      <c r="AD54" s="94">
        <f t="shared" si="332"/>
        <v>0</v>
      </c>
      <c r="AE54" s="94">
        <f t="shared" si="332"/>
        <v>0</v>
      </c>
      <c r="AF54" s="94">
        <f t="shared" si="332"/>
        <v>0</v>
      </c>
      <c r="AG54" s="94">
        <f t="shared" si="332"/>
        <v>0</v>
      </c>
      <c r="AH54" s="94">
        <f t="shared" si="332"/>
        <v>0</v>
      </c>
      <c r="AI54" s="94">
        <f t="shared" si="332"/>
        <v>0</v>
      </c>
      <c r="AJ54" s="94">
        <f t="shared" si="332"/>
        <v>1005.4</v>
      </c>
      <c r="AK54" s="94">
        <f t="shared" si="332"/>
        <v>1014.5</v>
      </c>
      <c r="AL54" s="94">
        <f t="shared" si="332"/>
        <v>1016.165</v>
      </c>
      <c r="AM54" s="94">
        <f t="shared" si="332"/>
        <v>516.48829999999998</v>
      </c>
      <c r="AN54" s="94">
        <f t="shared" si="332"/>
        <v>216.81806600000002</v>
      </c>
      <c r="AO54" s="94">
        <f t="shared" si="332"/>
        <v>42.886068299999998</v>
      </c>
      <c r="AP54" s="94">
        <f t="shared" si="332"/>
        <v>50.417328824999998</v>
      </c>
      <c r="AQ54" s="94">
        <f t="shared" si="332"/>
        <v>55.459061707499998</v>
      </c>
      <c r="AR54" s="94">
        <f t="shared" si="332"/>
        <v>61.004967878250014</v>
      </c>
      <c r="AS54" s="94">
        <f t="shared" si="332"/>
        <v>67.105464666075008</v>
      </c>
      <c r="AT54" s="94">
        <f t="shared" si="332"/>
        <v>68.042809227741984</v>
      </c>
      <c r="AU54" s="94">
        <f t="shared" si="332"/>
        <v>69.04502223605094</v>
      </c>
      <c r="AV54" s="94">
        <f t="shared" si="332"/>
        <v>70.118446205618483</v>
      </c>
      <c r="AW54" s="94">
        <f t="shared" si="332"/>
        <v>71.27005718087257</v>
      </c>
      <c r="AX54" s="94">
        <f t="shared" ref="AX54:BU54" si="333">SUM(AX55:AX60)</f>
        <v>72.507528085425548</v>
      </c>
      <c r="AY54" s="94">
        <f t="shared" si="333"/>
        <v>73.839298406366154</v>
      </c>
      <c r="AZ54" s="94">
        <f t="shared" si="333"/>
        <v>75.2746508469628</v>
      </c>
      <c r="BA54" s="94">
        <f t="shared" si="333"/>
        <v>82.802115931659102</v>
      </c>
      <c r="BB54" s="94">
        <f t="shared" si="333"/>
        <v>69.323827134375009</v>
      </c>
      <c r="BC54" s="94">
        <f t="shared" si="333"/>
        <v>69.323827134375009</v>
      </c>
      <c r="BD54" s="94">
        <f t="shared" si="333"/>
        <v>76.256209847812514</v>
      </c>
      <c r="BE54" s="94">
        <f t="shared" si="333"/>
        <v>83.881830832593764</v>
      </c>
      <c r="BF54" s="94">
        <f t="shared" si="333"/>
        <v>85.053511534677469</v>
      </c>
      <c r="BG54" s="94">
        <f t="shared" si="333"/>
        <v>86.306277795063664</v>
      </c>
      <c r="BH54" s="94">
        <f t="shared" si="333"/>
        <v>87.648057757023096</v>
      </c>
      <c r="BI54" s="94">
        <f t="shared" si="333"/>
        <v>89.087571476090716</v>
      </c>
      <c r="BJ54" s="94">
        <f t="shared" si="333"/>
        <v>90.634410106781942</v>
      </c>
      <c r="BK54" s="94">
        <f t="shared" si="333"/>
        <v>92.299123007957704</v>
      </c>
      <c r="BL54" s="94">
        <f t="shared" si="333"/>
        <v>94.093313558703514</v>
      </c>
      <c r="BM54" s="94">
        <f t="shared" si="333"/>
        <v>103.50264491457386</v>
      </c>
      <c r="BN54" s="94">
        <f t="shared" si="333"/>
        <v>84.575069103937508</v>
      </c>
      <c r="BO54" s="94">
        <f t="shared" si="333"/>
        <v>84.575069103937508</v>
      </c>
      <c r="BP54" s="94">
        <f t="shared" si="333"/>
        <v>93.032576014331255</v>
      </c>
      <c r="BQ54" s="94">
        <f t="shared" si="333"/>
        <v>102.33583361576439</v>
      </c>
      <c r="BR54" s="94">
        <f t="shared" si="333"/>
        <v>103.7652840723065</v>
      </c>
      <c r="BS54" s="94">
        <f t="shared" si="333"/>
        <v>105.29365890997767</v>
      </c>
      <c r="BT54" s="94">
        <f t="shared" si="333"/>
        <v>106.93063046356816</v>
      </c>
      <c r="BU54" s="94">
        <f t="shared" si="333"/>
        <v>108.68683720083068</v>
      </c>
      <c r="BV54" s="94">
        <f t="shared" ref="BV54:BX54" si="334">SUM(BV55:BV60)</f>
        <v>110.57398033027394</v>
      </c>
      <c r="BW54" s="94">
        <f t="shared" si="334"/>
        <v>112.60493006970839</v>
      </c>
      <c r="BX54" s="94">
        <f t="shared" si="334"/>
        <v>114.79384254161826</v>
      </c>
      <c r="BY54" s="94">
        <f t="shared" ref="BY54:CK54" si="335">SUM(BY55:BY60)</f>
        <v>126.27322679578012</v>
      </c>
      <c r="BZ54" s="94">
        <f t="shared" si="335"/>
        <v>103.18158430680379</v>
      </c>
      <c r="CA54" s="94">
        <f t="shared" si="335"/>
        <v>103.18158430680379</v>
      </c>
      <c r="CB54" s="94">
        <f t="shared" si="335"/>
        <v>113.49974273748411</v>
      </c>
      <c r="CC54" s="94">
        <f t="shared" si="335"/>
        <v>124.84971701123258</v>
      </c>
      <c r="CD54" s="94">
        <f t="shared" si="335"/>
        <v>126.59364656821394</v>
      </c>
      <c r="CE54" s="94">
        <f t="shared" si="335"/>
        <v>128.45826387017277</v>
      </c>
      <c r="CF54" s="94">
        <f t="shared" si="335"/>
        <v>130.45536916555318</v>
      </c>
      <c r="CG54" s="94">
        <f t="shared" si="335"/>
        <v>132.59794138501343</v>
      </c>
      <c r="CH54" s="94">
        <f t="shared" si="335"/>
        <v>134.90025600293421</v>
      </c>
      <c r="CI54" s="94">
        <f t="shared" si="335"/>
        <v>137.37801468504421</v>
      </c>
      <c r="CJ54" s="94">
        <f t="shared" si="335"/>
        <v>140.04848790077426</v>
      </c>
      <c r="CK54" s="94">
        <f t="shared" si="335"/>
        <v>154.05333669085172</v>
      </c>
      <c r="CM54" s="94">
        <f t="shared" ref="CM54:CQ60" si="336">SUMIF($L$2:$CK$2,CM$3,$L54:$CK54)</f>
        <v>0</v>
      </c>
      <c r="CN54" s="94">
        <f t="shared" si="336"/>
        <v>0</v>
      </c>
      <c r="CO54" s="94">
        <f t="shared" si="336"/>
        <v>3812.2574342999997</v>
      </c>
      <c r="CP54" s="94">
        <f t="shared" si="336"/>
        <v>816.8867511975227</v>
      </c>
      <c r="CQ54" s="94">
        <f t="shared" si="336"/>
        <v>1027.4106051000283</v>
      </c>
      <c r="CR54" s="94">
        <f t="shared" si="268"/>
        <v>1253.4409382220344</v>
      </c>
      <c r="CS54" s="94">
        <f t="shared" si="268"/>
        <v>1529.1979446308819</v>
      </c>
    </row>
    <row r="55" spans="2:97" outlineLevel="2" x14ac:dyDescent="0.2">
      <c r="B55" s="95" t="s">
        <v>20</v>
      </c>
      <c r="C55" s="92" t="s">
        <v>39</v>
      </c>
      <c r="D55" s="105">
        <v>5.0000000000000001E-3</v>
      </c>
      <c r="F55" s="22"/>
      <c r="G55" s="22"/>
      <c r="H55" s="22"/>
      <c r="I55" s="22"/>
      <c r="J55" s="22"/>
      <c r="K55" s="22"/>
      <c r="L55" s="22"/>
      <c r="M55" s="22"/>
      <c r="N55" s="22"/>
      <c r="O55" s="22"/>
      <c r="P55" s="22"/>
      <c r="Q55" s="22"/>
      <c r="R55" s="22"/>
      <c r="S55" s="22">
        <f t="shared" ref="S55:AE57" si="337">S$39*$D55</f>
        <v>0</v>
      </c>
      <c r="T55" s="22">
        <f t="shared" si="337"/>
        <v>0</v>
      </c>
      <c r="U55" s="22">
        <f t="shared" si="337"/>
        <v>0</v>
      </c>
      <c r="V55" s="22">
        <f t="shared" si="337"/>
        <v>0</v>
      </c>
      <c r="W55" s="22">
        <f t="shared" si="337"/>
        <v>0</v>
      </c>
      <c r="X55" s="22">
        <f t="shared" si="337"/>
        <v>0</v>
      </c>
      <c r="Y55" s="22">
        <f t="shared" si="337"/>
        <v>0</v>
      </c>
      <c r="Z55" s="22">
        <f t="shared" si="337"/>
        <v>0</v>
      </c>
      <c r="AA55" s="22">
        <f t="shared" si="337"/>
        <v>0</v>
      </c>
      <c r="AB55" s="22">
        <f t="shared" si="337"/>
        <v>0</v>
      </c>
      <c r="AC55" s="22">
        <f t="shared" si="337"/>
        <v>0</v>
      </c>
      <c r="AD55" s="22">
        <f t="shared" si="337"/>
        <v>0</v>
      </c>
      <c r="AE55" s="22">
        <f t="shared" si="337"/>
        <v>0</v>
      </c>
      <c r="AF55" s="22">
        <f t="shared" ref="AF55:AH56" si="338">AF$39*$D55</f>
        <v>0</v>
      </c>
      <c r="AG55" s="22">
        <f t="shared" si="338"/>
        <v>0</v>
      </c>
      <c r="AH55" s="22">
        <f t="shared" si="338"/>
        <v>0</v>
      </c>
      <c r="AI55" s="22">
        <f t="shared" ref="AI55:CK60" si="339">AI$39*$D55</f>
        <v>0</v>
      </c>
      <c r="AJ55" s="22">
        <f t="shared" si="339"/>
        <v>1.35</v>
      </c>
      <c r="AK55" s="22">
        <f t="shared" si="339"/>
        <v>3.625</v>
      </c>
      <c r="AL55" s="22">
        <f t="shared" si="339"/>
        <v>4.0412499999999998</v>
      </c>
      <c r="AM55" s="22">
        <f t="shared" si="339"/>
        <v>4.1220749999999997</v>
      </c>
      <c r="AN55" s="22">
        <f t="shared" si="339"/>
        <v>4.2045164999999995</v>
      </c>
      <c r="AO55" s="22">
        <f t="shared" si="339"/>
        <v>4.28860683</v>
      </c>
      <c r="AP55" s="22">
        <f t="shared" si="339"/>
        <v>5.0417328824999998</v>
      </c>
      <c r="AQ55" s="22">
        <f t="shared" si="339"/>
        <v>5.5459061707500004</v>
      </c>
      <c r="AR55" s="22">
        <f t="shared" si="339"/>
        <v>6.1004967878250014</v>
      </c>
      <c r="AS55" s="22">
        <f t="shared" si="339"/>
        <v>6.710546466607501</v>
      </c>
      <c r="AT55" s="22">
        <f t="shared" si="339"/>
        <v>6.8042809227741987</v>
      </c>
      <c r="AU55" s="22">
        <f t="shared" si="339"/>
        <v>6.9045022236050944</v>
      </c>
      <c r="AV55" s="22">
        <f t="shared" si="339"/>
        <v>7.0118446205618481</v>
      </c>
      <c r="AW55" s="22">
        <f t="shared" si="339"/>
        <v>7.1270057180872577</v>
      </c>
      <c r="AX55" s="22">
        <f t="shared" si="339"/>
        <v>7.2507528085425559</v>
      </c>
      <c r="AY55" s="22">
        <f t="shared" si="339"/>
        <v>7.3839298406366165</v>
      </c>
      <c r="AZ55" s="22">
        <f t="shared" si="339"/>
        <v>7.5274650846962814</v>
      </c>
      <c r="BA55" s="22">
        <f t="shared" si="339"/>
        <v>8.2802115931659088</v>
      </c>
      <c r="BB55" s="22">
        <f t="shared" si="339"/>
        <v>6.9323827134375007</v>
      </c>
      <c r="BC55" s="22">
        <f t="shared" si="339"/>
        <v>6.9323827134375007</v>
      </c>
      <c r="BD55" s="22">
        <f t="shared" si="339"/>
        <v>7.6256209847812508</v>
      </c>
      <c r="BE55" s="22">
        <f t="shared" si="339"/>
        <v>8.388183083259376</v>
      </c>
      <c r="BF55" s="22">
        <f t="shared" si="339"/>
        <v>8.5053511534677479</v>
      </c>
      <c r="BG55" s="22">
        <f t="shared" si="339"/>
        <v>8.6306277795063675</v>
      </c>
      <c r="BH55" s="22">
        <f t="shared" si="339"/>
        <v>8.7648057757023103</v>
      </c>
      <c r="BI55" s="22">
        <f t="shared" si="339"/>
        <v>8.908757147609073</v>
      </c>
      <c r="BJ55" s="22">
        <f t="shared" si="339"/>
        <v>9.0634410106781953</v>
      </c>
      <c r="BK55" s="22">
        <f t="shared" si="339"/>
        <v>9.2299123007957711</v>
      </c>
      <c r="BL55" s="22">
        <f t="shared" si="339"/>
        <v>9.4093313558703517</v>
      </c>
      <c r="BM55" s="22">
        <f t="shared" si="339"/>
        <v>10.350264491457388</v>
      </c>
      <c r="BN55" s="22">
        <f t="shared" si="339"/>
        <v>8.4575069103937519</v>
      </c>
      <c r="BO55" s="22">
        <f t="shared" si="339"/>
        <v>8.4575069103937519</v>
      </c>
      <c r="BP55" s="22">
        <f t="shared" si="339"/>
        <v>9.3032576014331259</v>
      </c>
      <c r="BQ55" s="22">
        <f t="shared" si="339"/>
        <v>10.233583361576439</v>
      </c>
      <c r="BR55" s="22">
        <f t="shared" si="339"/>
        <v>10.376528407230651</v>
      </c>
      <c r="BS55" s="22">
        <f t="shared" si="339"/>
        <v>10.529365890997767</v>
      </c>
      <c r="BT55" s="22">
        <f t="shared" si="339"/>
        <v>10.693063046356817</v>
      </c>
      <c r="BU55" s="22">
        <f t="shared" si="339"/>
        <v>10.868683720083068</v>
      </c>
      <c r="BV55" s="22">
        <f t="shared" si="339"/>
        <v>11.057398033027395</v>
      </c>
      <c r="BW55" s="22">
        <f t="shared" si="339"/>
        <v>11.26049300697084</v>
      </c>
      <c r="BX55" s="22">
        <f t="shared" si="339"/>
        <v>11.479384254161827</v>
      </c>
      <c r="BY55" s="22">
        <f t="shared" si="339"/>
        <v>12.627322679578013</v>
      </c>
      <c r="BZ55" s="22">
        <f t="shared" si="339"/>
        <v>10.318158430680379</v>
      </c>
      <c r="CA55" s="22">
        <f t="shared" si="339"/>
        <v>10.318158430680379</v>
      </c>
      <c r="CB55" s="22">
        <f t="shared" si="339"/>
        <v>11.349974273748412</v>
      </c>
      <c r="CC55" s="22">
        <f t="shared" si="339"/>
        <v>12.484971701123259</v>
      </c>
      <c r="CD55" s="22">
        <f t="shared" si="339"/>
        <v>12.659364656821396</v>
      </c>
      <c r="CE55" s="22">
        <f t="shared" si="339"/>
        <v>12.845826387017278</v>
      </c>
      <c r="CF55" s="22">
        <f t="shared" si="339"/>
        <v>13.045536916555319</v>
      </c>
      <c r="CG55" s="22">
        <f t="shared" si="339"/>
        <v>13.259794138501343</v>
      </c>
      <c r="CH55" s="22">
        <f t="shared" si="339"/>
        <v>13.490025600293423</v>
      </c>
      <c r="CI55" s="22">
        <f t="shared" si="339"/>
        <v>13.737801468504422</v>
      </c>
      <c r="CJ55" s="22">
        <f t="shared" si="339"/>
        <v>14.004848790077428</v>
      </c>
      <c r="CK55" s="22">
        <f t="shared" si="339"/>
        <v>15.405333669085174</v>
      </c>
      <c r="CM55" s="10">
        <f t="shared" si="336"/>
        <v>0</v>
      </c>
      <c r="CN55" s="10">
        <f t="shared" si="336"/>
        <v>0</v>
      </c>
      <c r="CO55" s="10">
        <f t="shared" si="336"/>
        <v>21.631448329999998</v>
      </c>
      <c r="CP55" s="10">
        <f t="shared" si="336"/>
        <v>81.688675119752276</v>
      </c>
      <c r="CQ55" s="10">
        <f t="shared" si="336"/>
        <v>102.74106051000285</v>
      </c>
      <c r="CR55" s="10">
        <f t="shared" si="268"/>
        <v>125.34409382220346</v>
      </c>
      <c r="CS55" s="10">
        <f t="shared" si="268"/>
        <v>152.91979446308821</v>
      </c>
    </row>
    <row r="56" spans="2:97" outlineLevel="2" x14ac:dyDescent="0.2">
      <c r="B56" s="95" t="s">
        <v>21</v>
      </c>
      <c r="C56" s="92" t="s">
        <v>39</v>
      </c>
      <c r="D56" s="105">
        <v>0.01</v>
      </c>
      <c r="F56" s="22"/>
      <c r="G56" s="22"/>
      <c r="H56" s="22"/>
      <c r="I56" s="22"/>
      <c r="J56" s="22"/>
      <c r="K56" s="22"/>
      <c r="L56" s="22"/>
      <c r="M56" s="22"/>
      <c r="N56" s="22"/>
      <c r="O56" s="22"/>
      <c r="P56" s="22"/>
      <c r="Q56" s="22"/>
      <c r="R56" s="22"/>
      <c r="S56" s="22">
        <f t="shared" si="337"/>
        <v>0</v>
      </c>
      <c r="T56" s="22">
        <f t="shared" si="337"/>
        <v>0</v>
      </c>
      <c r="U56" s="22">
        <f t="shared" si="337"/>
        <v>0</v>
      </c>
      <c r="V56" s="22">
        <f t="shared" si="337"/>
        <v>0</v>
      </c>
      <c r="W56" s="22">
        <f t="shared" si="337"/>
        <v>0</v>
      </c>
      <c r="X56" s="22">
        <f t="shared" si="337"/>
        <v>0</v>
      </c>
      <c r="Y56" s="22">
        <f t="shared" si="337"/>
        <v>0</v>
      </c>
      <c r="Z56" s="22">
        <f t="shared" si="337"/>
        <v>0</v>
      </c>
      <c r="AA56" s="22">
        <f t="shared" si="337"/>
        <v>0</v>
      </c>
      <c r="AB56" s="22">
        <f t="shared" si="337"/>
        <v>0</v>
      </c>
      <c r="AC56" s="22">
        <f t="shared" si="337"/>
        <v>0</v>
      </c>
      <c r="AD56" s="22">
        <f t="shared" si="337"/>
        <v>0</v>
      </c>
      <c r="AE56" s="22">
        <f t="shared" si="337"/>
        <v>0</v>
      </c>
      <c r="AF56" s="22">
        <f t="shared" si="338"/>
        <v>0</v>
      </c>
      <c r="AG56" s="22">
        <f t="shared" si="338"/>
        <v>0</v>
      </c>
      <c r="AH56" s="22">
        <f t="shared" si="338"/>
        <v>0</v>
      </c>
      <c r="AI56" s="22">
        <f t="shared" si="339"/>
        <v>0</v>
      </c>
      <c r="AJ56" s="22">
        <f t="shared" si="339"/>
        <v>2.7</v>
      </c>
      <c r="AK56" s="22">
        <f t="shared" si="339"/>
        <v>7.25</v>
      </c>
      <c r="AL56" s="22">
        <f t="shared" si="339"/>
        <v>8.0824999999999996</v>
      </c>
      <c r="AM56" s="22">
        <f t="shared" si="339"/>
        <v>8.2441499999999994</v>
      </c>
      <c r="AN56" s="22">
        <f t="shared" si="339"/>
        <v>8.4090329999999991</v>
      </c>
      <c r="AO56" s="22">
        <f t="shared" si="339"/>
        <v>8.57721366</v>
      </c>
      <c r="AP56" s="22">
        <f t="shared" si="339"/>
        <v>10.083465765</v>
      </c>
      <c r="AQ56" s="22">
        <f t="shared" si="339"/>
        <v>11.091812341500001</v>
      </c>
      <c r="AR56" s="22">
        <f t="shared" si="339"/>
        <v>12.200993575650003</v>
      </c>
      <c r="AS56" s="22">
        <f t="shared" si="339"/>
        <v>13.421092933215002</v>
      </c>
      <c r="AT56" s="22">
        <f t="shared" si="339"/>
        <v>13.608561845548397</v>
      </c>
      <c r="AU56" s="22">
        <f t="shared" si="339"/>
        <v>13.809004447210189</v>
      </c>
      <c r="AV56" s="22">
        <f t="shared" si="339"/>
        <v>14.023689241123696</v>
      </c>
      <c r="AW56" s="22">
        <f t="shared" si="339"/>
        <v>14.254011436174515</v>
      </c>
      <c r="AX56" s="22">
        <f t="shared" si="339"/>
        <v>14.501505617085112</v>
      </c>
      <c r="AY56" s="22">
        <f t="shared" si="339"/>
        <v>14.767859681273233</v>
      </c>
      <c r="AZ56" s="22">
        <f t="shared" si="339"/>
        <v>15.054930169392563</v>
      </c>
      <c r="BA56" s="22">
        <f t="shared" si="339"/>
        <v>16.560423186331818</v>
      </c>
      <c r="BB56" s="22">
        <f t="shared" si="339"/>
        <v>13.864765426875001</v>
      </c>
      <c r="BC56" s="22">
        <f t="shared" si="339"/>
        <v>13.864765426875001</v>
      </c>
      <c r="BD56" s="22">
        <f t="shared" si="339"/>
        <v>15.251241969562502</v>
      </c>
      <c r="BE56" s="22">
        <f t="shared" si="339"/>
        <v>16.776366166518752</v>
      </c>
      <c r="BF56" s="22">
        <f t="shared" si="339"/>
        <v>17.010702306935496</v>
      </c>
      <c r="BG56" s="22">
        <f t="shared" si="339"/>
        <v>17.261255559012735</v>
      </c>
      <c r="BH56" s="22">
        <f t="shared" si="339"/>
        <v>17.529611551404621</v>
      </c>
      <c r="BI56" s="22">
        <f t="shared" si="339"/>
        <v>17.817514295218146</v>
      </c>
      <c r="BJ56" s="22">
        <f t="shared" si="339"/>
        <v>18.126882021356391</v>
      </c>
      <c r="BK56" s="22">
        <f t="shared" si="339"/>
        <v>18.459824601591542</v>
      </c>
      <c r="BL56" s="22">
        <f t="shared" si="339"/>
        <v>18.818662711740703</v>
      </c>
      <c r="BM56" s="22">
        <f t="shared" si="339"/>
        <v>20.700528982914776</v>
      </c>
      <c r="BN56" s="22">
        <f t="shared" si="339"/>
        <v>16.915013820787504</v>
      </c>
      <c r="BO56" s="22">
        <f t="shared" si="339"/>
        <v>16.915013820787504</v>
      </c>
      <c r="BP56" s="22">
        <f t="shared" si="339"/>
        <v>18.606515202866252</v>
      </c>
      <c r="BQ56" s="22">
        <f t="shared" si="339"/>
        <v>20.467166723152879</v>
      </c>
      <c r="BR56" s="22">
        <f t="shared" si="339"/>
        <v>20.753056814461303</v>
      </c>
      <c r="BS56" s="22">
        <f t="shared" si="339"/>
        <v>21.058731781995533</v>
      </c>
      <c r="BT56" s="22">
        <f t="shared" si="339"/>
        <v>21.386126092713635</v>
      </c>
      <c r="BU56" s="22">
        <f t="shared" si="339"/>
        <v>21.737367440166135</v>
      </c>
      <c r="BV56" s="22">
        <f t="shared" si="339"/>
        <v>22.11479606605479</v>
      </c>
      <c r="BW56" s="22">
        <f t="shared" si="339"/>
        <v>22.52098601394168</v>
      </c>
      <c r="BX56" s="22">
        <f t="shared" si="339"/>
        <v>22.958768508323654</v>
      </c>
      <c r="BY56" s="22">
        <f t="shared" si="339"/>
        <v>25.254645359156026</v>
      </c>
      <c r="BZ56" s="22">
        <f t="shared" si="339"/>
        <v>20.636316861360758</v>
      </c>
      <c r="CA56" s="22">
        <f t="shared" si="339"/>
        <v>20.636316861360758</v>
      </c>
      <c r="CB56" s="22">
        <f t="shared" si="339"/>
        <v>22.699948547496824</v>
      </c>
      <c r="CC56" s="22">
        <f t="shared" si="339"/>
        <v>24.969943402246518</v>
      </c>
      <c r="CD56" s="22">
        <f t="shared" si="339"/>
        <v>25.318729313642791</v>
      </c>
      <c r="CE56" s="22">
        <f t="shared" si="339"/>
        <v>25.691652774034555</v>
      </c>
      <c r="CF56" s="22">
        <f t="shared" si="339"/>
        <v>26.091073833110638</v>
      </c>
      <c r="CG56" s="22">
        <f t="shared" si="339"/>
        <v>26.519588277002686</v>
      </c>
      <c r="CH56" s="22">
        <f t="shared" si="339"/>
        <v>26.980051200586846</v>
      </c>
      <c r="CI56" s="22">
        <f t="shared" si="339"/>
        <v>27.475602937008844</v>
      </c>
      <c r="CJ56" s="22">
        <f t="shared" si="339"/>
        <v>28.009697580154857</v>
      </c>
      <c r="CK56" s="22">
        <f t="shared" si="339"/>
        <v>30.810667338170347</v>
      </c>
      <c r="CM56" s="10">
        <f t="shared" si="336"/>
        <v>0</v>
      </c>
      <c r="CN56" s="10">
        <f t="shared" si="336"/>
        <v>0</v>
      </c>
      <c r="CO56" s="10">
        <f t="shared" si="336"/>
        <v>43.262896659999996</v>
      </c>
      <c r="CP56" s="10">
        <f t="shared" si="336"/>
        <v>163.37735023950455</v>
      </c>
      <c r="CQ56" s="10">
        <f t="shared" si="336"/>
        <v>205.48212102000571</v>
      </c>
      <c r="CR56" s="10">
        <f t="shared" si="268"/>
        <v>250.68818764440692</v>
      </c>
      <c r="CS56" s="10">
        <f t="shared" si="268"/>
        <v>305.83958892617642</v>
      </c>
    </row>
    <row r="57" spans="2:97" outlineLevel="2" x14ac:dyDescent="0.2">
      <c r="B57" s="95" t="s">
        <v>22</v>
      </c>
      <c r="C57" s="92" t="s">
        <v>39</v>
      </c>
      <c r="D57" s="105">
        <v>0.03</v>
      </c>
      <c r="F57" s="22"/>
      <c r="G57" s="22"/>
      <c r="H57" s="22"/>
      <c r="I57" s="22"/>
      <c r="J57" s="22"/>
      <c r="K57" s="22"/>
      <c r="L57" s="22"/>
      <c r="M57" s="22"/>
      <c r="N57" s="22"/>
      <c r="O57" s="22"/>
      <c r="P57" s="22"/>
      <c r="Q57" s="22"/>
      <c r="R57" s="22"/>
      <c r="S57" s="22">
        <f t="shared" si="337"/>
        <v>0</v>
      </c>
      <c r="T57" s="22">
        <f t="shared" si="337"/>
        <v>0</v>
      </c>
      <c r="U57" s="22">
        <f t="shared" si="337"/>
        <v>0</v>
      </c>
      <c r="V57" s="22">
        <f t="shared" si="337"/>
        <v>0</v>
      </c>
      <c r="W57" s="22">
        <f t="shared" si="337"/>
        <v>0</v>
      </c>
      <c r="X57" s="22">
        <f t="shared" si="337"/>
        <v>0</v>
      </c>
      <c r="Y57" s="22">
        <f t="shared" si="337"/>
        <v>0</v>
      </c>
      <c r="Z57" s="22">
        <f t="shared" si="337"/>
        <v>0</v>
      </c>
      <c r="AA57" s="22">
        <f t="shared" si="337"/>
        <v>0</v>
      </c>
      <c r="AB57" s="22">
        <f t="shared" si="337"/>
        <v>0</v>
      </c>
      <c r="AC57" s="22">
        <f t="shared" si="337"/>
        <v>0</v>
      </c>
      <c r="AD57" s="22">
        <f t="shared" si="337"/>
        <v>0</v>
      </c>
      <c r="AE57" s="22"/>
      <c r="AF57" s="22"/>
      <c r="AG57" s="22"/>
      <c r="AH57" s="22"/>
      <c r="AI57" s="22"/>
      <c r="AJ57" s="245">
        <v>1000</v>
      </c>
      <c r="AK57" s="245">
        <v>1000</v>
      </c>
      <c r="AL57" s="245">
        <v>1000</v>
      </c>
      <c r="AM57" s="245">
        <v>500</v>
      </c>
      <c r="AN57" s="245">
        <v>200</v>
      </c>
      <c r="AO57" s="22">
        <f t="shared" si="339"/>
        <v>25.731640979999998</v>
      </c>
      <c r="AP57" s="22">
        <f t="shared" si="339"/>
        <v>30.250397294999999</v>
      </c>
      <c r="AQ57" s="22">
        <f t="shared" si="339"/>
        <v>33.2754370245</v>
      </c>
      <c r="AR57" s="22">
        <f t="shared" si="339"/>
        <v>36.602980726950008</v>
      </c>
      <c r="AS57" s="22">
        <f t="shared" si="339"/>
        <v>40.263278799645008</v>
      </c>
      <c r="AT57" s="22">
        <f t="shared" si="339"/>
        <v>40.825685536645189</v>
      </c>
      <c r="AU57" s="22">
        <f t="shared" si="339"/>
        <v>41.427013341630563</v>
      </c>
      <c r="AV57" s="22">
        <f t="shared" si="339"/>
        <v>42.071067723371087</v>
      </c>
      <c r="AW57" s="22">
        <f t="shared" si="339"/>
        <v>42.762034308523539</v>
      </c>
      <c r="AX57" s="22">
        <f t="shared" si="339"/>
        <v>43.504516851255332</v>
      </c>
      <c r="AY57" s="22">
        <f t="shared" si="339"/>
        <v>44.303579043819695</v>
      </c>
      <c r="AZ57" s="22">
        <f t="shared" si="339"/>
        <v>45.164790508177688</v>
      </c>
      <c r="BA57" s="22">
        <f t="shared" si="339"/>
        <v>49.681269558995453</v>
      </c>
      <c r="BB57" s="22">
        <f t="shared" si="339"/>
        <v>41.594296280625002</v>
      </c>
      <c r="BC57" s="22">
        <f t="shared" si="339"/>
        <v>41.594296280625002</v>
      </c>
      <c r="BD57" s="22">
        <f t="shared" si="339"/>
        <v>45.753725908687507</v>
      </c>
      <c r="BE57" s="22">
        <f t="shared" si="339"/>
        <v>50.32909849955626</v>
      </c>
      <c r="BF57" s="22">
        <f t="shared" si="339"/>
        <v>51.032106920806484</v>
      </c>
      <c r="BG57" s="22">
        <f t="shared" si="339"/>
        <v>51.783766677038201</v>
      </c>
      <c r="BH57" s="22">
        <f t="shared" si="339"/>
        <v>52.588834654213855</v>
      </c>
      <c r="BI57" s="22">
        <f t="shared" si="339"/>
        <v>53.452542885654431</v>
      </c>
      <c r="BJ57" s="22">
        <f t="shared" si="339"/>
        <v>54.380646064069168</v>
      </c>
      <c r="BK57" s="22">
        <f t="shared" si="339"/>
        <v>55.379473804774619</v>
      </c>
      <c r="BL57" s="22">
        <f t="shared" si="339"/>
        <v>56.455988135222107</v>
      </c>
      <c r="BM57" s="22">
        <f t="shared" si="339"/>
        <v>62.10158694874432</v>
      </c>
      <c r="BN57" s="22">
        <f t="shared" si="339"/>
        <v>50.745041462362508</v>
      </c>
      <c r="BO57" s="22">
        <f t="shared" si="339"/>
        <v>50.745041462362508</v>
      </c>
      <c r="BP57" s="22">
        <f t="shared" si="339"/>
        <v>55.819545608598752</v>
      </c>
      <c r="BQ57" s="22">
        <f t="shared" si="339"/>
        <v>61.401500169458636</v>
      </c>
      <c r="BR57" s="22">
        <f t="shared" si="339"/>
        <v>62.259170443383901</v>
      </c>
      <c r="BS57" s="22">
        <f t="shared" si="339"/>
        <v>63.176195345986599</v>
      </c>
      <c r="BT57" s="22">
        <f t="shared" si="339"/>
        <v>64.158378278140901</v>
      </c>
      <c r="BU57" s="22">
        <f t="shared" si="339"/>
        <v>65.212102320498403</v>
      </c>
      <c r="BV57" s="22">
        <f t="shared" si="339"/>
        <v>66.344388198164367</v>
      </c>
      <c r="BW57" s="22">
        <f t="shared" si="339"/>
        <v>67.562958041825027</v>
      </c>
      <c r="BX57" s="22">
        <f t="shared" si="339"/>
        <v>68.876305524970959</v>
      </c>
      <c r="BY57" s="22">
        <f t="shared" si="339"/>
        <v>75.763936077468074</v>
      </c>
      <c r="BZ57" s="22">
        <f t="shared" si="339"/>
        <v>61.908950584082262</v>
      </c>
      <c r="CA57" s="22">
        <f t="shared" si="339"/>
        <v>61.908950584082262</v>
      </c>
      <c r="CB57" s="22">
        <f t="shared" si="339"/>
        <v>68.099845642490465</v>
      </c>
      <c r="CC57" s="22">
        <f t="shared" si="339"/>
        <v>74.909830206739557</v>
      </c>
      <c r="CD57" s="22">
        <f t="shared" si="339"/>
        <v>75.956187940928359</v>
      </c>
      <c r="CE57" s="22">
        <f t="shared" si="339"/>
        <v>77.074958322103669</v>
      </c>
      <c r="CF57" s="22">
        <f t="shared" si="339"/>
        <v>78.27322149933191</v>
      </c>
      <c r="CG57" s="22">
        <f t="shared" si="339"/>
        <v>79.558764831008048</v>
      </c>
      <c r="CH57" s="22">
        <f t="shared" si="339"/>
        <v>80.940153601760528</v>
      </c>
      <c r="CI57" s="22">
        <f t="shared" si="339"/>
        <v>82.426808811026532</v>
      </c>
      <c r="CJ57" s="22">
        <f t="shared" si="339"/>
        <v>84.029092740464563</v>
      </c>
      <c r="CK57" s="22">
        <f t="shared" si="339"/>
        <v>92.432002014511042</v>
      </c>
      <c r="CM57" s="10">
        <f t="shared" si="336"/>
        <v>0</v>
      </c>
      <c r="CN57" s="10">
        <f t="shared" si="336"/>
        <v>0</v>
      </c>
      <c r="CO57" s="10">
        <f t="shared" si="336"/>
        <v>3725.7316409800001</v>
      </c>
      <c r="CP57" s="10">
        <f t="shared" si="336"/>
        <v>490.13205071851354</v>
      </c>
      <c r="CQ57" s="10">
        <f t="shared" si="336"/>
        <v>616.44636306001701</v>
      </c>
      <c r="CR57" s="10">
        <f t="shared" si="268"/>
        <v>752.0645629332206</v>
      </c>
      <c r="CS57" s="10">
        <f t="shared" si="268"/>
        <v>917.5187667785292</v>
      </c>
    </row>
    <row r="58" spans="2:97" outlineLevel="2" x14ac:dyDescent="0.2">
      <c r="B58" s="95" t="s">
        <v>15</v>
      </c>
      <c r="C58" s="95" t="s">
        <v>4</v>
      </c>
      <c r="D58" s="92"/>
      <c r="S58" s="8">
        <f t="shared" ref="S58:AE58" si="340">$D$58</f>
        <v>0</v>
      </c>
      <c r="T58" s="8">
        <f t="shared" si="340"/>
        <v>0</v>
      </c>
      <c r="U58" s="8">
        <f t="shared" si="340"/>
        <v>0</v>
      </c>
      <c r="V58" s="8">
        <f t="shared" si="340"/>
        <v>0</v>
      </c>
      <c r="W58" s="8">
        <f t="shared" si="340"/>
        <v>0</v>
      </c>
      <c r="X58" s="8">
        <f t="shared" si="340"/>
        <v>0</v>
      </c>
      <c r="Y58" s="8">
        <f t="shared" si="340"/>
        <v>0</v>
      </c>
      <c r="Z58" s="8">
        <f t="shared" si="340"/>
        <v>0</v>
      </c>
      <c r="AA58" s="8">
        <f t="shared" si="340"/>
        <v>0</v>
      </c>
      <c r="AB58" s="8">
        <f t="shared" si="340"/>
        <v>0</v>
      </c>
      <c r="AC58" s="8">
        <f t="shared" si="340"/>
        <v>0</v>
      </c>
      <c r="AD58" s="8">
        <f t="shared" si="340"/>
        <v>0</v>
      </c>
      <c r="AE58" s="8">
        <f t="shared" si="340"/>
        <v>0</v>
      </c>
      <c r="AF58" s="8">
        <f t="shared" ref="AF58:CK58" si="341">$D$58</f>
        <v>0</v>
      </c>
      <c r="AG58" s="8">
        <f t="shared" si="341"/>
        <v>0</v>
      </c>
      <c r="AH58" s="8">
        <f t="shared" si="341"/>
        <v>0</v>
      </c>
      <c r="AI58" s="8">
        <f t="shared" si="341"/>
        <v>0</v>
      </c>
      <c r="AJ58" s="22">
        <f t="shared" si="339"/>
        <v>0</v>
      </c>
      <c r="AK58" s="8">
        <f t="shared" si="341"/>
        <v>0</v>
      </c>
      <c r="AL58" s="8">
        <f t="shared" si="341"/>
        <v>0</v>
      </c>
      <c r="AM58" s="8">
        <f t="shared" si="341"/>
        <v>0</v>
      </c>
      <c r="AN58" s="8">
        <f t="shared" si="341"/>
        <v>0</v>
      </c>
      <c r="AO58" s="8">
        <f t="shared" si="341"/>
        <v>0</v>
      </c>
      <c r="AP58" s="8">
        <f t="shared" si="341"/>
        <v>0</v>
      </c>
      <c r="AQ58" s="8">
        <f t="shared" si="341"/>
        <v>0</v>
      </c>
      <c r="AR58" s="8">
        <f t="shared" si="341"/>
        <v>0</v>
      </c>
      <c r="AS58" s="8">
        <f t="shared" si="341"/>
        <v>0</v>
      </c>
      <c r="AT58" s="8">
        <f t="shared" si="341"/>
        <v>0</v>
      </c>
      <c r="AU58" s="8">
        <f t="shared" si="341"/>
        <v>0</v>
      </c>
      <c r="AV58" s="8">
        <f t="shared" si="341"/>
        <v>0</v>
      </c>
      <c r="AW58" s="8">
        <f t="shared" si="341"/>
        <v>0</v>
      </c>
      <c r="AX58" s="8">
        <f t="shared" si="341"/>
        <v>0</v>
      </c>
      <c r="AY58" s="8">
        <f t="shared" si="341"/>
        <v>0</v>
      </c>
      <c r="AZ58" s="8">
        <f t="shared" si="341"/>
        <v>0</v>
      </c>
      <c r="BA58" s="8">
        <f t="shared" si="341"/>
        <v>0</v>
      </c>
      <c r="BB58" s="8">
        <f t="shared" si="341"/>
        <v>0</v>
      </c>
      <c r="BC58" s="8">
        <f t="shared" si="341"/>
        <v>0</v>
      </c>
      <c r="BD58" s="8">
        <f t="shared" si="341"/>
        <v>0</v>
      </c>
      <c r="BE58" s="8">
        <f t="shared" si="341"/>
        <v>0</v>
      </c>
      <c r="BF58" s="8">
        <f t="shared" si="341"/>
        <v>0</v>
      </c>
      <c r="BG58" s="8">
        <f t="shared" si="341"/>
        <v>0</v>
      </c>
      <c r="BH58" s="8">
        <f t="shared" si="341"/>
        <v>0</v>
      </c>
      <c r="BI58" s="8">
        <f t="shared" si="341"/>
        <v>0</v>
      </c>
      <c r="BJ58" s="8">
        <f t="shared" si="341"/>
        <v>0</v>
      </c>
      <c r="BK58" s="8">
        <f t="shared" si="341"/>
        <v>0</v>
      </c>
      <c r="BL58" s="8">
        <f t="shared" si="341"/>
        <v>0</v>
      </c>
      <c r="BM58" s="8">
        <f t="shared" si="341"/>
        <v>0</v>
      </c>
      <c r="BN58" s="8">
        <f t="shared" si="341"/>
        <v>0</v>
      </c>
      <c r="BO58" s="8">
        <f t="shared" si="341"/>
        <v>0</v>
      </c>
      <c r="BP58" s="8">
        <f t="shared" si="341"/>
        <v>0</v>
      </c>
      <c r="BQ58" s="8">
        <f t="shared" si="341"/>
        <v>0</v>
      </c>
      <c r="BR58" s="8">
        <f t="shared" si="341"/>
        <v>0</v>
      </c>
      <c r="BS58" s="8">
        <f t="shared" si="341"/>
        <v>0</v>
      </c>
      <c r="BT58" s="8">
        <f t="shared" si="341"/>
        <v>0</v>
      </c>
      <c r="BU58" s="8">
        <f t="shared" si="341"/>
        <v>0</v>
      </c>
      <c r="BV58" s="8">
        <f t="shared" si="341"/>
        <v>0</v>
      </c>
      <c r="BW58" s="8">
        <f t="shared" si="341"/>
        <v>0</v>
      </c>
      <c r="BX58" s="8">
        <f t="shared" si="341"/>
        <v>0</v>
      </c>
      <c r="BY58" s="8">
        <f t="shared" si="341"/>
        <v>0</v>
      </c>
      <c r="BZ58" s="8">
        <f t="shared" si="341"/>
        <v>0</v>
      </c>
      <c r="CA58" s="8">
        <f t="shared" si="341"/>
        <v>0</v>
      </c>
      <c r="CB58" s="8">
        <f t="shared" si="341"/>
        <v>0</v>
      </c>
      <c r="CC58" s="8">
        <f t="shared" si="341"/>
        <v>0</v>
      </c>
      <c r="CD58" s="8">
        <f t="shared" si="341"/>
        <v>0</v>
      </c>
      <c r="CE58" s="8">
        <f t="shared" si="341"/>
        <v>0</v>
      </c>
      <c r="CF58" s="8">
        <f t="shared" si="341"/>
        <v>0</v>
      </c>
      <c r="CG58" s="8">
        <f t="shared" si="341"/>
        <v>0</v>
      </c>
      <c r="CH58" s="8">
        <f t="shared" si="341"/>
        <v>0</v>
      </c>
      <c r="CI58" s="8">
        <f t="shared" si="341"/>
        <v>0</v>
      </c>
      <c r="CJ58" s="8">
        <f t="shared" si="341"/>
        <v>0</v>
      </c>
      <c r="CK58" s="8">
        <f t="shared" si="341"/>
        <v>0</v>
      </c>
      <c r="CM58" s="10">
        <f t="shared" si="336"/>
        <v>0</v>
      </c>
      <c r="CN58" s="10">
        <f t="shared" si="336"/>
        <v>0</v>
      </c>
      <c r="CO58" s="10">
        <f t="shared" si="336"/>
        <v>0</v>
      </c>
      <c r="CP58" s="10">
        <f t="shared" si="336"/>
        <v>0</v>
      </c>
      <c r="CQ58" s="10">
        <f t="shared" si="336"/>
        <v>0</v>
      </c>
      <c r="CR58" s="10">
        <f t="shared" si="268"/>
        <v>0</v>
      </c>
      <c r="CS58" s="10">
        <f t="shared" si="268"/>
        <v>0</v>
      </c>
    </row>
    <row r="59" spans="2:97" outlineLevel="2" x14ac:dyDescent="0.2">
      <c r="B59" s="95" t="s">
        <v>23</v>
      </c>
      <c r="C59" s="92" t="s">
        <v>39</v>
      </c>
      <c r="D59" s="105"/>
      <c r="F59" s="22"/>
      <c r="G59" s="22"/>
      <c r="H59" s="22"/>
      <c r="I59" s="22"/>
      <c r="J59" s="22"/>
      <c r="K59" s="22"/>
      <c r="L59" s="22"/>
      <c r="M59" s="22"/>
      <c r="N59" s="22"/>
      <c r="O59" s="22"/>
      <c r="P59" s="22"/>
      <c r="Q59" s="22"/>
      <c r="R59" s="22"/>
      <c r="S59" s="22">
        <f t="shared" ref="S59:AE60" si="342">S$39*$D59</f>
        <v>0</v>
      </c>
      <c r="T59" s="22">
        <f t="shared" si="342"/>
        <v>0</v>
      </c>
      <c r="U59" s="22">
        <f t="shared" si="342"/>
        <v>0</v>
      </c>
      <c r="V59" s="22">
        <f t="shared" si="342"/>
        <v>0</v>
      </c>
      <c r="W59" s="22">
        <f t="shared" si="342"/>
        <v>0</v>
      </c>
      <c r="X59" s="22">
        <f t="shared" si="342"/>
        <v>0</v>
      </c>
      <c r="Y59" s="22">
        <f t="shared" si="342"/>
        <v>0</v>
      </c>
      <c r="Z59" s="22">
        <f t="shared" si="342"/>
        <v>0</v>
      </c>
      <c r="AA59" s="22">
        <f t="shared" si="342"/>
        <v>0</v>
      </c>
      <c r="AB59" s="22">
        <f t="shared" si="342"/>
        <v>0</v>
      </c>
      <c r="AC59" s="22">
        <f t="shared" si="342"/>
        <v>0</v>
      </c>
      <c r="AD59" s="22">
        <f t="shared" si="342"/>
        <v>0</v>
      </c>
      <c r="AE59" s="22">
        <f t="shared" si="342"/>
        <v>0</v>
      </c>
      <c r="AF59" s="22">
        <f t="shared" ref="AF59:CK60" si="343">AF$39*$D59</f>
        <v>0</v>
      </c>
      <c r="AG59" s="22">
        <f t="shared" si="343"/>
        <v>0</v>
      </c>
      <c r="AH59" s="22">
        <f t="shared" si="343"/>
        <v>0</v>
      </c>
      <c r="AI59" s="22">
        <f t="shared" si="343"/>
        <v>0</v>
      </c>
      <c r="AJ59" s="22">
        <f t="shared" si="339"/>
        <v>0</v>
      </c>
      <c r="AK59" s="22">
        <f t="shared" si="343"/>
        <v>0</v>
      </c>
      <c r="AL59" s="22">
        <f t="shared" si="343"/>
        <v>0</v>
      </c>
      <c r="AM59" s="22">
        <f t="shared" si="343"/>
        <v>0</v>
      </c>
      <c r="AN59" s="22">
        <f t="shared" si="343"/>
        <v>0</v>
      </c>
      <c r="AO59" s="22">
        <f t="shared" si="343"/>
        <v>0</v>
      </c>
      <c r="AP59" s="22">
        <f t="shared" si="343"/>
        <v>0</v>
      </c>
      <c r="AQ59" s="22">
        <f t="shared" si="343"/>
        <v>0</v>
      </c>
      <c r="AR59" s="22">
        <f t="shared" si="343"/>
        <v>0</v>
      </c>
      <c r="AS59" s="22">
        <f t="shared" si="343"/>
        <v>0</v>
      </c>
      <c r="AT59" s="22">
        <f t="shared" si="343"/>
        <v>0</v>
      </c>
      <c r="AU59" s="22">
        <f t="shared" si="343"/>
        <v>0</v>
      </c>
      <c r="AV59" s="22">
        <f t="shared" si="343"/>
        <v>0</v>
      </c>
      <c r="AW59" s="22">
        <f t="shared" si="343"/>
        <v>0</v>
      </c>
      <c r="AX59" s="22">
        <f t="shared" si="343"/>
        <v>0</v>
      </c>
      <c r="AY59" s="22">
        <f t="shared" si="343"/>
        <v>0</v>
      </c>
      <c r="AZ59" s="22">
        <f t="shared" si="343"/>
        <v>0</v>
      </c>
      <c r="BA59" s="22">
        <f t="shared" si="343"/>
        <v>0</v>
      </c>
      <c r="BB59" s="22">
        <f t="shared" si="343"/>
        <v>0</v>
      </c>
      <c r="BC59" s="22">
        <f t="shared" si="343"/>
        <v>0</v>
      </c>
      <c r="BD59" s="22">
        <f t="shared" si="343"/>
        <v>0</v>
      </c>
      <c r="BE59" s="22">
        <f t="shared" si="343"/>
        <v>0</v>
      </c>
      <c r="BF59" s="22">
        <f t="shared" si="343"/>
        <v>0</v>
      </c>
      <c r="BG59" s="22">
        <f t="shared" si="343"/>
        <v>0</v>
      </c>
      <c r="BH59" s="22">
        <f t="shared" si="343"/>
        <v>0</v>
      </c>
      <c r="BI59" s="22">
        <f t="shared" si="343"/>
        <v>0</v>
      </c>
      <c r="BJ59" s="22">
        <f t="shared" si="343"/>
        <v>0</v>
      </c>
      <c r="BK59" s="22">
        <f t="shared" si="343"/>
        <v>0</v>
      </c>
      <c r="BL59" s="22">
        <f t="shared" si="343"/>
        <v>0</v>
      </c>
      <c r="BM59" s="22">
        <f t="shared" si="343"/>
        <v>0</v>
      </c>
      <c r="BN59" s="22">
        <f t="shared" si="343"/>
        <v>0</v>
      </c>
      <c r="BO59" s="22">
        <f t="shared" si="343"/>
        <v>0</v>
      </c>
      <c r="BP59" s="22">
        <f t="shared" si="343"/>
        <v>0</v>
      </c>
      <c r="BQ59" s="22">
        <f t="shared" si="343"/>
        <v>0</v>
      </c>
      <c r="BR59" s="22">
        <f t="shared" si="343"/>
        <v>0</v>
      </c>
      <c r="BS59" s="22">
        <f t="shared" si="343"/>
        <v>0</v>
      </c>
      <c r="BT59" s="22">
        <f t="shared" si="343"/>
        <v>0</v>
      </c>
      <c r="BU59" s="22">
        <f t="shared" si="343"/>
        <v>0</v>
      </c>
      <c r="BV59" s="22">
        <f t="shared" si="343"/>
        <v>0</v>
      </c>
      <c r="BW59" s="22">
        <f t="shared" si="343"/>
        <v>0</v>
      </c>
      <c r="BX59" s="22">
        <f t="shared" si="343"/>
        <v>0</v>
      </c>
      <c r="BY59" s="22">
        <f t="shared" si="343"/>
        <v>0</v>
      </c>
      <c r="BZ59" s="22">
        <f t="shared" si="343"/>
        <v>0</v>
      </c>
      <c r="CA59" s="22">
        <f t="shared" si="343"/>
        <v>0</v>
      </c>
      <c r="CB59" s="22">
        <f t="shared" si="343"/>
        <v>0</v>
      </c>
      <c r="CC59" s="22">
        <f t="shared" si="343"/>
        <v>0</v>
      </c>
      <c r="CD59" s="22">
        <f t="shared" si="343"/>
        <v>0</v>
      </c>
      <c r="CE59" s="22">
        <f t="shared" si="343"/>
        <v>0</v>
      </c>
      <c r="CF59" s="22">
        <f t="shared" si="343"/>
        <v>0</v>
      </c>
      <c r="CG59" s="22">
        <f t="shared" si="343"/>
        <v>0</v>
      </c>
      <c r="CH59" s="22">
        <f t="shared" si="343"/>
        <v>0</v>
      </c>
      <c r="CI59" s="22">
        <f t="shared" si="343"/>
        <v>0</v>
      </c>
      <c r="CJ59" s="22">
        <f t="shared" si="343"/>
        <v>0</v>
      </c>
      <c r="CK59" s="22">
        <f t="shared" si="343"/>
        <v>0</v>
      </c>
      <c r="CM59" s="10">
        <f t="shared" si="336"/>
        <v>0</v>
      </c>
      <c r="CN59" s="10">
        <f t="shared" si="336"/>
        <v>0</v>
      </c>
      <c r="CO59" s="10">
        <f t="shared" si="336"/>
        <v>0</v>
      </c>
      <c r="CP59" s="10">
        <f t="shared" si="336"/>
        <v>0</v>
      </c>
      <c r="CQ59" s="10">
        <f t="shared" si="336"/>
        <v>0</v>
      </c>
      <c r="CR59" s="10">
        <f t="shared" si="268"/>
        <v>0</v>
      </c>
      <c r="CS59" s="10">
        <f t="shared" si="268"/>
        <v>0</v>
      </c>
    </row>
    <row r="60" spans="2:97" outlineLevel="2" x14ac:dyDescent="0.2">
      <c r="B60" s="95" t="s">
        <v>24</v>
      </c>
      <c r="C60" s="92"/>
      <c r="D60" s="106">
        <v>5.0000000000000001E-3</v>
      </c>
      <c r="F60" s="22"/>
      <c r="G60" s="22"/>
      <c r="H60" s="22"/>
      <c r="I60" s="22"/>
      <c r="J60" s="22"/>
      <c r="K60" s="22"/>
      <c r="L60" s="22"/>
      <c r="M60" s="22"/>
      <c r="N60" s="22"/>
      <c r="O60" s="22"/>
      <c r="P60" s="22"/>
      <c r="Q60" s="22"/>
      <c r="R60" s="22"/>
      <c r="S60" s="22">
        <f t="shared" si="342"/>
        <v>0</v>
      </c>
      <c r="T60" s="22">
        <f t="shared" si="342"/>
        <v>0</v>
      </c>
      <c r="U60" s="22">
        <f t="shared" si="342"/>
        <v>0</v>
      </c>
      <c r="V60" s="22">
        <f t="shared" si="342"/>
        <v>0</v>
      </c>
      <c r="W60" s="22">
        <f t="shared" si="342"/>
        <v>0</v>
      </c>
      <c r="X60" s="22">
        <f t="shared" si="342"/>
        <v>0</v>
      </c>
      <c r="Y60" s="22">
        <f t="shared" si="342"/>
        <v>0</v>
      </c>
      <c r="Z60" s="22">
        <f t="shared" si="342"/>
        <v>0</v>
      </c>
      <c r="AA60" s="22">
        <f t="shared" si="342"/>
        <v>0</v>
      </c>
      <c r="AB60" s="22">
        <f t="shared" si="342"/>
        <v>0</v>
      </c>
      <c r="AC60" s="22">
        <f t="shared" si="342"/>
        <v>0</v>
      </c>
      <c r="AD60" s="22">
        <f t="shared" si="342"/>
        <v>0</v>
      </c>
      <c r="AE60" s="22">
        <f t="shared" si="342"/>
        <v>0</v>
      </c>
      <c r="AF60" s="22">
        <f t="shared" si="343"/>
        <v>0</v>
      </c>
      <c r="AG60" s="22">
        <f t="shared" si="343"/>
        <v>0</v>
      </c>
      <c r="AH60" s="22">
        <f t="shared" si="343"/>
        <v>0</v>
      </c>
      <c r="AI60" s="22">
        <f t="shared" si="343"/>
        <v>0</v>
      </c>
      <c r="AJ60" s="22">
        <f t="shared" si="339"/>
        <v>1.35</v>
      </c>
      <c r="AK60" s="22">
        <f t="shared" si="343"/>
        <v>3.625</v>
      </c>
      <c r="AL60" s="22">
        <f t="shared" si="343"/>
        <v>4.0412499999999998</v>
      </c>
      <c r="AM60" s="22">
        <f t="shared" si="343"/>
        <v>4.1220749999999997</v>
      </c>
      <c r="AN60" s="22">
        <f t="shared" si="343"/>
        <v>4.2045164999999995</v>
      </c>
      <c r="AO60" s="22">
        <f t="shared" si="343"/>
        <v>4.28860683</v>
      </c>
      <c r="AP60" s="22">
        <f t="shared" si="343"/>
        <v>5.0417328824999998</v>
      </c>
      <c r="AQ60" s="22">
        <f t="shared" si="343"/>
        <v>5.5459061707500004</v>
      </c>
      <c r="AR60" s="22">
        <f t="shared" si="343"/>
        <v>6.1004967878250014</v>
      </c>
      <c r="AS60" s="22">
        <f t="shared" si="343"/>
        <v>6.710546466607501</v>
      </c>
      <c r="AT60" s="22">
        <f t="shared" si="343"/>
        <v>6.8042809227741987</v>
      </c>
      <c r="AU60" s="22">
        <f t="shared" si="343"/>
        <v>6.9045022236050944</v>
      </c>
      <c r="AV60" s="22">
        <f t="shared" si="343"/>
        <v>7.0118446205618481</v>
      </c>
      <c r="AW60" s="22">
        <f t="shared" si="343"/>
        <v>7.1270057180872577</v>
      </c>
      <c r="AX60" s="22">
        <f t="shared" si="343"/>
        <v>7.2507528085425559</v>
      </c>
      <c r="AY60" s="22">
        <f t="shared" si="343"/>
        <v>7.3839298406366165</v>
      </c>
      <c r="AZ60" s="22">
        <f t="shared" si="343"/>
        <v>7.5274650846962814</v>
      </c>
      <c r="BA60" s="22">
        <f t="shared" si="343"/>
        <v>8.2802115931659088</v>
      </c>
      <c r="BB60" s="22">
        <f t="shared" si="343"/>
        <v>6.9323827134375007</v>
      </c>
      <c r="BC60" s="22">
        <f t="shared" si="343"/>
        <v>6.9323827134375007</v>
      </c>
      <c r="BD60" s="22">
        <f t="shared" si="343"/>
        <v>7.6256209847812508</v>
      </c>
      <c r="BE60" s="22">
        <f t="shared" si="343"/>
        <v>8.388183083259376</v>
      </c>
      <c r="BF60" s="22">
        <f t="shared" si="343"/>
        <v>8.5053511534677479</v>
      </c>
      <c r="BG60" s="22">
        <f t="shared" si="343"/>
        <v>8.6306277795063675</v>
      </c>
      <c r="BH60" s="22">
        <f t="shared" si="343"/>
        <v>8.7648057757023103</v>
      </c>
      <c r="BI60" s="22">
        <f t="shared" si="343"/>
        <v>8.908757147609073</v>
      </c>
      <c r="BJ60" s="22">
        <f t="shared" si="343"/>
        <v>9.0634410106781953</v>
      </c>
      <c r="BK60" s="22">
        <f t="shared" si="343"/>
        <v>9.2299123007957711</v>
      </c>
      <c r="BL60" s="22">
        <f t="shared" si="343"/>
        <v>9.4093313558703517</v>
      </c>
      <c r="BM60" s="22">
        <f t="shared" si="343"/>
        <v>10.350264491457388</v>
      </c>
      <c r="BN60" s="22">
        <f t="shared" si="343"/>
        <v>8.4575069103937519</v>
      </c>
      <c r="BO60" s="22">
        <f t="shared" si="343"/>
        <v>8.4575069103937519</v>
      </c>
      <c r="BP60" s="22">
        <f t="shared" si="343"/>
        <v>9.3032576014331259</v>
      </c>
      <c r="BQ60" s="22">
        <f t="shared" si="343"/>
        <v>10.233583361576439</v>
      </c>
      <c r="BR60" s="22">
        <f t="shared" si="343"/>
        <v>10.376528407230651</v>
      </c>
      <c r="BS60" s="22">
        <f t="shared" si="343"/>
        <v>10.529365890997767</v>
      </c>
      <c r="BT60" s="22">
        <f t="shared" si="343"/>
        <v>10.693063046356817</v>
      </c>
      <c r="BU60" s="22">
        <f t="shared" si="343"/>
        <v>10.868683720083068</v>
      </c>
      <c r="BV60" s="22">
        <f t="shared" si="343"/>
        <v>11.057398033027395</v>
      </c>
      <c r="BW60" s="22">
        <f t="shared" si="343"/>
        <v>11.26049300697084</v>
      </c>
      <c r="BX60" s="22">
        <f t="shared" si="343"/>
        <v>11.479384254161827</v>
      </c>
      <c r="BY60" s="22">
        <f t="shared" si="343"/>
        <v>12.627322679578013</v>
      </c>
      <c r="BZ60" s="22">
        <f t="shared" si="343"/>
        <v>10.318158430680379</v>
      </c>
      <c r="CA60" s="22">
        <f t="shared" si="343"/>
        <v>10.318158430680379</v>
      </c>
      <c r="CB60" s="22">
        <f t="shared" si="343"/>
        <v>11.349974273748412</v>
      </c>
      <c r="CC60" s="22">
        <f t="shared" si="343"/>
        <v>12.484971701123259</v>
      </c>
      <c r="CD60" s="22">
        <f t="shared" si="343"/>
        <v>12.659364656821396</v>
      </c>
      <c r="CE60" s="22">
        <f t="shared" si="343"/>
        <v>12.845826387017278</v>
      </c>
      <c r="CF60" s="22">
        <f t="shared" si="343"/>
        <v>13.045536916555319</v>
      </c>
      <c r="CG60" s="22">
        <f t="shared" si="343"/>
        <v>13.259794138501343</v>
      </c>
      <c r="CH60" s="22">
        <f t="shared" si="343"/>
        <v>13.490025600293423</v>
      </c>
      <c r="CI60" s="22">
        <f t="shared" si="343"/>
        <v>13.737801468504422</v>
      </c>
      <c r="CJ60" s="22">
        <f t="shared" si="343"/>
        <v>14.004848790077428</v>
      </c>
      <c r="CK60" s="22">
        <f t="shared" si="343"/>
        <v>15.405333669085174</v>
      </c>
      <c r="CM60" s="10">
        <f t="shared" si="336"/>
        <v>0</v>
      </c>
      <c r="CN60" s="10">
        <f t="shared" si="336"/>
        <v>0</v>
      </c>
      <c r="CO60" s="10">
        <f t="shared" si="336"/>
        <v>21.631448329999998</v>
      </c>
      <c r="CP60" s="10">
        <f t="shared" si="336"/>
        <v>81.688675119752276</v>
      </c>
      <c r="CQ60" s="10">
        <f t="shared" si="336"/>
        <v>102.74106051000285</v>
      </c>
      <c r="CR60" s="10">
        <f t="shared" ref="CR60:CS60" si="344">SUMIF($L$2:$CK$2,CR$3,$L60:$CK60)</f>
        <v>125.34409382220346</v>
      </c>
      <c r="CS60" s="10">
        <f t="shared" si="344"/>
        <v>152.91979446308821</v>
      </c>
    </row>
    <row r="61" spans="2:97" hidden="1" x14ac:dyDescent="0.2">
      <c r="B61" s="12" t="s">
        <v>25</v>
      </c>
      <c r="F61" s="14">
        <f t="shared" ref="F61:K61" si="345">SUM(F62:F74)</f>
        <v>0</v>
      </c>
      <c r="G61" s="14">
        <f t="shared" si="345"/>
        <v>0</v>
      </c>
      <c r="H61" s="14">
        <f t="shared" si="345"/>
        <v>0</v>
      </c>
      <c r="I61" s="14">
        <f t="shared" si="345"/>
        <v>0</v>
      </c>
      <c r="J61" s="14">
        <f t="shared" si="345"/>
        <v>0</v>
      </c>
      <c r="K61" s="14">
        <f t="shared" si="345"/>
        <v>0</v>
      </c>
      <c r="L61" s="14">
        <f>SUM(L62:L74)</f>
        <v>0</v>
      </c>
    </row>
    <row r="62" spans="2:97" hidden="1" x14ac:dyDescent="0.2">
      <c r="B62" s="214" t="s">
        <v>26</v>
      </c>
    </row>
    <row r="63" spans="2:97" hidden="1" x14ac:dyDescent="0.2">
      <c r="B63" s="214" t="s">
        <v>27</v>
      </c>
    </row>
    <row r="64" spans="2:97" hidden="1" x14ac:dyDescent="0.2">
      <c r="B64" s="214" t="s">
        <v>28</v>
      </c>
    </row>
    <row r="65" spans="2:97" hidden="1" x14ac:dyDescent="0.2">
      <c r="B65" s="214" t="s">
        <v>29</v>
      </c>
    </row>
    <row r="66" spans="2:97" hidden="1" x14ac:dyDescent="0.2">
      <c r="B66" s="214" t="s">
        <v>15</v>
      </c>
    </row>
    <row r="67" spans="2:97" hidden="1" x14ac:dyDescent="0.2">
      <c r="B67" s="214" t="s">
        <v>30</v>
      </c>
    </row>
    <row r="68" spans="2:97" hidden="1" x14ac:dyDescent="0.2">
      <c r="B68" s="214" t="s">
        <v>31</v>
      </c>
    </row>
    <row r="69" spans="2:97" hidden="1" x14ac:dyDescent="0.2">
      <c r="B69" s="214" t="s">
        <v>32</v>
      </c>
    </row>
    <row r="70" spans="2:97" hidden="1" x14ac:dyDescent="0.2">
      <c r="B70" s="214" t="s">
        <v>33</v>
      </c>
    </row>
    <row r="71" spans="2:97" hidden="1" x14ac:dyDescent="0.2">
      <c r="B71" s="214" t="s">
        <v>34</v>
      </c>
    </row>
    <row r="72" spans="2:97" hidden="1" x14ac:dyDescent="0.2">
      <c r="B72" s="214" t="s">
        <v>35</v>
      </c>
    </row>
    <row r="73" spans="2:97" hidden="1" x14ac:dyDescent="0.2">
      <c r="B73" s="214" t="s">
        <v>36</v>
      </c>
    </row>
    <row r="74" spans="2:97" hidden="1" x14ac:dyDescent="0.2">
      <c r="B74" s="214" t="s">
        <v>37</v>
      </c>
    </row>
    <row r="75" spans="2:97" x14ac:dyDescent="0.2">
      <c r="B75" s="20" t="s">
        <v>6</v>
      </c>
      <c r="C75" s="23" t="s">
        <v>4</v>
      </c>
      <c r="D75" s="23"/>
      <c r="F75" s="24">
        <f t="shared" ref="F75:K75" si="346">F44+F47</f>
        <v>0</v>
      </c>
      <c r="G75" s="24">
        <f t="shared" si="346"/>
        <v>0</v>
      </c>
      <c r="H75" s="24">
        <f t="shared" si="346"/>
        <v>0</v>
      </c>
      <c r="I75" s="24">
        <f t="shared" si="346"/>
        <v>0</v>
      </c>
      <c r="J75" s="24">
        <f t="shared" si="346"/>
        <v>0</v>
      </c>
      <c r="K75" s="24">
        <f t="shared" si="346"/>
        <v>0</v>
      </c>
      <c r="L75" s="24">
        <f t="shared" ref="L75:AW75" si="347">L44+L47</f>
        <v>0</v>
      </c>
      <c r="M75" s="24">
        <f t="shared" si="347"/>
        <v>0</v>
      </c>
      <c r="N75" s="24">
        <f t="shared" si="347"/>
        <v>0</v>
      </c>
      <c r="O75" s="24">
        <f t="shared" si="347"/>
        <v>0</v>
      </c>
      <c r="P75" s="24">
        <f t="shared" si="347"/>
        <v>0</v>
      </c>
      <c r="Q75" s="24">
        <f t="shared" si="347"/>
        <v>0</v>
      </c>
      <c r="R75" s="24">
        <f t="shared" si="347"/>
        <v>0</v>
      </c>
      <c r="S75" s="24">
        <f t="shared" si="347"/>
        <v>0</v>
      </c>
      <c r="T75" s="24">
        <f t="shared" si="347"/>
        <v>0</v>
      </c>
      <c r="U75" s="24">
        <f t="shared" si="347"/>
        <v>0</v>
      </c>
      <c r="V75" s="24">
        <f t="shared" si="347"/>
        <v>0</v>
      </c>
      <c r="W75" s="24">
        <f t="shared" si="347"/>
        <v>0</v>
      </c>
      <c r="X75" s="24">
        <f t="shared" si="347"/>
        <v>0</v>
      </c>
      <c r="Y75" s="24">
        <f t="shared" si="347"/>
        <v>0</v>
      </c>
      <c r="Z75" s="24">
        <f t="shared" si="347"/>
        <v>0</v>
      </c>
      <c r="AA75" s="24">
        <f t="shared" si="347"/>
        <v>0</v>
      </c>
      <c r="AB75" s="24">
        <f t="shared" si="347"/>
        <v>0</v>
      </c>
      <c r="AC75" s="24">
        <f t="shared" si="347"/>
        <v>0</v>
      </c>
      <c r="AD75" s="24">
        <f t="shared" si="347"/>
        <v>0</v>
      </c>
      <c r="AE75" s="24">
        <f t="shared" si="347"/>
        <v>0</v>
      </c>
      <c r="AF75" s="24">
        <f t="shared" si="347"/>
        <v>0</v>
      </c>
      <c r="AG75" s="24">
        <f t="shared" si="347"/>
        <v>0</v>
      </c>
      <c r="AH75" s="24">
        <f t="shared" si="347"/>
        <v>0</v>
      </c>
      <c r="AI75" s="24">
        <f t="shared" si="347"/>
        <v>0</v>
      </c>
      <c r="AJ75" s="24">
        <f t="shared" si="347"/>
        <v>1247.9000000000001</v>
      </c>
      <c r="AK75" s="24">
        <f t="shared" si="347"/>
        <v>1502.75</v>
      </c>
      <c r="AL75" s="24">
        <f t="shared" si="347"/>
        <v>1558.5274999999999</v>
      </c>
      <c r="AM75" s="24">
        <f t="shared" si="347"/>
        <v>1074.3580499999998</v>
      </c>
      <c r="AN75" s="24">
        <f t="shared" si="347"/>
        <v>785.40521100000001</v>
      </c>
      <c r="AO75" s="24">
        <f t="shared" si="347"/>
        <v>622.4049561999999</v>
      </c>
      <c r="AP75" s="24">
        <f t="shared" si="347"/>
        <v>682.42527472500001</v>
      </c>
      <c r="AQ75" s="24">
        <f t="shared" si="347"/>
        <v>747.96780219750008</v>
      </c>
      <c r="AR75" s="24">
        <f t="shared" si="347"/>
        <v>820.06458241725022</v>
      </c>
      <c r="AS75" s="24">
        <f t="shared" si="347"/>
        <v>899.37104065897518</v>
      </c>
      <c r="AT75" s="24">
        <f t="shared" si="347"/>
        <v>916.55651996064591</v>
      </c>
      <c r="AU75" s="24">
        <f t="shared" si="347"/>
        <v>929.58528906866229</v>
      </c>
      <c r="AV75" s="24">
        <f t="shared" si="347"/>
        <v>943.53980067304019</v>
      </c>
      <c r="AW75" s="24">
        <f t="shared" si="347"/>
        <v>958.51074335134354</v>
      </c>
      <c r="AX75" s="24">
        <f t="shared" ref="AX75:BU75" si="348">AX44+AX47</f>
        <v>974.59786511053221</v>
      </c>
      <c r="AY75" s="24">
        <f t="shared" si="348"/>
        <v>991.91087928276011</v>
      </c>
      <c r="AZ75" s="24">
        <f t="shared" si="348"/>
        <v>1010.5704610105166</v>
      </c>
      <c r="BA75" s="24">
        <f t="shared" si="348"/>
        <v>1108.4275071115683</v>
      </c>
      <c r="BB75" s="24">
        <f t="shared" si="348"/>
        <v>933.2097527468751</v>
      </c>
      <c r="BC75" s="24">
        <f t="shared" si="348"/>
        <v>933.2097527468751</v>
      </c>
      <c r="BD75" s="24">
        <f t="shared" si="348"/>
        <v>1023.3307280215627</v>
      </c>
      <c r="BE75" s="24">
        <f t="shared" si="348"/>
        <v>1122.4638008237191</v>
      </c>
      <c r="BF75" s="24">
        <f t="shared" si="348"/>
        <v>1137.6956499508074</v>
      </c>
      <c r="BG75" s="24">
        <f t="shared" si="348"/>
        <v>1153.9816113358277</v>
      </c>
      <c r="BH75" s="24">
        <f t="shared" si="348"/>
        <v>1171.4247508413002</v>
      </c>
      <c r="BI75" s="24">
        <f t="shared" si="348"/>
        <v>1190.1384291891795</v>
      </c>
      <c r="BJ75" s="24">
        <f t="shared" si="348"/>
        <v>1210.2473313881655</v>
      </c>
      <c r="BK75" s="24">
        <f t="shared" si="348"/>
        <v>1231.8885991034501</v>
      </c>
      <c r="BL75" s="24">
        <f t="shared" si="348"/>
        <v>1255.2130762631457</v>
      </c>
      <c r="BM75" s="24">
        <f t="shared" si="348"/>
        <v>1377.5343838894605</v>
      </c>
      <c r="BN75" s="24">
        <f t="shared" si="348"/>
        <v>1131.4758983511879</v>
      </c>
      <c r="BO75" s="24">
        <f t="shared" si="348"/>
        <v>1131.4758983511879</v>
      </c>
      <c r="BP75" s="24">
        <f t="shared" si="348"/>
        <v>1241.4234881863063</v>
      </c>
      <c r="BQ75" s="24">
        <f t="shared" si="348"/>
        <v>1362.3658370049372</v>
      </c>
      <c r="BR75" s="24">
        <f t="shared" si="348"/>
        <v>1380.9486929399848</v>
      </c>
      <c r="BS75" s="24">
        <f t="shared" si="348"/>
        <v>1400.8175658297098</v>
      </c>
      <c r="BT75" s="24">
        <f t="shared" si="348"/>
        <v>1422.0981960263864</v>
      </c>
      <c r="BU75" s="24">
        <f t="shared" si="348"/>
        <v>1444.9288836107989</v>
      </c>
      <c r="BV75" s="24">
        <f t="shared" ref="BV75:BX75" si="349">BV44+BV47</f>
        <v>1469.4617442935614</v>
      </c>
      <c r="BW75" s="24">
        <f t="shared" si="349"/>
        <v>1495.8640909062092</v>
      </c>
      <c r="BX75" s="24">
        <f t="shared" si="349"/>
        <v>1524.3199530410377</v>
      </c>
      <c r="BY75" s="24">
        <f t="shared" ref="BY75:CK75" si="350">BY44+BY47</f>
        <v>1673.5519483451417</v>
      </c>
      <c r="BZ75" s="24">
        <f t="shared" si="350"/>
        <v>1373.3605959884492</v>
      </c>
      <c r="CA75" s="24">
        <f t="shared" si="350"/>
        <v>1373.3605959884492</v>
      </c>
      <c r="CB75" s="24">
        <f t="shared" si="350"/>
        <v>1507.4966555872936</v>
      </c>
      <c r="CC75" s="24">
        <f t="shared" si="350"/>
        <v>1655.0463211460237</v>
      </c>
      <c r="CD75" s="24">
        <f t="shared" si="350"/>
        <v>1677.7174053867816</v>
      </c>
      <c r="CE75" s="24">
        <f t="shared" si="350"/>
        <v>1701.9574303122463</v>
      </c>
      <c r="CF75" s="24">
        <f t="shared" si="350"/>
        <v>1727.9197991521914</v>
      </c>
      <c r="CG75" s="24">
        <f t="shared" si="350"/>
        <v>1755.7732380051748</v>
      </c>
      <c r="CH75" s="24">
        <f t="shared" si="350"/>
        <v>1785.7033280381452</v>
      </c>
      <c r="CI75" s="24">
        <f t="shared" si="350"/>
        <v>1817.9141909055747</v>
      </c>
      <c r="CJ75" s="24">
        <f t="shared" si="350"/>
        <v>1852.6303427100659</v>
      </c>
      <c r="CK75" s="24">
        <f t="shared" si="350"/>
        <v>2034.6933769810726</v>
      </c>
      <c r="CM75" s="24">
        <f>SUMIF($L$2:$CK$2,CM$3,$L75:$CK75)</f>
        <v>0</v>
      </c>
      <c r="CN75" s="24">
        <f>SUMIF($L$2:$CK$2,CN$3,$L75:$CK75)</f>
        <v>0</v>
      </c>
      <c r="CO75" s="24">
        <f>SUMIF($L$2:$CK$2,CO$3,$L75:$CK75)</f>
        <v>6791.3457171999999</v>
      </c>
      <c r="CP75" s="24">
        <f>SUMIF($L$2:$CK$2,CP$3,$L75:$CK75)</f>
        <v>10983.527765567795</v>
      </c>
      <c r="CQ75" s="24">
        <f>SUMIF($L$2:$CK$2,CQ$3,$L75:$CK75)</f>
        <v>13740.337866300368</v>
      </c>
      <c r="CR75" s="24">
        <f t="shared" ref="CR75:CS75" si="351">SUMIF($L$2:$CK$2,CR$3,$L75:$CK75)</f>
        <v>16678.732196886449</v>
      </c>
      <c r="CS75" s="24">
        <f t="shared" si="351"/>
        <v>20263.573280201465</v>
      </c>
    </row>
    <row r="78" spans="2:97" x14ac:dyDescent="0.2">
      <c r="B78" s="12" t="s">
        <v>42</v>
      </c>
    </row>
    <row r="79" spans="2:97" x14ac:dyDescent="0.2">
      <c r="B79" s="200" t="s">
        <v>1</v>
      </c>
      <c r="C79" s="200" t="s">
        <v>2</v>
      </c>
      <c r="D79" s="200" t="s">
        <v>38</v>
      </c>
      <c r="F79" s="201">
        <f t="shared" ref="F79:K79" si="352">F43</f>
        <v>45292</v>
      </c>
      <c r="G79" s="201">
        <f t="shared" si="352"/>
        <v>45323</v>
      </c>
      <c r="H79" s="201">
        <f t="shared" si="352"/>
        <v>45352</v>
      </c>
      <c r="I79" s="201">
        <f t="shared" si="352"/>
        <v>45383</v>
      </c>
      <c r="J79" s="201">
        <f t="shared" si="352"/>
        <v>45413</v>
      </c>
      <c r="K79" s="201">
        <f t="shared" si="352"/>
        <v>45444</v>
      </c>
      <c r="L79" s="201">
        <f>L43</f>
        <v>45474</v>
      </c>
      <c r="M79" s="201">
        <f t="shared" ref="M79:BU79" si="353">M43</f>
        <v>45505</v>
      </c>
      <c r="N79" s="201">
        <f t="shared" si="353"/>
        <v>45536</v>
      </c>
      <c r="O79" s="201">
        <f t="shared" si="353"/>
        <v>45566</v>
      </c>
      <c r="P79" s="201">
        <f t="shared" si="353"/>
        <v>45597</v>
      </c>
      <c r="Q79" s="201">
        <f t="shared" si="353"/>
        <v>45627</v>
      </c>
      <c r="R79" s="201">
        <f t="shared" si="353"/>
        <v>45658</v>
      </c>
      <c r="S79" s="201">
        <f t="shared" si="353"/>
        <v>45689</v>
      </c>
      <c r="T79" s="201">
        <f t="shared" si="353"/>
        <v>45717</v>
      </c>
      <c r="U79" s="201">
        <f t="shared" si="353"/>
        <v>45748</v>
      </c>
      <c r="V79" s="201">
        <f t="shared" si="353"/>
        <v>45778</v>
      </c>
      <c r="W79" s="201">
        <f t="shared" si="353"/>
        <v>45809</v>
      </c>
      <c r="X79" s="201">
        <f t="shared" si="353"/>
        <v>45839</v>
      </c>
      <c r="Y79" s="201">
        <f t="shared" si="353"/>
        <v>45870</v>
      </c>
      <c r="Z79" s="201">
        <f t="shared" si="353"/>
        <v>45901</v>
      </c>
      <c r="AA79" s="201">
        <f t="shared" si="353"/>
        <v>45931</v>
      </c>
      <c r="AB79" s="201">
        <f t="shared" si="353"/>
        <v>45962</v>
      </c>
      <c r="AC79" s="201">
        <f t="shared" si="353"/>
        <v>45992</v>
      </c>
      <c r="AD79" s="201">
        <f t="shared" si="353"/>
        <v>46023</v>
      </c>
      <c r="AE79" s="201">
        <f t="shared" si="353"/>
        <v>46054</v>
      </c>
      <c r="AF79" s="201">
        <f t="shared" si="353"/>
        <v>46082</v>
      </c>
      <c r="AG79" s="201">
        <f t="shared" si="353"/>
        <v>46113</v>
      </c>
      <c r="AH79" s="201">
        <f t="shared" si="353"/>
        <v>46143</v>
      </c>
      <c r="AI79" s="201">
        <f t="shared" si="353"/>
        <v>46174</v>
      </c>
      <c r="AJ79" s="201">
        <f t="shared" si="353"/>
        <v>46204</v>
      </c>
      <c r="AK79" s="201">
        <f t="shared" si="353"/>
        <v>46235</v>
      </c>
      <c r="AL79" s="201">
        <f t="shared" si="353"/>
        <v>46266</v>
      </c>
      <c r="AM79" s="201">
        <f t="shared" si="353"/>
        <v>46296</v>
      </c>
      <c r="AN79" s="201">
        <f t="shared" si="353"/>
        <v>46327</v>
      </c>
      <c r="AO79" s="201">
        <f t="shared" si="353"/>
        <v>46357</v>
      </c>
      <c r="AP79" s="201">
        <f t="shared" si="353"/>
        <v>46388</v>
      </c>
      <c r="AQ79" s="201">
        <f t="shared" si="353"/>
        <v>46419</v>
      </c>
      <c r="AR79" s="201">
        <f t="shared" si="353"/>
        <v>46447</v>
      </c>
      <c r="AS79" s="201">
        <f t="shared" si="353"/>
        <v>46478</v>
      </c>
      <c r="AT79" s="201">
        <f t="shared" si="353"/>
        <v>46508</v>
      </c>
      <c r="AU79" s="201">
        <f t="shared" si="353"/>
        <v>46539</v>
      </c>
      <c r="AV79" s="201">
        <f t="shared" si="353"/>
        <v>46569</v>
      </c>
      <c r="AW79" s="201">
        <f t="shared" si="353"/>
        <v>46600</v>
      </c>
      <c r="AX79" s="201">
        <f t="shared" si="353"/>
        <v>46631</v>
      </c>
      <c r="AY79" s="201">
        <f t="shared" si="353"/>
        <v>46661</v>
      </c>
      <c r="AZ79" s="201">
        <f t="shared" si="353"/>
        <v>46692</v>
      </c>
      <c r="BA79" s="201">
        <f t="shared" si="353"/>
        <v>46722</v>
      </c>
      <c r="BB79" s="201">
        <f t="shared" si="353"/>
        <v>46753</v>
      </c>
      <c r="BC79" s="201">
        <f t="shared" si="353"/>
        <v>46784</v>
      </c>
      <c r="BD79" s="201">
        <f t="shared" si="353"/>
        <v>46813</v>
      </c>
      <c r="BE79" s="201">
        <f t="shared" si="353"/>
        <v>46844</v>
      </c>
      <c r="BF79" s="201">
        <f t="shared" si="353"/>
        <v>46874</v>
      </c>
      <c r="BG79" s="201">
        <f t="shared" si="353"/>
        <v>46905</v>
      </c>
      <c r="BH79" s="201">
        <f t="shared" si="353"/>
        <v>46935</v>
      </c>
      <c r="BI79" s="201">
        <f t="shared" si="353"/>
        <v>46966</v>
      </c>
      <c r="BJ79" s="201">
        <f t="shared" si="353"/>
        <v>46997</v>
      </c>
      <c r="BK79" s="201">
        <f t="shared" si="353"/>
        <v>47027</v>
      </c>
      <c r="BL79" s="201">
        <f t="shared" si="353"/>
        <v>47058</v>
      </c>
      <c r="BM79" s="201">
        <f t="shared" si="353"/>
        <v>47088</v>
      </c>
      <c r="BN79" s="201">
        <f t="shared" si="353"/>
        <v>47119</v>
      </c>
      <c r="BO79" s="201">
        <f t="shared" si="353"/>
        <v>47150</v>
      </c>
      <c r="BP79" s="201">
        <f t="shared" si="353"/>
        <v>47178</v>
      </c>
      <c r="BQ79" s="201">
        <f t="shared" si="353"/>
        <v>47209</v>
      </c>
      <c r="BR79" s="201">
        <f t="shared" si="353"/>
        <v>47239</v>
      </c>
      <c r="BS79" s="201">
        <f t="shared" si="353"/>
        <v>47270</v>
      </c>
      <c r="BT79" s="201">
        <f t="shared" si="353"/>
        <v>47300</v>
      </c>
      <c r="BU79" s="201">
        <f t="shared" si="353"/>
        <v>47331</v>
      </c>
      <c r="BV79" s="201">
        <f t="shared" ref="BV79:BX79" si="354">BV43</f>
        <v>47362</v>
      </c>
      <c r="BW79" s="201">
        <f t="shared" si="354"/>
        <v>47392</v>
      </c>
      <c r="BX79" s="201">
        <f t="shared" si="354"/>
        <v>47423</v>
      </c>
      <c r="BY79" s="201">
        <f t="shared" ref="BY79:CK79" si="355">BY43</f>
        <v>47453</v>
      </c>
      <c r="BZ79" s="201">
        <f t="shared" si="355"/>
        <v>47484</v>
      </c>
      <c r="CA79" s="201">
        <f t="shared" si="355"/>
        <v>47515</v>
      </c>
      <c r="CB79" s="201">
        <f t="shared" si="355"/>
        <v>47543</v>
      </c>
      <c r="CC79" s="201">
        <f t="shared" si="355"/>
        <v>47574</v>
      </c>
      <c r="CD79" s="201">
        <f t="shared" si="355"/>
        <v>47604</v>
      </c>
      <c r="CE79" s="201">
        <f t="shared" si="355"/>
        <v>47635</v>
      </c>
      <c r="CF79" s="201">
        <f t="shared" si="355"/>
        <v>47665</v>
      </c>
      <c r="CG79" s="201">
        <f t="shared" si="355"/>
        <v>47696</v>
      </c>
      <c r="CH79" s="201">
        <f t="shared" si="355"/>
        <v>47727</v>
      </c>
      <c r="CI79" s="201">
        <f t="shared" si="355"/>
        <v>47757</v>
      </c>
      <c r="CJ79" s="201">
        <f t="shared" si="355"/>
        <v>47788</v>
      </c>
      <c r="CK79" s="201">
        <f t="shared" si="355"/>
        <v>47818</v>
      </c>
      <c r="CM79" s="202">
        <f>CM3</f>
        <v>2024</v>
      </c>
      <c r="CN79" s="202">
        <f>CM79+1</f>
        <v>2025</v>
      </c>
      <c r="CO79" s="202">
        <f t="shared" ref="CO79" si="356">CN79+1</f>
        <v>2026</v>
      </c>
      <c r="CP79" s="202">
        <f t="shared" ref="CP79" si="357">CO79+1</f>
        <v>2027</v>
      </c>
      <c r="CQ79" s="202">
        <f t="shared" ref="CQ79" si="358">CP79+1</f>
        <v>2028</v>
      </c>
      <c r="CR79" s="202">
        <f t="shared" ref="CR79" si="359">CQ79+1</f>
        <v>2029</v>
      </c>
      <c r="CS79" s="202">
        <f t="shared" ref="CS79" si="360">CR79+1</f>
        <v>2030</v>
      </c>
    </row>
    <row r="80" spans="2:97" outlineLevel="1" x14ac:dyDescent="0.2">
      <c r="B80" s="92" t="s">
        <v>44</v>
      </c>
      <c r="C80" s="97" t="s">
        <v>4</v>
      </c>
      <c r="D80" s="91"/>
      <c r="AJ80" s="227">
        <v>55</v>
      </c>
      <c r="AK80" s="8">
        <f t="shared" ref="AK80:AW80" si="361">AJ80</f>
        <v>55</v>
      </c>
      <c r="AL80" s="8">
        <f t="shared" si="361"/>
        <v>55</v>
      </c>
      <c r="AM80" s="8">
        <f t="shared" si="361"/>
        <v>55</v>
      </c>
      <c r="AN80" s="8">
        <f t="shared" si="361"/>
        <v>55</v>
      </c>
      <c r="AO80" s="8">
        <f t="shared" si="361"/>
        <v>55</v>
      </c>
      <c r="AP80" s="227">
        <v>60</v>
      </c>
      <c r="AQ80" s="8">
        <f t="shared" si="361"/>
        <v>60</v>
      </c>
      <c r="AR80" s="8">
        <f t="shared" si="361"/>
        <v>60</v>
      </c>
      <c r="AS80" s="8">
        <f t="shared" si="361"/>
        <v>60</v>
      </c>
      <c r="AT80" s="8">
        <f t="shared" si="361"/>
        <v>60</v>
      </c>
      <c r="AU80" s="8">
        <f t="shared" si="361"/>
        <v>60</v>
      </c>
      <c r="AV80" s="8">
        <f t="shared" si="361"/>
        <v>60</v>
      </c>
      <c r="AW80" s="8">
        <f t="shared" si="361"/>
        <v>60</v>
      </c>
      <c r="AX80" s="227">
        <v>70</v>
      </c>
      <c r="AY80" s="8">
        <f t="shared" ref="AY80" si="362">AX80</f>
        <v>70</v>
      </c>
      <c r="AZ80" s="8">
        <f t="shared" ref="AZ80" si="363">AY80</f>
        <v>70</v>
      </c>
      <c r="BA80" s="8">
        <f t="shared" ref="BA80" si="364">AZ80</f>
        <v>70</v>
      </c>
      <c r="BB80" s="8">
        <f t="shared" ref="BB80" si="365">BA80</f>
        <v>70</v>
      </c>
      <c r="BC80" s="8">
        <f t="shared" ref="BC80" si="366">BB80</f>
        <v>70</v>
      </c>
      <c r="BD80" s="8">
        <f t="shared" ref="BD80" si="367">BC80</f>
        <v>70</v>
      </c>
      <c r="BE80" s="8">
        <f t="shared" ref="BE80" si="368">BD80</f>
        <v>70</v>
      </c>
      <c r="BF80" s="8">
        <f t="shared" ref="BF80" si="369">BE80</f>
        <v>70</v>
      </c>
      <c r="BG80" s="8">
        <f t="shared" ref="BG80" si="370">BF80</f>
        <v>70</v>
      </c>
      <c r="BH80" s="8">
        <f t="shared" ref="BH80" si="371">BG80</f>
        <v>70</v>
      </c>
      <c r="BI80" s="8">
        <f t="shared" ref="BI80" si="372">BH80</f>
        <v>70</v>
      </c>
      <c r="BJ80" s="8">
        <f t="shared" ref="BJ80" si="373">BI80</f>
        <v>70</v>
      </c>
      <c r="BK80" s="8">
        <f t="shared" ref="BK80" si="374">BJ80</f>
        <v>70</v>
      </c>
      <c r="BL80" s="8">
        <f t="shared" ref="BL80" si="375">BK80</f>
        <v>70</v>
      </c>
      <c r="BM80" s="8">
        <f t="shared" ref="BM80" si="376">BL80</f>
        <v>70</v>
      </c>
      <c r="BN80" s="8">
        <f t="shared" ref="BN80" si="377">BM80</f>
        <v>70</v>
      </c>
      <c r="BO80" s="8">
        <f t="shared" ref="BO80" si="378">BN80</f>
        <v>70</v>
      </c>
      <c r="BP80" s="8">
        <f t="shared" ref="BP80" si="379">BO80</f>
        <v>70</v>
      </c>
      <c r="BQ80" s="8">
        <f t="shared" ref="BQ80" si="380">BP80</f>
        <v>70</v>
      </c>
      <c r="BR80" s="8">
        <f t="shared" ref="BR80" si="381">BQ80</f>
        <v>70</v>
      </c>
      <c r="BS80" s="8">
        <f t="shared" ref="BS80" si="382">BR80</f>
        <v>70</v>
      </c>
      <c r="BT80" s="8">
        <f t="shared" ref="BT80" si="383">BS80</f>
        <v>70</v>
      </c>
      <c r="BU80" s="8">
        <f t="shared" ref="BU80" si="384">BT80</f>
        <v>70</v>
      </c>
      <c r="BV80" s="8">
        <f t="shared" ref="BV80" si="385">BU80</f>
        <v>70</v>
      </c>
      <c r="BW80" s="8">
        <f t="shared" ref="BW80" si="386">BV80</f>
        <v>70</v>
      </c>
      <c r="BX80" s="8">
        <f t="shared" ref="BX80" si="387">BW80</f>
        <v>70</v>
      </c>
      <c r="BY80" s="8">
        <f t="shared" ref="BY80" si="388">BX80</f>
        <v>70</v>
      </c>
      <c r="BZ80" s="8">
        <f t="shared" ref="BZ80" si="389">BY80</f>
        <v>70</v>
      </c>
      <c r="CA80" s="8">
        <f t="shared" ref="CA80" si="390">BZ80</f>
        <v>70</v>
      </c>
      <c r="CB80" s="8">
        <f t="shared" ref="CB80" si="391">CA80</f>
        <v>70</v>
      </c>
      <c r="CC80" s="8">
        <f t="shared" ref="CC80" si="392">CB80</f>
        <v>70</v>
      </c>
      <c r="CD80" s="8">
        <f t="shared" ref="CD80" si="393">CC80</f>
        <v>70</v>
      </c>
      <c r="CE80" s="8">
        <f t="shared" ref="CE80" si="394">CD80</f>
        <v>70</v>
      </c>
      <c r="CF80" s="8">
        <f t="shared" ref="CF80" si="395">CE80</f>
        <v>70</v>
      </c>
      <c r="CG80" s="8">
        <f t="shared" ref="CG80" si="396">CF80</f>
        <v>70</v>
      </c>
      <c r="CH80" s="8">
        <f t="shared" ref="CH80" si="397">CG80</f>
        <v>70</v>
      </c>
      <c r="CI80" s="8">
        <f t="shared" ref="CI80" si="398">CH80</f>
        <v>70</v>
      </c>
      <c r="CJ80" s="8">
        <f t="shared" ref="CJ80" si="399">CI80</f>
        <v>70</v>
      </c>
      <c r="CK80" s="8">
        <f t="shared" ref="CK80" si="400">CJ80</f>
        <v>70</v>
      </c>
      <c r="CM80" s="10">
        <f t="shared" ref="CM80:CQ83" si="401">SUMIF($L$2:$CK$2,CM$3,$L80:$CK80)</f>
        <v>0</v>
      </c>
      <c r="CN80" s="10">
        <f t="shared" si="401"/>
        <v>0</v>
      </c>
      <c r="CO80" s="10">
        <f t="shared" si="401"/>
        <v>330</v>
      </c>
      <c r="CP80" s="10">
        <f t="shared" si="401"/>
        <v>760</v>
      </c>
      <c r="CQ80" s="10">
        <f t="shared" si="401"/>
        <v>840</v>
      </c>
      <c r="CR80" s="10">
        <f t="shared" ref="CR80:CS83" si="402">SUMIF($L$2:$CK$2,CR$3,$L80:$CK80)</f>
        <v>840</v>
      </c>
      <c r="CS80" s="10">
        <f t="shared" si="402"/>
        <v>840</v>
      </c>
    </row>
    <row r="81" spans="2:97" outlineLevel="1" x14ac:dyDescent="0.2">
      <c r="B81" s="92" t="s">
        <v>17</v>
      </c>
      <c r="C81" s="91" t="s">
        <v>39</v>
      </c>
      <c r="D81" s="229">
        <v>6.4000000000000003E-3</v>
      </c>
      <c r="F81" s="10"/>
      <c r="G81" s="10"/>
      <c r="H81" s="10"/>
      <c r="I81" s="10"/>
      <c r="J81" s="10"/>
      <c r="K81" s="10"/>
      <c r="L81" s="10"/>
      <c r="M81" s="10"/>
      <c r="N81" s="10"/>
      <c r="O81" s="10"/>
      <c r="P81" s="10"/>
      <c r="Q81" s="10"/>
      <c r="R81" s="10"/>
      <c r="S81" s="22">
        <f t="shared" ref="S81:AE81" si="403">S$39*$D81</f>
        <v>0</v>
      </c>
      <c r="T81" s="22">
        <f t="shared" si="403"/>
        <v>0</v>
      </c>
      <c r="U81" s="22">
        <f t="shared" si="403"/>
        <v>0</v>
      </c>
      <c r="V81" s="22">
        <f t="shared" si="403"/>
        <v>0</v>
      </c>
      <c r="W81" s="22">
        <f t="shared" si="403"/>
        <v>0</v>
      </c>
      <c r="X81" s="22">
        <f t="shared" si="403"/>
        <v>0</v>
      </c>
      <c r="Y81" s="22">
        <f t="shared" si="403"/>
        <v>0</v>
      </c>
      <c r="Z81" s="22">
        <f t="shared" si="403"/>
        <v>0</v>
      </c>
      <c r="AA81" s="22">
        <f t="shared" si="403"/>
        <v>0</v>
      </c>
      <c r="AB81" s="22">
        <f t="shared" si="403"/>
        <v>0</v>
      </c>
      <c r="AC81" s="22">
        <f t="shared" si="403"/>
        <v>0</v>
      </c>
      <c r="AD81" s="22">
        <f t="shared" si="403"/>
        <v>0</v>
      </c>
      <c r="AE81" s="22">
        <f t="shared" si="403"/>
        <v>0</v>
      </c>
      <c r="AF81" s="22">
        <f t="shared" ref="AF81:CK81" si="404">AF$39*$D81</f>
        <v>0</v>
      </c>
      <c r="AG81" s="22">
        <f t="shared" si="404"/>
        <v>0</v>
      </c>
      <c r="AH81" s="22">
        <f t="shared" si="404"/>
        <v>0</v>
      </c>
      <c r="AI81" s="22">
        <f t="shared" si="404"/>
        <v>0</v>
      </c>
      <c r="AJ81" s="22">
        <f t="shared" si="404"/>
        <v>1.728</v>
      </c>
      <c r="AK81" s="22">
        <f t="shared" si="404"/>
        <v>4.6400000000000006</v>
      </c>
      <c r="AL81" s="22">
        <f t="shared" si="404"/>
        <v>5.1728000000000005</v>
      </c>
      <c r="AM81" s="22">
        <f t="shared" si="404"/>
        <v>5.2762560000000001</v>
      </c>
      <c r="AN81" s="22">
        <f t="shared" si="404"/>
        <v>5.3817811200000003</v>
      </c>
      <c r="AO81" s="22">
        <f t="shared" si="404"/>
        <v>5.4894167424000004</v>
      </c>
      <c r="AP81" s="22">
        <f t="shared" si="404"/>
        <v>6.4534180896000004</v>
      </c>
      <c r="AQ81" s="22">
        <f t="shared" si="404"/>
        <v>7.0987598985600009</v>
      </c>
      <c r="AR81" s="22">
        <f t="shared" si="404"/>
        <v>7.8086358884160019</v>
      </c>
      <c r="AS81" s="22">
        <f t="shared" si="404"/>
        <v>8.5894994772576023</v>
      </c>
      <c r="AT81" s="22">
        <f t="shared" si="404"/>
        <v>8.7094795811509744</v>
      </c>
      <c r="AU81" s="22">
        <f t="shared" si="404"/>
        <v>8.8377628462145204</v>
      </c>
      <c r="AV81" s="22">
        <f t="shared" si="404"/>
        <v>8.9751611143191656</v>
      </c>
      <c r="AW81" s="22">
        <f t="shared" si="404"/>
        <v>9.1225673191516901</v>
      </c>
      <c r="AX81" s="22">
        <f t="shared" si="404"/>
        <v>9.2809635949344713</v>
      </c>
      <c r="AY81" s="22">
        <f t="shared" si="404"/>
        <v>9.4514301960148686</v>
      </c>
      <c r="AZ81" s="22">
        <f t="shared" si="404"/>
        <v>9.6351553084112407</v>
      </c>
      <c r="BA81" s="22">
        <f t="shared" si="404"/>
        <v>10.598670839252364</v>
      </c>
      <c r="BB81" s="22">
        <f t="shared" si="404"/>
        <v>8.873449873200002</v>
      </c>
      <c r="BC81" s="22">
        <f t="shared" si="404"/>
        <v>8.873449873200002</v>
      </c>
      <c r="BD81" s="22">
        <f t="shared" si="404"/>
        <v>9.7607948605200026</v>
      </c>
      <c r="BE81" s="22">
        <f t="shared" si="404"/>
        <v>10.736874346572003</v>
      </c>
      <c r="BF81" s="22">
        <f t="shared" si="404"/>
        <v>10.886849476438718</v>
      </c>
      <c r="BG81" s="22">
        <f t="shared" si="404"/>
        <v>11.04720355776815</v>
      </c>
      <c r="BH81" s="22">
        <f t="shared" si="404"/>
        <v>11.218951392898957</v>
      </c>
      <c r="BI81" s="22">
        <f t="shared" si="404"/>
        <v>11.403209148939613</v>
      </c>
      <c r="BJ81" s="22">
        <f t="shared" si="404"/>
        <v>11.601204493668089</v>
      </c>
      <c r="BK81" s="22">
        <f t="shared" si="404"/>
        <v>11.814287745018586</v>
      </c>
      <c r="BL81" s="22">
        <f t="shared" si="404"/>
        <v>12.043944135514051</v>
      </c>
      <c r="BM81" s="22">
        <f t="shared" si="404"/>
        <v>13.248338549065457</v>
      </c>
      <c r="BN81" s="22">
        <f t="shared" si="404"/>
        <v>10.825608845304002</v>
      </c>
      <c r="BO81" s="22">
        <f t="shared" si="404"/>
        <v>10.825608845304002</v>
      </c>
      <c r="BP81" s="22">
        <f t="shared" si="404"/>
        <v>11.908169729834402</v>
      </c>
      <c r="BQ81" s="22">
        <f t="shared" si="404"/>
        <v>13.098986702817843</v>
      </c>
      <c r="BR81" s="22">
        <f t="shared" si="404"/>
        <v>13.281956361255233</v>
      </c>
      <c r="BS81" s="22">
        <f t="shared" si="404"/>
        <v>13.477588340477142</v>
      </c>
      <c r="BT81" s="22">
        <f t="shared" si="404"/>
        <v>13.687120699336727</v>
      </c>
      <c r="BU81" s="22">
        <f t="shared" si="404"/>
        <v>13.911915161706327</v>
      </c>
      <c r="BV81" s="22">
        <f t="shared" si="404"/>
        <v>14.153469482275067</v>
      </c>
      <c r="BW81" s="22">
        <f t="shared" si="404"/>
        <v>14.413431048922675</v>
      </c>
      <c r="BX81" s="22">
        <f t="shared" si="404"/>
        <v>14.69361184532714</v>
      </c>
      <c r="BY81" s="22">
        <f t="shared" si="404"/>
        <v>16.162973029859856</v>
      </c>
      <c r="BZ81" s="22">
        <f t="shared" si="404"/>
        <v>13.207242791270884</v>
      </c>
      <c r="CA81" s="22">
        <f t="shared" si="404"/>
        <v>13.207242791270884</v>
      </c>
      <c r="CB81" s="22">
        <f t="shared" si="404"/>
        <v>14.527967070397969</v>
      </c>
      <c r="CC81" s="22">
        <f t="shared" si="404"/>
        <v>15.980763777437772</v>
      </c>
      <c r="CD81" s="22">
        <f t="shared" si="404"/>
        <v>16.203986760731386</v>
      </c>
      <c r="CE81" s="22">
        <f t="shared" si="404"/>
        <v>16.442657775382116</v>
      </c>
      <c r="CF81" s="22">
        <f t="shared" si="404"/>
        <v>16.698287253190809</v>
      </c>
      <c r="CG81" s="22">
        <f t="shared" si="404"/>
        <v>16.97253649728172</v>
      </c>
      <c r="CH81" s="22">
        <f t="shared" si="404"/>
        <v>17.267232768375582</v>
      </c>
      <c r="CI81" s="22">
        <f t="shared" si="404"/>
        <v>17.584385879685662</v>
      </c>
      <c r="CJ81" s="22">
        <f t="shared" si="404"/>
        <v>17.926206451299109</v>
      </c>
      <c r="CK81" s="22">
        <f t="shared" si="404"/>
        <v>19.718827096429024</v>
      </c>
      <c r="CM81" s="10">
        <f t="shared" si="401"/>
        <v>0</v>
      </c>
      <c r="CN81" s="10">
        <f t="shared" si="401"/>
        <v>0</v>
      </c>
      <c r="CO81" s="10">
        <f t="shared" si="401"/>
        <v>27.6882538624</v>
      </c>
      <c r="CP81" s="10">
        <f t="shared" si="401"/>
        <v>104.5615041532829</v>
      </c>
      <c r="CQ81" s="10">
        <f t="shared" si="401"/>
        <v>131.50855745280364</v>
      </c>
      <c r="CR81" s="10">
        <f t="shared" si="402"/>
        <v>160.44044009242043</v>
      </c>
      <c r="CS81" s="10">
        <f t="shared" si="402"/>
        <v>195.73733691275294</v>
      </c>
    </row>
    <row r="82" spans="2:97" outlineLevel="1" x14ac:dyDescent="0.2">
      <c r="B82" s="92" t="s">
        <v>45</v>
      </c>
      <c r="C82" s="91" t="s">
        <v>39</v>
      </c>
      <c r="D82" s="229">
        <v>4.4999999999999998E-2</v>
      </c>
      <c r="F82" s="22">
        <f t="shared" ref="F82:K82" si="405">F$39*$D82</f>
        <v>0</v>
      </c>
      <c r="G82" s="22">
        <f t="shared" si="405"/>
        <v>0</v>
      </c>
      <c r="H82" s="22">
        <f t="shared" si="405"/>
        <v>0</v>
      </c>
      <c r="I82" s="22">
        <f t="shared" si="405"/>
        <v>0</v>
      </c>
      <c r="J82" s="22">
        <f t="shared" si="405"/>
        <v>0</v>
      </c>
      <c r="K82" s="22">
        <f t="shared" si="405"/>
        <v>0</v>
      </c>
      <c r="L82" s="22">
        <f>L$39*$D82</f>
        <v>0</v>
      </c>
      <c r="M82" s="22">
        <f t="shared" ref="M82:CK82" si="406">M$39*$D82</f>
        <v>0</v>
      </c>
      <c r="N82" s="22">
        <f t="shared" si="406"/>
        <v>0</v>
      </c>
      <c r="O82" s="22">
        <f t="shared" si="406"/>
        <v>0</v>
      </c>
      <c r="P82" s="22">
        <f t="shared" si="406"/>
        <v>0</v>
      </c>
      <c r="Q82" s="22">
        <f t="shared" si="406"/>
        <v>0</v>
      </c>
      <c r="R82" s="22"/>
      <c r="S82" s="22">
        <f t="shared" si="406"/>
        <v>0</v>
      </c>
      <c r="T82" s="22">
        <f t="shared" si="406"/>
        <v>0</v>
      </c>
      <c r="U82" s="22">
        <f t="shared" si="406"/>
        <v>0</v>
      </c>
      <c r="V82" s="22">
        <f t="shared" si="406"/>
        <v>0</v>
      </c>
      <c r="W82" s="22">
        <f t="shared" si="406"/>
        <v>0</v>
      </c>
      <c r="X82" s="22">
        <f t="shared" si="406"/>
        <v>0</v>
      </c>
      <c r="Y82" s="22">
        <f t="shared" si="406"/>
        <v>0</v>
      </c>
      <c r="Z82" s="22">
        <f t="shared" si="406"/>
        <v>0</v>
      </c>
      <c r="AA82" s="22">
        <f t="shared" si="406"/>
        <v>0</v>
      </c>
      <c r="AB82" s="22">
        <f t="shared" si="406"/>
        <v>0</v>
      </c>
      <c r="AC82" s="22">
        <f t="shared" si="406"/>
        <v>0</v>
      </c>
      <c r="AD82" s="22">
        <f t="shared" si="406"/>
        <v>0</v>
      </c>
      <c r="AE82" s="22">
        <f t="shared" si="406"/>
        <v>0</v>
      </c>
      <c r="AF82" s="22">
        <f t="shared" si="406"/>
        <v>0</v>
      </c>
      <c r="AG82" s="22">
        <f t="shared" si="406"/>
        <v>0</v>
      </c>
      <c r="AH82" s="22">
        <f t="shared" si="406"/>
        <v>0</v>
      </c>
      <c r="AI82" s="22">
        <f t="shared" si="406"/>
        <v>0</v>
      </c>
      <c r="AJ82" s="22">
        <f t="shared" si="406"/>
        <v>12.15</v>
      </c>
      <c r="AK82" s="22">
        <f t="shared" si="406"/>
        <v>32.625</v>
      </c>
      <c r="AL82" s="22">
        <f t="shared" si="406"/>
        <v>36.371249999999996</v>
      </c>
      <c r="AM82" s="22">
        <f t="shared" si="406"/>
        <v>37.098675</v>
      </c>
      <c r="AN82" s="22">
        <f t="shared" si="406"/>
        <v>37.840648499999993</v>
      </c>
      <c r="AO82" s="22">
        <f t="shared" si="406"/>
        <v>38.597461469999999</v>
      </c>
      <c r="AP82" s="22">
        <f t="shared" si="406"/>
        <v>45.375595942499999</v>
      </c>
      <c r="AQ82" s="22">
        <f t="shared" si="406"/>
        <v>49.913155536750004</v>
      </c>
      <c r="AR82" s="22">
        <f t="shared" si="406"/>
        <v>54.904471090425005</v>
      </c>
      <c r="AS82" s="22">
        <f t="shared" si="406"/>
        <v>60.394918199467504</v>
      </c>
      <c r="AT82" s="22">
        <f t="shared" si="406"/>
        <v>61.238528304967787</v>
      </c>
      <c r="AU82" s="22">
        <f t="shared" si="406"/>
        <v>62.140520012445847</v>
      </c>
      <c r="AV82" s="22">
        <f t="shared" si="406"/>
        <v>63.10660158505663</v>
      </c>
      <c r="AW82" s="22">
        <f t="shared" si="406"/>
        <v>64.143051462785309</v>
      </c>
      <c r="AX82" s="22">
        <f t="shared" si="406"/>
        <v>65.256775276882991</v>
      </c>
      <c r="AY82" s="22">
        <f t="shared" si="406"/>
        <v>66.455368565729543</v>
      </c>
      <c r="AZ82" s="22">
        <f t="shared" si="406"/>
        <v>67.747185762266525</v>
      </c>
      <c r="BA82" s="22">
        <f t="shared" si="406"/>
        <v>74.521904338493172</v>
      </c>
      <c r="BB82" s="22">
        <f t="shared" si="406"/>
        <v>62.391444420937503</v>
      </c>
      <c r="BC82" s="22">
        <f t="shared" si="406"/>
        <v>62.391444420937503</v>
      </c>
      <c r="BD82" s="22">
        <f t="shared" si="406"/>
        <v>68.630588863031264</v>
      </c>
      <c r="BE82" s="22">
        <f t="shared" si="406"/>
        <v>75.493647749334386</v>
      </c>
      <c r="BF82" s="22">
        <f t="shared" si="406"/>
        <v>76.548160381209726</v>
      </c>
      <c r="BG82" s="22">
        <f t="shared" si="406"/>
        <v>77.675650015557295</v>
      </c>
      <c r="BH82" s="22">
        <f t="shared" si="406"/>
        <v>78.883251981320782</v>
      </c>
      <c r="BI82" s="22">
        <f t="shared" si="406"/>
        <v>80.17881432848165</v>
      </c>
      <c r="BJ82" s="22">
        <f t="shared" si="406"/>
        <v>81.570969096103752</v>
      </c>
      <c r="BK82" s="22">
        <f t="shared" si="406"/>
        <v>83.069210707161929</v>
      </c>
      <c r="BL82" s="22">
        <f t="shared" si="406"/>
        <v>84.683982202833164</v>
      </c>
      <c r="BM82" s="22">
        <f t="shared" si="406"/>
        <v>93.152380423116483</v>
      </c>
      <c r="BN82" s="22">
        <f t="shared" si="406"/>
        <v>76.117562193543762</v>
      </c>
      <c r="BO82" s="22">
        <f t="shared" si="406"/>
        <v>76.117562193543762</v>
      </c>
      <c r="BP82" s="22">
        <f t="shared" si="406"/>
        <v>83.729318412898124</v>
      </c>
      <c r="BQ82" s="22">
        <f t="shared" si="406"/>
        <v>92.10225025418795</v>
      </c>
      <c r="BR82" s="22">
        <f t="shared" si="406"/>
        <v>93.388755665075848</v>
      </c>
      <c r="BS82" s="22">
        <f t="shared" si="406"/>
        <v>94.764293018979899</v>
      </c>
      <c r="BT82" s="22">
        <f t="shared" si="406"/>
        <v>96.237567417211352</v>
      </c>
      <c r="BU82" s="22">
        <f t="shared" si="406"/>
        <v>97.818153480747611</v>
      </c>
      <c r="BV82" s="22">
        <f t="shared" si="406"/>
        <v>99.516582297246558</v>
      </c>
      <c r="BW82" s="22">
        <f t="shared" si="406"/>
        <v>101.34443706273755</v>
      </c>
      <c r="BX82" s="22">
        <f t="shared" si="406"/>
        <v>103.31445828745645</v>
      </c>
      <c r="BY82" s="22">
        <f t="shared" si="406"/>
        <v>113.6459041162021</v>
      </c>
      <c r="BZ82" s="22">
        <f t="shared" si="406"/>
        <v>92.863425876123401</v>
      </c>
      <c r="CA82" s="22">
        <f t="shared" si="406"/>
        <v>92.863425876123401</v>
      </c>
      <c r="CB82" s="22">
        <f t="shared" si="406"/>
        <v>102.14976846373571</v>
      </c>
      <c r="CC82" s="22">
        <f t="shared" si="406"/>
        <v>112.36474531010933</v>
      </c>
      <c r="CD82" s="22">
        <f t="shared" si="406"/>
        <v>113.93428191139255</v>
      </c>
      <c r="CE82" s="22">
        <f t="shared" si="406"/>
        <v>115.61243748315549</v>
      </c>
      <c r="CF82" s="22">
        <f t="shared" si="406"/>
        <v>117.40983224899786</v>
      </c>
      <c r="CG82" s="22">
        <f t="shared" si="406"/>
        <v>119.33814724651208</v>
      </c>
      <c r="CH82" s="22">
        <f t="shared" si="406"/>
        <v>121.41023040264079</v>
      </c>
      <c r="CI82" s="22">
        <f t="shared" si="406"/>
        <v>123.64021321653979</v>
      </c>
      <c r="CJ82" s="22">
        <f t="shared" si="406"/>
        <v>126.04363911069686</v>
      </c>
      <c r="CK82" s="22">
        <f t="shared" si="406"/>
        <v>138.64800302176656</v>
      </c>
      <c r="CM82" s="10">
        <f t="shared" si="401"/>
        <v>0</v>
      </c>
      <c r="CN82" s="10">
        <f t="shared" si="401"/>
        <v>0</v>
      </c>
      <c r="CO82" s="10">
        <f t="shared" si="401"/>
        <v>194.68303496999999</v>
      </c>
      <c r="CP82" s="10">
        <f t="shared" si="401"/>
        <v>735.19807607777034</v>
      </c>
      <c r="CQ82" s="10">
        <f t="shared" si="401"/>
        <v>924.66954459002534</v>
      </c>
      <c r="CR82" s="10">
        <f t="shared" si="402"/>
        <v>1128.0968443998311</v>
      </c>
      <c r="CS82" s="10">
        <f t="shared" si="402"/>
        <v>1376.2781501677939</v>
      </c>
    </row>
    <row r="83" spans="2:97" x14ac:dyDescent="0.2">
      <c r="B83" s="20" t="s">
        <v>6</v>
      </c>
      <c r="C83" s="23" t="s">
        <v>4</v>
      </c>
      <c r="D83" s="23"/>
      <c r="F83" s="24">
        <f t="shared" ref="F83:K83" si="407">SUM(F80:F82)</f>
        <v>0</v>
      </c>
      <c r="G83" s="24">
        <f t="shared" si="407"/>
        <v>0</v>
      </c>
      <c r="H83" s="24">
        <f t="shared" si="407"/>
        <v>0</v>
      </c>
      <c r="I83" s="24">
        <f t="shared" si="407"/>
        <v>0</v>
      </c>
      <c r="J83" s="24">
        <f t="shared" si="407"/>
        <v>0</v>
      </c>
      <c r="K83" s="24">
        <f t="shared" si="407"/>
        <v>0</v>
      </c>
      <c r="L83" s="24">
        <f t="shared" ref="L83:AQ83" si="408">SUM(L80:L82)</f>
        <v>0</v>
      </c>
      <c r="M83" s="24">
        <f t="shared" si="408"/>
        <v>0</v>
      </c>
      <c r="N83" s="24">
        <f t="shared" si="408"/>
        <v>0</v>
      </c>
      <c r="O83" s="24">
        <f t="shared" si="408"/>
        <v>0</v>
      </c>
      <c r="P83" s="24">
        <f t="shared" si="408"/>
        <v>0</v>
      </c>
      <c r="Q83" s="24">
        <f t="shared" si="408"/>
        <v>0</v>
      </c>
      <c r="R83" s="24">
        <f t="shared" si="408"/>
        <v>0</v>
      </c>
      <c r="S83" s="24">
        <f t="shared" si="408"/>
        <v>0</v>
      </c>
      <c r="T83" s="24">
        <f t="shared" si="408"/>
        <v>0</v>
      </c>
      <c r="U83" s="24">
        <f t="shared" si="408"/>
        <v>0</v>
      </c>
      <c r="V83" s="24">
        <f t="shared" si="408"/>
        <v>0</v>
      </c>
      <c r="W83" s="24">
        <f t="shared" si="408"/>
        <v>0</v>
      </c>
      <c r="X83" s="24">
        <f t="shared" si="408"/>
        <v>0</v>
      </c>
      <c r="Y83" s="24">
        <f t="shared" si="408"/>
        <v>0</v>
      </c>
      <c r="Z83" s="24">
        <f t="shared" si="408"/>
        <v>0</v>
      </c>
      <c r="AA83" s="24">
        <f t="shared" si="408"/>
        <v>0</v>
      </c>
      <c r="AB83" s="24">
        <f t="shared" si="408"/>
        <v>0</v>
      </c>
      <c r="AC83" s="24">
        <f t="shared" si="408"/>
        <v>0</v>
      </c>
      <c r="AD83" s="24">
        <f t="shared" si="408"/>
        <v>0</v>
      </c>
      <c r="AE83" s="24">
        <f t="shared" si="408"/>
        <v>0</v>
      </c>
      <c r="AF83" s="24">
        <f t="shared" si="408"/>
        <v>0</v>
      </c>
      <c r="AG83" s="24">
        <f t="shared" si="408"/>
        <v>0</v>
      </c>
      <c r="AH83" s="24">
        <f t="shared" si="408"/>
        <v>0</v>
      </c>
      <c r="AI83" s="24">
        <f t="shared" si="408"/>
        <v>0</v>
      </c>
      <c r="AJ83" s="24">
        <f t="shared" si="408"/>
        <v>68.878</v>
      </c>
      <c r="AK83" s="24">
        <f t="shared" si="408"/>
        <v>92.265000000000001</v>
      </c>
      <c r="AL83" s="24">
        <f t="shared" si="408"/>
        <v>96.544049999999999</v>
      </c>
      <c r="AM83" s="24">
        <f t="shared" si="408"/>
        <v>97.374931000000004</v>
      </c>
      <c r="AN83" s="24">
        <f t="shared" si="408"/>
        <v>98.222429619999986</v>
      </c>
      <c r="AO83" s="24">
        <f t="shared" si="408"/>
        <v>99.086878212399995</v>
      </c>
      <c r="AP83" s="24">
        <f t="shared" si="408"/>
        <v>111.82901403210001</v>
      </c>
      <c r="AQ83" s="24">
        <f t="shared" si="408"/>
        <v>117.01191543531002</v>
      </c>
      <c r="AR83" s="24">
        <f t="shared" ref="AR83:BU83" si="409">SUM(AR80:AR82)</f>
        <v>122.71310697884101</v>
      </c>
      <c r="AS83" s="24">
        <f t="shared" si="409"/>
        <v>128.98441767672512</v>
      </c>
      <c r="AT83" s="24">
        <f t="shared" si="409"/>
        <v>129.94800788611877</v>
      </c>
      <c r="AU83" s="24">
        <f t="shared" si="409"/>
        <v>130.97828285866035</v>
      </c>
      <c r="AV83" s="24">
        <f t="shared" si="409"/>
        <v>132.08176269937579</v>
      </c>
      <c r="AW83" s="24">
        <f t="shared" si="409"/>
        <v>133.26561878193701</v>
      </c>
      <c r="AX83" s="24">
        <f t="shared" si="409"/>
        <v>144.53773887181745</v>
      </c>
      <c r="AY83" s="24">
        <f t="shared" si="409"/>
        <v>145.90679876174443</v>
      </c>
      <c r="AZ83" s="24">
        <f t="shared" si="409"/>
        <v>147.38234107067777</v>
      </c>
      <c r="BA83" s="24">
        <f t="shared" si="409"/>
        <v>155.12057517774554</v>
      </c>
      <c r="BB83" s="24">
        <f t="shared" si="409"/>
        <v>141.26489429413749</v>
      </c>
      <c r="BC83" s="24">
        <f t="shared" si="409"/>
        <v>141.26489429413749</v>
      </c>
      <c r="BD83" s="24">
        <f t="shared" si="409"/>
        <v>148.39138372355126</v>
      </c>
      <c r="BE83" s="24">
        <f t="shared" si="409"/>
        <v>156.23052209590639</v>
      </c>
      <c r="BF83" s="24">
        <f t="shared" si="409"/>
        <v>157.43500985764842</v>
      </c>
      <c r="BG83" s="24">
        <f t="shared" si="409"/>
        <v>158.72285357332544</v>
      </c>
      <c r="BH83" s="24">
        <f t="shared" si="409"/>
        <v>160.10220337421976</v>
      </c>
      <c r="BI83" s="24">
        <f t="shared" si="409"/>
        <v>161.58202347742127</v>
      </c>
      <c r="BJ83" s="24">
        <f t="shared" si="409"/>
        <v>163.17217358977183</v>
      </c>
      <c r="BK83" s="24">
        <f t="shared" si="409"/>
        <v>164.8834984521805</v>
      </c>
      <c r="BL83" s="24">
        <f t="shared" si="409"/>
        <v>166.72792633834723</v>
      </c>
      <c r="BM83" s="24">
        <f t="shared" si="409"/>
        <v>176.40071897218195</v>
      </c>
      <c r="BN83" s="24">
        <f t="shared" si="409"/>
        <v>156.94317103884777</v>
      </c>
      <c r="BO83" s="24">
        <f t="shared" si="409"/>
        <v>156.94317103884777</v>
      </c>
      <c r="BP83" s="24">
        <f t="shared" si="409"/>
        <v>165.63748814273254</v>
      </c>
      <c r="BQ83" s="24">
        <f t="shared" si="409"/>
        <v>175.20123695700579</v>
      </c>
      <c r="BR83" s="24">
        <f t="shared" si="409"/>
        <v>176.67071202633107</v>
      </c>
      <c r="BS83" s="24">
        <f t="shared" si="409"/>
        <v>178.24188135945704</v>
      </c>
      <c r="BT83" s="24">
        <f t="shared" si="409"/>
        <v>179.92468811654808</v>
      </c>
      <c r="BU83" s="24">
        <f t="shared" si="409"/>
        <v>181.73006864245394</v>
      </c>
      <c r="BV83" s="24">
        <f t="shared" ref="BV83:BX83" si="410">SUM(BV80:BV82)</f>
        <v>183.67005177952163</v>
      </c>
      <c r="BW83" s="24">
        <f t="shared" si="410"/>
        <v>185.75786811166023</v>
      </c>
      <c r="BX83" s="24">
        <f t="shared" si="410"/>
        <v>188.00807013278359</v>
      </c>
      <c r="BY83" s="24">
        <f t="shared" ref="BY83:CK83" si="411">SUM(BY80:BY82)</f>
        <v>199.80887714606195</v>
      </c>
      <c r="BZ83" s="24">
        <f t="shared" si="411"/>
        <v>176.07066866739427</v>
      </c>
      <c r="CA83" s="24">
        <f t="shared" si="411"/>
        <v>176.07066866739427</v>
      </c>
      <c r="CB83" s="24">
        <f t="shared" si="411"/>
        <v>186.67773553413366</v>
      </c>
      <c r="CC83" s="24">
        <f t="shared" si="411"/>
        <v>198.3455090875471</v>
      </c>
      <c r="CD83" s="24">
        <f t="shared" si="411"/>
        <v>200.13826867212393</v>
      </c>
      <c r="CE83" s="24">
        <f t="shared" si="411"/>
        <v>202.05509525853762</v>
      </c>
      <c r="CF83" s="24">
        <f t="shared" si="411"/>
        <v>204.10811950218869</v>
      </c>
      <c r="CG83" s="24">
        <f t="shared" si="411"/>
        <v>206.31068374379379</v>
      </c>
      <c r="CH83" s="24">
        <f t="shared" si="411"/>
        <v>208.67746317101637</v>
      </c>
      <c r="CI83" s="24">
        <f t="shared" si="411"/>
        <v>211.22459909622546</v>
      </c>
      <c r="CJ83" s="24">
        <f t="shared" si="411"/>
        <v>213.96984556199595</v>
      </c>
      <c r="CK83" s="24">
        <f t="shared" si="411"/>
        <v>228.36683011819559</v>
      </c>
      <c r="CM83" s="24">
        <f t="shared" si="401"/>
        <v>0</v>
      </c>
      <c r="CN83" s="24">
        <f t="shared" si="401"/>
        <v>0</v>
      </c>
      <c r="CO83" s="24">
        <f t="shared" si="401"/>
        <v>552.37128883240007</v>
      </c>
      <c r="CP83" s="24">
        <f t="shared" si="401"/>
        <v>1599.7595802310534</v>
      </c>
      <c r="CQ83" s="24">
        <f t="shared" si="401"/>
        <v>1896.1781020428289</v>
      </c>
      <c r="CR83" s="24">
        <f t="shared" si="402"/>
        <v>2128.5372844922513</v>
      </c>
      <c r="CS83" s="24">
        <f t="shared" si="402"/>
        <v>2412.0154870805463</v>
      </c>
    </row>
    <row r="86" spans="2:97" x14ac:dyDescent="0.2">
      <c r="B86" s="12" t="s">
        <v>67</v>
      </c>
    </row>
    <row r="87" spans="2:97" x14ac:dyDescent="0.2">
      <c r="B87" s="200" t="s">
        <v>1</v>
      </c>
      <c r="C87" s="200" t="s">
        <v>2</v>
      </c>
      <c r="D87" s="102" t="s">
        <v>38</v>
      </c>
      <c r="F87" s="201">
        <f t="shared" ref="F87:K87" si="412">F79</f>
        <v>45292</v>
      </c>
      <c r="G87" s="201">
        <f t="shared" si="412"/>
        <v>45323</v>
      </c>
      <c r="H87" s="201">
        <f t="shared" si="412"/>
        <v>45352</v>
      </c>
      <c r="I87" s="201">
        <f t="shared" si="412"/>
        <v>45383</v>
      </c>
      <c r="J87" s="201">
        <f t="shared" si="412"/>
        <v>45413</v>
      </c>
      <c r="K87" s="201">
        <f t="shared" si="412"/>
        <v>45444</v>
      </c>
      <c r="L87" s="201">
        <f>L79</f>
        <v>45474</v>
      </c>
      <c r="M87" s="201">
        <f t="shared" ref="M87:BU87" si="413">M79</f>
        <v>45505</v>
      </c>
      <c r="N87" s="201">
        <f t="shared" si="413"/>
        <v>45536</v>
      </c>
      <c r="O87" s="201">
        <f t="shared" si="413"/>
        <v>45566</v>
      </c>
      <c r="P87" s="201">
        <f t="shared" si="413"/>
        <v>45597</v>
      </c>
      <c r="Q87" s="201">
        <f t="shared" si="413"/>
        <v>45627</v>
      </c>
      <c r="R87" s="201">
        <f t="shared" si="413"/>
        <v>45658</v>
      </c>
      <c r="S87" s="201">
        <f t="shared" si="413"/>
        <v>45689</v>
      </c>
      <c r="T87" s="201">
        <f t="shared" si="413"/>
        <v>45717</v>
      </c>
      <c r="U87" s="201">
        <f t="shared" si="413"/>
        <v>45748</v>
      </c>
      <c r="V87" s="201">
        <f t="shared" si="413"/>
        <v>45778</v>
      </c>
      <c r="W87" s="201">
        <f t="shared" si="413"/>
        <v>45809</v>
      </c>
      <c r="X87" s="201">
        <f t="shared" si="413"/>
        <v>45839</v>
      </c>
      <c r="Y87" s="201">
        <f t="shared" si="413"/>
        <v>45870</v>
      </c>
      <c r="Z87" s="201">
        <f t="shared" si="413"/>
        <v>45901</v>
      </c>
      <c r="AA87" s="201">
        <f t="shared" si="413"/>
        <v>45931</v>
      </c>
      <c r="AB87" s="201">
        <f t="shared" si="413"/>
        <v>45962</v>
      </c>
      <c r="AC87" s="201">
        <f t="shared" si="413"/>
        <v>45992</v>
      </c>
      <c r="AD87" s="201">
        <f t="shared" si="413"/>
        <v>46023</v>
      </c>
      <c r="AE87" s="201">
        <f t="shared" si="413"/>
        <v>46054</v>
      </c>
      <c r="AF87" s="201">
        <f t="shared" si="413"/>
        <v>46082</v>
      </c>
      <c r="AG87" s="201">
        <f t="shared" si="413"/>
        <v>46113</v>
      </c>
      <c r="AH87" s="201">
        <f t="shared" si="413"/>
        <v>46143</v>
      </c>
      <c r="AI87" s="201">
        <f t="shared" si="413"/>
        <v>46174</v>
      </c>
      <c r="AJ87" s="201">
        <f t="shared" si="413"/>
        <v>46204</v>
      </c>
      <c r="AK87" s="201">
        <f t="shared" si="413"/>
        <v>46235</v>
      </c>
      <c r="AL87" s="201">
        <f t="shared" si="413"/>
        <v>46266</v>
      </c>
      <c r="AM87" s="201">
        <f t="shared" si="413"/>
        <v>46296</v>
      </c>
      <c r="AN87" s="201">
        <f t="shared" si="413"/>
        <v>46327</v>
      </c>
      <c r="AO87" s="201">
        <f t="shared" si="413"/>
        <v>46357</v>
      </c>
      <c r="AP87" s="201">
        <f t="shared" si="413"/>
        <v>46388</v>
      </c>
      <c r="AQ87" s="201">
        <f t="shared" si="413"/>
        <v>46419</v>
      </c>
      <c r="AR87" s="201">
        <f t="shared" si="413"/>
        <v>46447</v>
      </c>
      <c r="AS87" s="201">
        <f t="shared" si="413"/>
        <v>46478</v>
      </c>
      <c r="AT87" s="201">
        <f t="shared" si="413"/>
        <v>46508</v>
      </c>
      <c r="AU87" s="201">
        <f t="shared" si="413"/>
        <v>46539</v>
      </c>
      <c r="AV87" s="201">
        <f t="shared" si="413"/>
        <v>46569</v>
      </c>
      <c r="AW87" s="201">
        <f t="shared" si="413"/>
        <v>46600</v>
      </c>
      <c r="AX87" s="201">
        <f t="shared" si="413"/>
        <v>46631</v>
      </c>
      <c r="AY87" s="201">
        <f t="shared" si="413"/>
        <v>46661</v>
      </c>
      <c r="AZ87" s="201">
        <f t="shared" si="413"/>
        <v>46692</v>
      </c>
      <c r="BA87" s="201">
        <f t="shared" si="413"/>
        <v>46722</v>
      </c>
      <c r="BB87" s="201">
        <f t="shared" si="413"/>
        <v>46753</v>
      </c>
      <c r="BC87" s="201">
        <f t="shared" si="413"/>
        <v>46784</v>
      </c>
      <c r="BD87" s="201">
        <f t="shared" si="413"/>
        <v>46813</v>
      </c>
      <c r="BE87" s="201">
        <f t="shared" si="413"/>
        <v>46844</v>
      </c>
      <c r="BF87" s="201">
        <f t="shared" si="413"/>
        <v>46874</v>
      </c>
      <c r="BG87" s="201">
        <f t="shared" si="413"/>
        <v>46905</v>
      </c>
      <c r="BH87" s="201">
        <f t="shared" si="413"/>
        <v>46935</v>
      </c>
      <c r="BI87" s="201">
        <f t="shared" si="413"/>
        <v>46966</v>
      </c>
      <c r="BJ87" s="201">
        <f t="shared" si="413"/>
        <v>46997</v>
      </c>
      <c r="BK87" s="201">
        <f t="shared" si="413"/>
        <v>47027</v>
      </c>
      <c r="BL87" s="201">
        <f t="shared" si="413"/>
        <v>47058</v>
      </c>
      <c r="BM87" s="201">
        <f t="shared" si="413"/>
        <v>47088</v>
      </c>
      <c r="BN87" s="201">
        <f t="shared" si="413"/>
        <v>47119</v>
      </c>
      <c r="BO87" s="201">
        <f t="shared" si="413"/>
        <v>47150</v>
      </c>
      <c r="BP87" s="201">
        <f t="shared" si="413"/>
        <v>47178</v>
      </c>
      <c r="BQ87" s="201">
        <f t="shared" si="413"/>
        <v>47209</v>
      </c>
      <c r="BR87" s="201">
        <f t="shared" si="413"/>
        <v>47239</v>
      </c>
      <c r="BS87" s="201">
        <f t="shared" si="413"/>
        <v>47270</v>
      </c>
      <c r="BT87" s="201">
        <f t="shared" si="413"/>
        <v>47300</v>
      </c>
      <c r="BU87" s="201">
        <f t="shared" si="413"/>
        <v>47331</v>
      </c>
      <c r="BV87" s="201">
        <f t="shared" ref="BV87:BX87" si="414">BV79</f>
        <v>47362</v>
      </c>
      <c r="BW87" s="201">
        <f t="shared" si="414"/>
        <v>47392</v>
      </c>
      <c r="BX87" s="201">
        <f t="shared" si="414"/>
        <v>47423</v>
      </c>
      <c r="BY87" s="201">
        <f t="shared" ref="BY87:CK87" si="415">BY79</f>
        <v>47453</v>
      </c>
      <c r="BZ87" s="201">
        <f t="shared" si="415"/>
        <v>47484</v>
      </c>
      <c r="CA87" s="201">
        <f t="shared" si="415"/>
        <v>47515</v>
      </c>
      <c r="CB87" s="201">
        <f t="shared" si="415"/>
        <v>47543</v>
      </c>
      <c r="CC87" s="201">
        <f t="shared" si="415"/>
        <v>47574</v>
      </c>
      <c r="CD87" s="201">
        <f t="shared" si="415"/>
        <v>47604</v>
      </c>
      <c r="CE87" s="201">
        <f t="shared" si="415"/>
        <v>47635</v>
      </c>
      <c r="CF87" s="201">
        <f t="shared" si="415"/>
        <v>47665</v>
      </c>
      <c r="CG87" s="201">
        <f t="shared" si="415"/>
        <v>47696</v>
      </c>
      <c r="CH87" s="201">
        <f t="shared" si="415"/>
        <v>47727</v>
      </c>
      <c r="CI87" s="201">
        <f t="shared" si="415"/>
        <v>47757</v>
      </c>
      <c r="CJ87" s="201">
        <f t="shared" si="415"/>
        <v>47788</v>
      </c>
      <c r="CK87" s="201">
        <f t="shared" si="415"/>
        <v>47818</v>
      </c>
      <c r="CM87" s="202">
        <f>CM3</f>
        <v>2024</v>
      </c>
      <c r="CN87" s="202">
        <f>CM87+1</f>
        <v>2025</v>
      </c>
      <c r="CO87" s="202">
        <f t="shared" ref="CO87" si="416">CN87+1</f>
        <v>2026</v>
      </c>
      <c r="CP87" s="202">
        <f t="shared" ref="CP87" si="417">CO87+1</f>
        <v>2027</v>
      </c>
      <c r="CQ87" s="202">
        <f t="shared" ref="CQ87" si="418">CP87+1</f>
        <v>2028</v>
      </c>
      <c r="CR87" s="202">
        <f t="shared" ref="CR87" si="419">CQ87+1</f>
        <v>2029</v>
      </c>
      <c r="CS87" s="202">
        <f t="shared" ref="CS87" si="420">CR87+1</f>
        <v>2030</v>
      </c>
    </row>
    <row r="88" spans="2:97" outlineLevel="1" x14ac:dyDescent="0.2">
      <c r="B88" s="92" t="s">
        <v>47</v>
      </c>
      <c r="C88" s="97" t="s">
        <v>4</v>
      </c>
      <c r="D88" s="9"/>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f t="shared" ref="CM88:CS91" si="421">SUMIF($L$2:$CK$2,CM$3,$L88:$CK88)</f>
        <v>0</v>
      </c>
      <c r="CN88" s="10">
        <f t="shared" si="421"/>
        <v>0</v>
      </c>
      <c r="CO88" s="10">
        <f t="shared" si="421"/>
        <v>0</v>
      </c>
      <c r="CP88" s="10">
        <f t="shared" si="421"/>
        <v>0</v>
      </c>
      <c r="CQ88" s="10">
        <f t="shared" si="421"/>
        <v>0</v>
      </c>
      <c r="CR88" s="10">
        <f t="shared" si="421"/>
        <v>0</v>
      </c>
      <c r="CS88" s="10">
        <f t="shared" si="421"/>
        <v>0</v>
      </c>
    </row>
    <row r="89" spans="2:97" outlineLevel="1" x14ac:dyDescent="0.2">
      <c r="B89" s="92" t="s">
        <v>22</v>
      </c>
      <c r="C89" s="97" t="s">
        <v>4</v>
      </c>
      <c r="D89" s="9"/>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f t="shared" si="421"/>
        <v>0</v>
      </c>
      <c r="CN89" s="10">
        <f t="shared" si="421"/>
        <v>0</v>
      </c>
      <c r="CO89" s="10">
        <f t="shared" si="421"/>
        <v>0</v>
      </c>
      <c r="CP89" s="10">
        <f t="shared" si="421"/>
        <v>0</v>
      </c>
      <c r="CQ89" s="10">
        <f t="shared" si="421"/>
        <v>0</v>
      </c>
      <c r="CR89" s="10">
        <f t="shared" si="421"/>
        <v>0</v>
      </c>
      <c r="CS89" s="10">
        <f t="shared" si="421"/>
        <v>0</v>
      </c>
    </row>
    <row r="90" spans="2:97" outlineLevel="1" x14ac:dyDescent="0.2">
      <c r="B90" s="92" t="s">
        <v>48</v>
      </c>
      <c r="C90" s="97" t="s">
        <v>4</v>
      </c>
      <c r="D90" s="9"/>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f t="shared" si="421"/>
        <v>0</v>
      </c>
      <c r="CN90" s="10">
        <f t="shared" si="421"/>
        <v>0</v>
      </c>
      <c r="CO90" s="10">
        <f t="shared" si="421"/>
        <v>0</v>
      </c>
      <c r="CP90" s="10">
        <f t="shared" si="421"/>
        <v>0</v>
      </c>
      <c r="CQ90" s="10">
        <f t="shared" si="421"/>
        <v>0</v>
      </c>
      <c r="CR90" s="10">
        <f t="shared" si="421"/>
        <v>0</v>
      </c>
      <c r="CS90" s="10">
        <f t="shared" si="421"/>
        <v>0</v>
      </c>
    </row>
    <row r="91" spans="2:97" x14ac:dyDescent="0.2">
      <c r="B91" s="20" t="s">
        <v>6</v>
      </c>
      <c r="C91" s="23" t="s">
        <v>4</v>
      </c>
      <c r="D91" s="102"/>
      <c r="F91" s="24">
        <f t="shared" ref="F91:K91" si="422">SUM(F88:F90)</f>
        <v>0</v>
      </c>
      <c r="G91" s="24">
        <f t="shared" si="422"/>
        <v>0</v>
      </c>
      <c r="H91" s="24">
        <f t="shared" si="422"/>
        <v>0</v>
      </c>
      <c r="I91" s="24">
        <f t="shared" si="422"/>
        <v>0</v>
      </c>
      <c r="J91" s="24">
        <f t="shared" si="422"/>
        <v>0</v>
      </c>
      <c r="K91" s="24">
        <f t="shared" si="422"/>
        <v>0</v>
      </c>
      <c r="L91" s="24">
        <f>SUM(L88:L90)</f>
        <v>0</v>
      </c>
      <c r="M91" s="24">
        <f t="shared" ref="M91:AW91" si="423">SUM(M88:M90)</f>
        <v>0</v>
      </c>
      <c r="N91" s="24">
        <f t="shared" si="423"/>
        <v>0</v>
      </c>
      <c r="O91" s="24">
        <f t="shared" si="423"/>
        <v>0</v>
      </c>
      <c r="P91" s="24">
        <f t="shared" si="423"/>
        <v>0</v>
      </c>
      <c r="Q91" s="24">
        <f t="shared" si="423"/>
        <v>0</v>
      </c>
      <c r="R91" s="24">
        <f t="shared" si="423"/>
        <v>0</v>
      </c>
      <c r="S91" s="24">
        <f t="shared" si="423"/>
        <v>0</v>
      </c>
      <c r="T91" s="24">
        <f t="shared" si="423"/>
        <v>0</v>
      </c>
      <c r="U91" s="24">
        <f t="shared" si="423"/>
        <v>0</v>
      </c>
      <c r="V91" s="24">
        <f t="shared" si="423"/>
        <v>0</v>
      </c>
      <c r="W91" s="24">
        <f t="shared" si="423"/>
        <v>0</v>
      </c>
      <c r="X91" s="24">
        <f t="shared" si="423"/>
        <v>0</v>
      </c>
      <c r="Y91" s="24">
        <f t="shared" si="423"/>
        <v>0</v>
      </c>
      <c r="Z91" s="24">
        <f t="shared" si="423"/>
        <v>0</v>
      </c>
      <c r="AA91" s="24">
        <f t="shared" si="423"/>
        <v>0</v>
      </c>
      <c r="AB91" s="24">
        <f t="shared" si="423"/>
        <v>0</v>
      </c>
      <c r="AC91" s="24">
        <f t="shared" si="423"/>
        <v>0</v>
      </c>
      <c r="AD91" s="24">
        <f t="shared" si="423"/>
        <v>0</v>
      </c>
      <c r="AE91" s="24">
        <f t="shared" si="423"/>
        <v>0</v>
      </c>
      <c r="AF91" s="24">
        <f t="shared" si="423"/>
        <v>0</v>
      </c>
      <c r="AG91" s="24">
        <f t="shared" si="423"/>
        <v>0</v>
      </c>
      <c r="AH91" s="24">
        <f t="shared" si="423"/>
        <v>0</v>
      </c>
      <c r="AI91" s="24">
        <f t="shared" si="423"/>
        <v>0</v>
      </c>
      <c r="AJ91" s="24">
        <f t="shared" si="423"/>
        <v>0</v>
      </c>
      <c r="AK91" s="24">
        <f t="shared" si="423"/>
        <v>0</v>
      </c>
      <c r="AL91" s="24">
        <f t="shared" si="423"/>
        <v>0</v>
      </c>
      <c r="AM91" s="24">
        <f t="shared" si="423"/>
        <v>0</v>
      </c>
      <c r="AN91" s="24">
        <f t="shared" si="423"/>
        <v>0</v>
      </c>
      <c r="AO91" s="24">
        <f t="shared" si="423"/>
        <v>0</v>
      </c>
      <c r="AP91" s="24">
        <f t="shared" si="423"/>
        <v>0</v>
      </c>
      <c r="AQ91" s="24">
        <f t="shared" si="423"/>
        <v>0</v>
      </c>
      <c r="AR91" s="24">
        <f t="shared" si="423"/>
        <v>0</v>
      </c>
      <c r="AS91" s="24">
        <f t="shared" si="423"/>
        <v>0</v>
      </c>
      <c r="AT91" s="24">
        <f t="shared" si="423"/>
        <v>0</v>
      </c>
      <c r="AU91" s="24">
        <f t="shared" si="423"/>
        <v>0</v>
      </c>
      <c r="AV91" s="24">
        <f t="shared" si="423"/>
        <v>0</v>
      </c>
      <c r="AW91" s="24">
        <f t="shared" si="423"/>
        <v>0</v>
      </c>
      <c r="AX91" s="24">
        <f t="shared" ref="AX91:BU91" si="424">SUM(AX88:AX90)</f>
        <v>0</v>
      </c>
      <c r="AY91" s="24">
        <f t="shared" si="424"/>
        <v>0</v>
      </c>
      <c r="AZ91" s="24">
        <f t="shared" si="424"/>
        <v>0</v>
      </c>
      <c r="BA91" s="24">
        <f t="shared" si="424"/>
        <v>0</v>
      </c>
      <c r="BB91" s="24">
        <f t="shared" si="424"/>
        <v>0</v>
      </c>
      <c r="BC91" s="24">
        <f t="shared" si="424"/>
        <v>0</v>
      </c>
      <c r="BD91" s="24">
        <f t="shared" si="424"/>
        <v>0</v>
      </c>
      <c r="BE91" s="24">
        <f t="shared" si="424"/>
        <v>0</v>
      </c>
      <c r="BF91" s="24">
        <f t="shared" si="424"/>
        <v>0</v>
      </c>
      <c r="BG91" s="24">
        <f t="shared" si="424"/>
        <v>0</v>
      </c>
      <c r="BH91" s="24">
        <f t="shared" si="424"/>
        <v>0</v>
      </c>
      <c r="BI91" s="24">
        <f t="shared" si="424"/>
        <v>0</v>
      </c>
      <c r="BJ91" s="24">
        <f t="shared" si="424"/>
        <v>0</v>
      </c>
      <c r="BK91" s="24">
        <f t="shared" si="424"/>
        <v>0</v>
      </c>
      <c r="BL91" s="24">
        <f t="shared" si="424"/>
        <v>0</v>
      </c>
      <c r="BM91" s="24">
        <f t="shared" si="424"/>
        <v>0</v>
      </c>
      <c r="BN91" s="24">
        <f t="shared" si="424"/>
        <v>0</v>
      </c>
      <c r="BO91" s="24">
        <f t="shared" si="424"/>
        <v>0</v>
      </c>
      <c r="BP91" s="24">
        <f t="shared" si="424"/>
        <v>0</v>
      </c>
      <c r="BQ91" s="24">
        <f t="shared" si="424"/>
        <v>0</v>
      </c>
      <c r="BR91" s="24">
        <f t="shared" si="424"/>
        <v>0</v>
      </c>
      <c r="BS91" s="24">
        <f t="shared" si="424"/>
        <v>0</v>
      </c>
      <c r="BT91" s="24">
        <f t="shared" si="424"/>
        <v>0</v>
      </c>
      <c r="BU91" s="24">
        <f t="shared" si="424"/>
        <v>0</v>
      </c>
      <c r="BV91" s="24">
        <f t="shared" ref="BV91:BX91" si="425">SUM(BV88:BV90)</f>
        <v>0</v>
      </c>
      <c r="BW91" s="24">
        <f t="shared" si="425"/>
        <v>0</v>
      </c>
      <c r="BX91" s="24">
        <f t="shared" si="425"/>
        <v>0</v>
      </c>
      <c r="BY91" s="24">
        <f t="shared" ref="BY91:CK91" si="426">SUM(BY88:BY90)</f>
        <v>0</v>
      </c>
      <c r="BZ91" s="24">
        <f t="shared" si="426"/>
        <v>0</v>
      </c>
      <c r="CA91" s="24">
        <f t="shared" si="426"/>
        <v>0</v>
      </c>
      <c r="CB91" s="24">
        <f t="shared" si="426"/>
        <v>0</v>
      </c>
      <c r="CC91" s="24">
        <f t="shared" si="426"/>
        <v>0</v>
      </c>
      <c r="CD91" s="24">
        <f t="shared" si="426"/>
        <v>0</v>
      </c>
      <c r="CE91" s="24">
        <f t="shared" si="426"/>
        <v>0</v>
      </c>
      <c r="CF91" s="24">
        <f t="shared" si="426"/>
        <v>0</v>
      </c>
      <c r="CG91" s="24">
        <f t="shared" si="426"/>
        <v>0</v>
      </c>
      <c r="CH91" s="24">
        <f t="shared" si="426"/>
        <v>0</v>
      </c>
      <c r="CI91" s="24">
        <f t="shared" si="426"/>
        <v>0</v>
      </c>
      <c r="CJ91" s="24">
        <f t="shared" si="426"/>
        <v>0</v>
      </c>
      <c r="CK91" s="24">
        <f t="shared" si="426"/>
        <v>0</v>
      </c>
      <c r="CM91" s="24">
        <f t="shared" si="421"/>
        <v>0</v>
      </c>
      <c r="CN91" s="24">
        <f t="shared" si="421"/>
        <v>0</v>
      </c>
      <c r="CO91" s="24">
        <f t="shared" si="421"/>
        <v>0</v>
      </c>
      <c r="CP91" s="24">
        <f t="shared" si="421"/>
        <v>0</v>
      </c>
      <c r="CQ91" s="24">
        <f t="shared" si="421"/>
        <v>0</v>
      </c>
      <c r="CR91" s="24">
        <f t="shared" si="421"/>
        <v>0</v>
      </c>
      <c r="CS91" s="24">
        <f t="shared" si="421"/>
        <v>0</v>
      </c>
    </row>
    <row r="93" spans="2:97" s="27" customFormat="1" x14ac:dyDescent="0.2">
      <c r="B93" s="27" t="s">
        <v>88</v>
      </c>
      <c r="F93" s="28">
        <f t="shared" ref="F93:K93" si="427">F39/1.2*0.2-F75/1.2*0.2-F91/1.2*0.2</f>
        <v>0</v>
      </c>
      <c r="G93" s="28">
        <f t="shared" si="427"/>
        <v>0</v>
      </c>
      <c r="H93" s="28">
        <f t="shared" si="427"/>
        <v>0</v>
      </c>
      <c r="I93" s="28">
        <f t="shared" si="427"/>
        <v>0</v>
      </c>
      <c r="J93" s="28">
        <f t="shared" si="427"/>
        <v>0</v>
      </c>
      <c r="K93" s="28">
        <f t="shared" si="427"/>
        <v>0</v>
      </c>
      <c r="L93" s="28">
        <f t="shared" ref="L93:AQ93" si="428">L39/1.2*0.2-L75/1.2*0.2-L91/1.2*0.2</f>
        <v>0</v>
      </c>
      <c r="M93" s="28">
        <f t="shared" si="428"/>
        <v>0</v>
      </c>
      <c r="N93" s="28">
        <f t="shared" si="428"/>
        <v>0</v>
      </c>
      <c r="O93" s="28">
        <f t="shared" si="428"/>
        <v>0</v>
      </c>
      <c r="P93" s="28">
        <f t="shared" si="428"/>
        <v>0</v>
      </c>
      <c r="Q93" s="28">
        <f t="shared" si="428"/>
        <v>0</v>
      </c>
      <c r="R93" s="28">
        <f t="shared" si="428"/>
        <v>0</v>
      </c>
      <c r="S93" s="28">
        <f t="shared" si="428"/>
        <v>0</v>
      </c>
      <c r="T93" s="28">
        <f t="shared" si="428"/>
        <v>0</v>
      </c>
      <c r="U93" s="28">
        <f t="shared" si="428"/>
        <v>0</v>
      </c>
      <c r="V93" s="28">
        <f t="shared" si="428"/>
        <v>0</v>
      </c>
      <c r="W93" s="28">
        <f t="shared" si="428"/>
        <v>0</v>
      </c>
      <c r="X93" s="28">
        <f t="shared" si="428"/>
        <v>0</v>
      </c>
      <c r="Y93" s="28">
        <f t="shared" si="428"/>
        <v>0</v>
      </c>
      <c r="Z93" s="28">
        <f t="shared" si="428"/>
        <v>0</v>
      </c>
      <c r="AA93" s="28">
        <f t="shared" si="428"/>
        <v>0</v>
      </c>
      <c r="AB93" s="28">
        <f t="shared" si="428"/>
        <v>0</v>
      </c>
      <c r="AC93" s="28">
        <f t="shared" si="428"/>
        <v>0</v>
      </c>
      <c r="AD93" s="28">
        <f t="shared" si="428"/>
        <v>0</v>
      </c>
      <c r="AE93" s="28">
        <f t="shared" si="428"/>
        <v>0</v>
      </c>
      <c r="AF93" s="28">
        <f t="shared" si="428"/>
        <v>0</v>
      </c>
      <c r="AG93" s="28">
        <f t="shared" si="428"/>
        <v>0</v>
      </c>
      <c r="AH93" s="28">
        <f t="shared" si="428"/>
        <v>0</v>
      </c>
      <c r="AI93" s="28">
        <f t="shared" si="428"/>
        <v>0</v>
      </c>
      <c r="AJ93" s="28">
        <f t="shared" si="428"/>
        <v>-162.98333333333335</v>
      </c>
      <c r="AK93" s="28">
        <f t="shared" si="428"/>
        <v>-129.625</v>
      </c>
      <c r="AL93" s="28">
        <f t="shared" si="428"/>
        <v>-125.04624999999996</v>
      </c>
      <c r="AM93" s="28">
        <f t="shared" si="428"/>
        <v>-41.657174999999967</v>
      </c>
      <c r="AN93" s="28">
        <f t="shared" si="428"/>
        <v>9.2496815000000083</v>
      </c>
      <c r="AO93" s="28">
        <f t="shared" si="428"/>
        <v>39.219401633333348</v>
      </c>
      <c r="AP93" s="28">
        <f t="shared" si="428"/>
        <v>54.320216962499998</v>
      </c>
      <c r="AQ93" s="28">
        <f t="shared" si="428"/>
        <v>60.202238658749991</v>
      </c>
      <c r="AR93" s="28">
        <f t="shared" ref="AR93:BU93" si="429">AR39/1.2*0.2-AR75/1.2*0.2-AR91/1.2*0.2</f>
        <v>66.67246252462499</v>
      </c>
      <c r="AS93" s="28">
        <f t="shared" si="429"/>
        <v>73.789708777087526</v>
      </c>
      <c r="AT93" s="28">
        <f t="shared" si="429"/>
        <v>74.049944099032274</v>
      </c>
      <c r="AU93" s="28">
        <f t="shared" si="429"/>
        <v>75.219192608726075</v>
      </c>
      <c r="AV93" s="28">
        <f t="shared" si="429"/>
        <v>76.47152057322154</v>
      </c>
      <c r="AW93" s="28">
        <f t="shared" si="429"/>
        <v>77.815066711018005</v>
      </c>
      <c r="AX93" s="28">
        <f t="shared" si="429"/>
        <v>79.25878276632983</v>
      </c>
      <c r="AY93" s="28">
        <f t="shared" si="429"/>
        <v>80.81251480742722</v>
      </c>
      <c r="AZ93" s="28">
        <f t="shared" si="429"/>
        <v>82.487092654789933</v>
      </c>
      <c r="BA93" s="28">
        <f t="shared" si="429"/>
        <v>91.269135253602258</v>
      </c>
      <c r="BB93" s="28">
        <f t="shared" si="429"/>
        <v>75.544464990104188</v>
      </c>
      <c r="BC93" s="28">
        <f t="shared" si="429"/>
        <v>75.544464990104188</v>
      </c>
      <c r="BD93" s="28">
        <f t="shared" si="429"/>
        <v>83.632244822447944</v>
      </c>
      <c r="BE93" s="28">
        <f t="shared" si="429"/>
        <v>92.528802638025979</v>
      </c>
      <c r="BF93" s="28">
        <f t="shared" si="429"/>
        <v>93.895763457123678</v>
      </c>
      <c r="BG93" s="28">
        <f t="shared" si="429"/>
        <v>95.357324094240937</v>
      </c>
      <c r="BH93" s="28">
        <f t="shared" si="429"/>
        <v>96.922734049860253</v>
      </c>
      <c r="BI93" s="28">
        <f t="shared" si="429"/>
        <v>98.602166722105778</v>
      </c>
      <c r="BJ93" s="28">
        <f t="shared" si="429"/>
        <v>100.40681179124562</v>
      </c>
      <c r="BK93" s="28">
        <f t="shared" si="429"/>
        <v>102.34897684261733</v>
      </c>
      <c r="BL93" s="28">
        <f t="shared" si="429"/>
        <v>104.4421991518208</v>
      </c>
      <c r="BM93" s="28">
        <f t="shared" si="429"/>
        <v>115.41975240033619</v>
      </c>
      <c r="BN93" s="28">
        <f t="shared" si="429"/>
        <v>93.337580621260429</v>
      </c>
      <c r="BO93" s="28">
        <f t="shared" si="429"/>
        <v>93.337580621260429</v>
      </c>
      <c r="BP93" s="28">
        <f t="shared" si="429"/>
        <v>103.20467201671983</v>
      </c>
      <c r="BQ93" s="28">
        <f t="shared" si="429"/>
        <v>114.05847255172515</v>
      </c>
      <c r="BR93" s="28">
        <f t="shared" si="429"/>
        <v>115.7261647510243</v>
      </c>
      <c r="BS93" s="28">
        <f t="shared" si="429"/>
        <v>117.50926872830726</v>
      </c>
      <c r="BT93" s="28">
        <f t="shared" si="429"/>
        <v>119.41906887416286</v>
      </c>
      <c r="BU93" s="28">
        <f t="shared" si="429"/>
        <v>121.4679767343024</v>
      </c>
      <c r="BV93" s="28">
        <f t="shared" ref="BV93:BX93" si="430">BV39/1.2*0.2-BV75/1.2*0.2-BV91/1.2*0.2</f>
        <v>123.66964371865291</v>
      </c>
      <c r="BW93" s="28">
        <f t="shared" si="430"/>
        <v>126.03908508132648</v>
      </c>
      <c r="BX93" s="28">
        <f t="shared" si="430"/>
        <v>128.59281629855471</v>
      </c>
      <c r="BY93" s="28">
        <f t="shared" ref="BY93:CK93" si="431">BY39/1.2*0.2-BY75/1.2*0.2-BY91/1.2*0.2</f>
        <v>141.98543126174349</v>
      </c>
      <c r="BZ93" s="28">
        <f t="shared" si="431"/>
        <v>115.0451816912711</v>
      </c>
      <c r="CA93" s="28">
        <f t="shared" si="431"/>
        <v>115.0451816912711</v>
      </c>
      <c r="CB93" s="28">
        <f t="shared" si="431"/>
        <v>127.0830331937315</v>
      </c>
      <c r="CC93" s="28">
        <f t="shared" si="431"/>
        <v>140.32466984643804</v>
      </c>
      <c r="CD93" s="28">
        <f t="shared" si="431"/>
        <v>142.35925432958294</v>
      </c>
      <c r="CE93" s="28">
        <f t="shared" si="431"/>
        <v>144.53464118186827</v>
      </c>
      <c r="CF93" s="28">
        <f t="shared" si="431"/>
        <v>146.86459735981202</v>
      </c>
      <c r="CG93" s="28">
        <f t="shared" si="431"/>
        <v>149.36426494918237</v>
      </c>
      <c r="CH93" s="28">
        <f t="shared" si="431"/>
        <v>152.05029867008989</v>
      </c>
      <c r="CI93" s="28">
        <f t="shared" si="431"/>
        <v>154.94101713255168</v>
      </c>
      <c r="CJ93" s="28">
        <f t="shared" si="431"/>
        <v>158.05656921756997</v>
      </c>
      <c r="CK93" s="28">
        <f t="shared" si="431"/>
        <v>174.39555947266047</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tabColor theme="9" tint="0.59999389629810485"/>
    <outlinePr summaryBelow="0"/>
  </sheetPr>
  <dimension ref="B1:CN40"/>
  <sheetViews>
    <sheetView showGridLines="0" zoomScale="90" zoomScaleNormal="90" workbookViewId="0">
      <pane xSplit="2" ySplit="3" topLeftCell="Q4" activePane="bottomRight" state="frozen"/>
      <selection pane="topRight" activeCell="C1" sqref="C1"/>
      <selection pane="bottomLeft" activeCell="A4" sqref="A4"/>
      <selection pane="bottomRight" activeCell="Y35" sqref="Y35"/>
    </sheetView>
  </sheetViews>
  <sheetFormatPr defaultColWidth="8.7109375" defaultRowHeight="12.75" outlineLevelCol="1" x14ac:dyDescent="0.2"/>
  <cols>
    <col min="1" max="1" width="8.7109375" style="8"/>
    <col min="2" max="2" width="38.7109375" style="8" customWidth="1"/>
    <col min="3" max="3" width="13.140625" style="8" bestFit="1" customWidth="1"/>
    <col min="4" max="4" width="11.42578125" style="8" customWidth="1"/>
    <col min="5" max="5" width="4" style="8" customWidth="1" outlineLevel="1"/>
    <col min="6" max="6" width="9.7109375" style="8" customWidth="1" outlineLevel="1"/>
    <col min="7" max="26" width="8.7109375" style="8" customWidth="1" outlineLevel="1"/>
    <col min="27" max="30" width="10.42578125" style="8" customWidth="1" outlineLevel="1"/>
    <col min="31" max="41" width="9.42578125" style="8" customWidth="1" outlineLevel="1"/>
    <col min="42" max="83" width="9.7109375" style="8" customWidth="1" outlineLevel="1"/>
    <col min="84" max="85" width="8.7109375" style="8" customWidth="1"/>
    <col min="86" max="86" width="9.42578125" style="8" customWidth="1"/>
    <col min="87" max="88" width="8.42578125" style="8" bestFit="1" customWidth="1"/>
    <col min="89" max="92" width="10" style="8" bestFit="1" customWidth="1"/>
    <col min="93" max="16384" width="8.7109375" style="8"/>
  </cols>
  <sheetData>
    <row r="1" spans="2:92" x14ac:dyDescent="0.2">
      <c r="F1" s="188" t="s">
        <v>165</v>
      </c>
      <c r="G1" s="188" t="s">
        <v>165</v>
      </c>
      <c r="H1" s="188" t="s">
        <v>165</v>
      </c>
      <c r="I1" s="188" t="s">
        <v>165</v>
      </c>
      <c r="J1" s="188" t="s">
        <v>165</v>
      </c>
      <c r="K1" s="188" t="s">
        <v>165</v>
      </c>
      <c r="L1" s="188" t="s">
        <v>165</v>
      </c>
      <c r="M1" s="188" t="s">
        <v>165</v>
      </c>
      <c r="N1" s="188" t="s">
        <v>165</v>
      </c>
      <c r="O1" s="188" t="s">
        <v>165</v>
      </c>
      <c r="P1" s="188" t="s">
        <v>165</v>
      </c>
      <c r="Q1" s="188" t="s">
        <v>165</v>
      </c>
      <c r="R1" s="188" t="s">
        <v>165</v>
      </c>
      <c r="S1" s="188" t="s">
        <v>165</v>
      </c>
      <c r="T1" s="188" t="s">
        <v>165</v>
      </c>
      <c r="U1" s="188" t="s">
        <v>165</v>
      </c>
      <c r="V1" s="188" t="s">
        <v>165</v>
      </c>
      <c r="W1" s="188" t="s">
        <v>165</v>
      </c>
      <c r="X1" s="188" t="s">
        <v>165</v>
      </c>
      <c r="Y1" s="188" t="s">
        <v>165</v>
      </c>
      <c r="Z1" s="188" t="s">
        <v>165</v>
      </c>
    </row>
    <row r="2" spans="2:92" x14ac:dyDescent="0.2">
      <c r="B2" s="7" t="s">
        <v>68</v>
      </c>
      <c r="F2" s="5">
        <f>YEAR(F3)</f>
        <v>2024</v>
      </c>
      <c r="G2" s="5">
        <f t="shared" ref="G2:CE2" si="0">YEAR(G3)</f>
        <v>2024</v>
      </c>
      <c r="H2" s="5">
        <f t="shared" si="0"/>
        <v>2024</v>
      </c>
      <c r="I2" s="5">
        <f t="shared" si="0"/>
        <v>2024</v>
      </c>
      <c r="J2" s="5">
        <f t="shared" si="0"/>
        <v>2024</v>
      </c>
      <c r="K2" s="5">
        <f t="shared" si="0"/>
        <v>2024</v>
      </c>
      <c r="L2" s="5">
        <f t="shared" si="0"/>
        <v>2025</v>
      </c>
      <c r="M2" s="5">
        <f t="shared" si="0"/>
        <v>2025</v>
      </c>
      <c r="N2" s="5">
        <f t="shared" si="0"/>
        <v>2025</v>
      </c>
      <c r="O2" s="5">
        <f t="shared" si="0"/>
        <v>2025</v>
      </c>
      <c r="P2" s="5">
        <f t="shared" si="0"/>
        <v>2025</v>
      </c>
      <c r="Q2" s="5">
        <f t="shared" si="0"/>
        <v>2025</v>
      </c>
      <c r="R2" s="5">
        <f t="shared" si="0"/>
        <v>2025</v>
      </c>
      <c r="S2" s="5">
        <f t="shared" si="0"/>
        <v>2025</v>
      </c>
      <c r="T2" s="5">
        <f t="shared" si="0"/>
        <v>2025</v>
      </c>
      <c r="U2" s="5">
        <f t="shared" si="0"/>
        <v>2025</v>
      </c>
      <c r="V2" s="5">
        <f t="shared" si="0"/>
        <v>2025</v>
      </c>
      <c r="W2" s="5">
        <f t="shared" si="0"/>
        <v>2025</v>
      </c>
      <c r="X2" s="5">
        <f t="shared" si="0"/>
        <v>2026</v>
      </c>
      <c r="Y2" s="5">
        <f t="shared" si="0"/>
        <v>2026</v>
      </c>
      <c r="Z2" s="5">
        <f t="shared" si="0"/>
        <v>2026</v>
      </c>
      <c r="AA2" s="5">
        <f t="shared" si="0"/>
        <v>2026</v>
      </c>
      <c r="AB2" s="5">
        <f t="shared" si="0"/>
        <v>2026</v>
      </c>
      <c r="AC2" s="5">
        <f t="shared" si="0"/>
        <v>2026</v>
      </c>
      <c r="AD2" s="5">
        <f t="shared" si="0"/>
        <v>2026</v>
      </c>
      <c r="AE2" s="5">
        <f t="shared" si="0"/>
        <v>2026</v>
      </c>
      <c r="AF2" s="5">
        <f t="shared" si="0"/>
        <v>2026</v>
      </c>
      <c r="AG2" s="5">
        <f t="shared" si="0"/>
        <v>2026</v>
      </c>
      <c r="AH2" s="5">
        <f t="shared" si="0"/>
        <v>2026</v>
      </c>
      <c r="AI2" s="5">
        <f t="shared" si="0"/>
        <v>2026</v>
      </c>
      <c r="AJ2" s="5">
        <f t="shared" si="0"/>
        <v>2027</v>
      </c>
      <c r="AK2" s="5">
        <f t="shared" si="0"/>
        <v>2027</v>
      </c>
      <c r="AL2" s="5">
        <f t="shared" si="0"/>
        <v>2027</v>
      </c>
      <c r="AM2" s="5">
        <f t="shared" si="0"/>
        <v>2027</v>
      </c>
      <c r="AN2" s="5">
        <f t="shared" si="0"/>
        <v>2027</v>
      </c>
      <c r="AO2" s="5">
        <f t="shared" si="0"/>
        <v>2027</v>
      </c>
      <c r="AP2" s="5">
        <f t="shared" si="0"/>
        <v>2027</v>
      </c>
      <c r="AQ2" s="5">
        <f t="shared" si="0"/>
        <v>2027</v>
      </c>
      <c r="AR2" s="5">
        <f t="shared" si="0"/>
        <v>2027</v>
      </c>
      <c r="AS2" s="5">
        <f t="shared" si="0"/>
        <v>2027</v>
      </c>
      <c r="AT2" s="5">
        <f t="shared" si="0"/>
        <v>2027</v>
      </c>
      <c r="AU2" s="5">
        <f t="shared" si="0"/>
        <v>2027</v>
      </c>
      <c r="AV2" s="5">
        <f t="shared" si="0"/>
        <v>2028</v>
      </c>
      <c r="AW2" s="5">
        <f t="shared" si="0"/>
        <v>2028</v>
      </c>
      <c r="AX2" s="5">
        <f t="shared" si="0"/>
        <v>2028</v>
      </c>
      <c r="AY2" s="5">
        <f t="shared" si="0"/>
        <v>2028</v>
      </c>
      <c r="AZ2" s="5">
        <f t="shared" si="0"/>
        <v>2028</v>
      </c>
      <c r="BA2" s="5">
        <f t="shared" si="0"/>
        <v>2028</v>
      </c>
      <c r="BB2" s="5">
        <f t="shared" si="0"/>
        <v>2028</v>
      </c>
      <c r="BC2" s="5">
        <f t="shared" si="0"/>
        <v>2028</v>
      </c>
      <c r="BD2" s="5">
        <f t="shared" si="0"/>
        <v>2028</v>
      </c>
      <c r="BE2" s="5">
        <f t="shared" si="0"/>
        <v>2028</v>
      </c>
      <c r="BF2" s="5">
        <f t="shared" si="0"/>
        <v>2028</v>
      </c>
      <c r="BG2" s="5">
        <f t="shared" si="0"/>
        <v>2028</v>
      </c>
      <c r="BH2" s="5">
        <f t="shared" si="0"/>
        <v>2029</v>
      </c>
      <c r="BI2" s="5">
        <f t="shared" si="0"/>
        <v>2029</v>
      </c>
      <c r="BJ2" s="5">
        <f t="shared" si="0"/>
        <v>2029</v>
      </c>
      <c r="BK2" s="5">
        <f t="shared" si="0"/>
        <v>2029</v>
      </c>
      <c r="BL2" s="5">
        <f t="shared" si="0"/>
        <v>2029</v>
      </c>
      <c r="BM2" s="5">
        <f t="shared" si="0"/>
        <v>2029</v>
      </c>
      <c r="BN2" s="5">
        <f t="shared" si="0"/>
        <v>2029</v>
      </c>
      <c r="BO2" s="5">
        <f t="shared" si="0"/>
        <v>2029</v>
      </c>
      <c r="BP2" s="5">
        <f t="shared" si="0"/>
        <v>2029</v>
      </c>
      <c r="BQ2" s="5">
        <f t="shared" si="0"/>
        <v>2029</v>
      </c>
      <c r="BR2" s="5">
        <f t="shared" si="0"/>
        <v>2029</v>
      </c>
      <c r="BS2" s="5">
        <f t="shared" si="0"/>
        <v>2029</v>
      </c>
      <c r="BT2" s="5">
        <f t="shared" si="0"/>
        <v>2030</v>
      </c>
      <c r="BU2" s="5">
        <f t="shared" si="0"/>
        <v>2030</v>
      </c>
      <c r="BV2" s="5">
        <f t="shared" si="0"/>
        <v>2030</v>
      </c>
      <c r="BW2" s="5">
        <f t="shared" si="0"/>
        <v>2030</v>
      </c>
      <c r="BX2" s="5">
        <f t="shared" si="0"/>
        <v>2030</v>
      </c>
      <c r="BY2" s="5">
        <f t="shared" si="0"/>
        <v>2030</v>
      </c>
      <c r="BZ2" s="5">
        <f t="shared" si="0"/>
        <v>2030</v>
      </c>
      <c r="CA2" s="5">
        <f t="shared" si="0"/>
        <v>2030</v>
      </c>
      <c r="CB2" s="5">
        <f t="shared" si="0"/>
        <v>2030</v>
      </c>
      <c r="CC2" s="5">
        <f t="shared" si="0"/>
        <v>2030</v>
      </c>
      <c r="CD2" s="5">
        <f t="shared" si="0"/>
        <v>2030</v>
      </c>
      <c r="CE2" s="5">
        <f t="shared" si="0"/>
        <v>2030</v>
      </c>
      <c r="CG2" s="189" t="s">
        <v>165</v>
      </c>
      <c r="CH2" s="189" t="s">
        <v>165</v>
      </c>
      <c r="CI2" s="189" t="s">
        <v>165</v>
      </c>
    </row>
    <row r="3" spans="2:92" x14ac:dyDescent="0.2">
      <c r="B3" s="128" t="s">
        <v>1</v>
      </c>
      <c r="C3" s="128" t="s">
        <v>2</v>
      </c>
      <c r="D3" s="102"/>
      <c r="F3" s="129">
        <f>Мясо!L3</f>
        <v>45474</v>
      </c>
      <c r="G3" s="129">
        <f>Мясо!M3</f>
        <v>45505</v>
      </c>
      <c r="H3" s="129">
        <f>Мясо!N3</f>
        <v>45536</v>
      </c>
      <c r="I3" s="129">
        <f>Мясо!O3</f>
        <v>45566</v>
      </c>
      <c r="J3" s="129">
        <f>Мясо!P3</f>
        <v>45597</v>
      </c>
      <c r="K3" s="129">
        <f>Мясо!Q3</f>
        <v>45627</v>
      </c>
      <c r="L3" s="129">
        <f>Мясо!R3</f>
        <v>45658</v>
      </c>
      <c r="M3" s="129">
        <f>Мясо!S3</f>
        <v>45689</v>
      </c>
      <c r="N3" s="129">
        <f>Мясо!T3</f>
        <v>45717</v>
      </c>
      <c r="O3" s="129">
        <f>Мясо!U3</f>
        <v>45748</v>
      </c>
      <c r="P3" s="129">
        <f>Мясо!V3</f>
        <v>45778</v>
      </c>
      <c r="Q3" s="129">
        <f>Мясо!W3</f>
        <v>45809</v>
      </c>
      <c r="R3" s="129">
        <f>Мясо!X3</f>
        <v>45839</v>
      </c>
      <c r="S3" s="129">
        <f>Мясо!Y3</f>
        <v>45870</v>
      </c>
      <c r="T3" s="129">
        <f>Мясо!Z3</f>
        <v>45901</v>
      </c>
      <c r="U3" s="129">
        <f>Мясо!AA3</f>
        <v>45931</v>
      </c>
      <c r="V3" s="129">
        <f>Мясо!AB3</f>
        <v>45962</v>
      </c>
      <c r="W3" s="129">
        <f>Мясо!AC3</f>
        <v>45992</v>
      </c>
      <c r="X3" s="129">
        <f>Мясо!AD3</f>
        <v>46023</v>
      </c>
      <c r="Y3" s="129">
        <f>Мясо!AE3</f>
        <v>46054</v>
      </c>
      <c r="Z3" s="129">
        <f>Мясо!AF3</f>
        <v>46082</v>
      </c>
      <c r="AA3" s="129">
        <f>Мясо!AG3</f>
        <v>46113</v>
      </c>
      <c r="AB3" s="129">
        <f>Мясо!AH3</f>
        <v>46143</v>
      </c>
      <c r="AC3" s="129">
        <f>Мясо!AI3</f>
        <v>46174</v>
      </c>
      <c r="AD3" s="129">
        <f>Мясо!AJ3</f>
        <v>46204</v>
      </c>
      <c r="AE3" s="129">
        <f>Мясо!AK3</f>
        <v>46235</v>
      </c>
      <c r="AF3" s="129">
        <f>Мясо!AL3</f>
        <v>46266</v>
      </c>
      <c r="AG3" s="129">
        <f>Мясо!AM3</f>
        <v>46296</v>
      </c>
      <c r="AH3" s="129">
        <f>Мясо!AN3</f>
        <v>46327</v>
      </c>
      <c r="AI3" s="129">
        <f>Мясо!AO3</f>
        <v>46357</v>
      </c>
      <c r="AJ3" s="129">
        <f>Мясо!AP3</f>
        <v>46388</v>
      </c>
      <c r="AK3" s="129">
        <f>Мясо!AQ3</f>
        <v>46419</v>
      </c>
      <c r="AL3" s="129">
        <f>Мясо!AR3</f>
        <v>46447</v>
      </c>
      <c r="AM3" s="129">
        <f>Мясо!AS3</f>
        <v>46478</v>
      </c>
      <c r="AN3" s="129">
        <f>Мясо!AT3</f>
        <v>46508</v>
      </c>
      <c r="AO3" s="129">
        <f>Мясо!AU3</f>
        <v>46539</v>
      </c>
      <c r="AP3" s="129">
        <f>Мясо!AV3</f>
        <v>46569</v>
      </c>
      <c r="AQ3" s="129">
        <f>Мясо!AW3</f>
        <v>46600</v>
      </c>
      <c r="AR3" s="129">
        <f>Мясо!AX3</f>
        <v>46631</v>
      </c>
      <c r="AS3" s="129">
        <f>Мясо!AY3</f>
        <v>46661</v>
      </c>
      <c r="AT3" s="129">
        <f>Мясо!AZ3</f>
        <v>46692</v>
      </c>
      <c r="AU3" s="129">
        <f>Мясо!BA3</f>
        <v>46722</v>
      </c>
      <c r="AV3" s="129">
        <f>Мясо!BB3</f>
        <v>46753</v>
      </c>
      <c r="AW3" s="129">
        <f>Мясо!BC3</f>
        <v>46784</v>
      </c>
      <c r="AX3" s="129">
        <f>Мясо!BD3</f>
        <v>46813</v>
      </c>
      <c r="AY3" s="129">
        <f>Мясо!BE3</f>
        <v>46844</v>
      </c>
      <c r="AZ3" s="129">
        <f>Мясо!BF3</f>
        <v>46874</v>
      </c>
      <c r="BA3" s="129">
        <f>Мясо!BG3</f>
        <v>46905</v>
      </c>
      <c r="BB3" s="129">
        <f>Мясо!BH3</f>
        <v>46935</v>
      </c>
      <c r="BC3" s="129">
        <f>Мясо!BI3</f>
        <v>46966</v>
      </c>
      <c r="BD3" s="129">
        <f>Мясо!BJ3</f>
        <v>46997</v>
      </c>
      <c r="BE3" s="129">
        <f>Мясо!BK3</f>
        <v>47027</v>
      </c>
      <c r="BF3" s="129">
        <f>Мясо!BL3</f>
        <v>47058</v>
      </c>
      <c r="BG3" s="129">
        <f>Мясо!BM3</f>
        <v>47088</v>
      </c>
      <c r="BH3" s="129">
        <f>Мясо!BN3</f>
        <v>47119</v>
      </c>
      <c r="BI3" s="129">
        <f>Мясо!BO3</f>
        <v>47150</v>
      </c>
      <c r="BJ3" s="129">
        <f>Мясо!BP3</f>
        <v>47178</v>
      </c>
      <c r="BK3" s="129">
        <f>Мясо!BQ3</f>
        <v>47209</v>
      </c>
      <c r="BL3" s="129">
        <f>Мясо!BR3</f>
        <v>47239</v>
      </c>
      <c r="BM3" s="129">
        <f>Мясо!BS3</f>
        <v>47270</v>
      </c>
      <c r="BN3" s="129">
        <f>Мясо!BT3</f>
        <v>47300</v>
      </c>
      <c r="BO3" s="129">
        <f>Мясо!BU3</f>
        <v>47331</v>
      </c>
      <c r="BP3" s="129">
        <f>Мясо!BV3</f>
        <v>47362</v>
      </c>
      <c r="BQ3" s="129">
        <f>Мясо!BW3</f>
        <v>47392</v>
      </c>
      <c r="BR3" s="129">
        <f>Мясо!BX3</f>
        <v>47423</v>
      </c>
      <c r="BS3" s="129">
        <f>Мясо!BY3</f>
        <v>47453</v>
      </c>
      <c r="BT3" s="129">
        <f>Мясо!BZ3</f>
        <v>47484</v>
      </c>
      <c r="BU3" s="129">
        <f>Мясо!CA3</f>
        <v>47515</v>
      </c>
      <c r="BV3" s="129">
        <f>Мясо!CB3</f>
        <v>47543</v>
      </c>
      <c r="BW3" s="129">
        <f>Мясо!CC3</f>
        <v>47574</v>
      </c>
      <c r="BX3" s="129">
        <f>Мясо!CD3</f>
        <v>47604</v>
      </c>
      <c r="BY3" s="129">
        <f>Мясо!CE3</f>
        <v>47635</v>
      </c>
      <c r="BZ3" s="129">
        <f>Мясо!CF3</f>
        <v>47665</v>
      </c>
      <c r="CA3" s="129">
        <f>Мясо!CG3</f>
        <v>47696</v>
      </c>
      <c r="CB3" s="129">
        <f>Мясо!CH3</f>
        <v>47727</v>
      </c>
      <c r="CC3" s="129">
        <f>Мясо!CI3</f>
        <v>47757</v>
      </c>
      <c r="CD3" s="129">
        <f>Мясо!CJ3</f>
        <v>47788</v>
      </c>
      <c r="CE3" s="129">
        <f>Мясо!CK3</f>
        <v>47818</v>
      </c>
      <c r="CG3" s="130">
        <v>2022</v>
      </c>
      <c r="CH3" s="130">
        <v>2023</v>
      </c>
      <c r="CI3" s="130">
        <f>CH3+1</f>
        <v>2024</v>
      </c>
      <c r="CJ3" s="130">
        <f t="shared" ref="CJ3" si="1">CI3+1</f>
        <v>2025</v>
      </c>
      <c r="CK3" s="130">
        <f t="shared" ref="CK3" si="2">CJ3+1</f>
        <v>2026</v>
      </c>
      <c r="CL3" s="130">
        <f t="shared" ref="CL3" si="3">CK3+1</f>
        <v>2027</v>
      </c>
      <c r="CM3" s="130">
        <f t="shared" ref="CM3:CN3" si="4">CL3+1</f>
        <v>2028</v>
      </c>
      <c r="CN3" s="130">
        <f t="shared" si="4"/>
        <v>2029</v>
      </c>
    </row>
    <row r="4" spans="2:92" s="12" customFormat="1" x14ac:dyDescent="0.2">
      <c r="B4" s="88" t="s">
        <v>69</v>
      </c>
      <c r="C4" s="89" t="s">
        <v>4</v>
      </c>
      <c r="D4" s="13"/>
      <c r="F4" s="18">
        <v>772.10639187979405</v>
      </c>
      <c r="G4" s="18">
        <v>7446.4998131204766</v>
      </c>
      <c r="H4" s="18">
        <v>-1715.9528349704715</v>
      </c>
      <c r="I4" s="18">
        <v>-4064.9543153791537</v>
      </c>
      <c r="J4" s="18">
        <v>-3212.9270319989291</v>
      </c>
      <c r="K4" s="18">
        <v>2603.2822363961004</v>
      </c>
      <c r="L4" s="18">
        <v>2987.3970000000054</v>
      </c>
      <c r="M4" s="18">
        <v>1558.3985400000006</v>
      </c>
      <c r="N4" s="18">
        <v>2799.0379099999936</v>
      </c>
      <c r="O4" s="18">
        <v>984.68199999999865</v>
      </c>
      <c r="P4" s="18">
        <v>-749.58700000000135</v>
      </c>
      <c r="Q4" s="18">
        <v>-22458.173999999995</v>
      </c>
      <c r="R4" s="18">
        <v>-4586.1529999999966</v>
      </c>
      <c r="S4" s="18">
        <v>2883.6720000000005</v>
      </c>
      <c r="T4" s="18">
        <v>1247.2030000000057</v>
      </c>
      <c r="U4" s="18">
        <v>-4780.30174104243</v>
      </c>
      <c r="V4" s="18">
        <v>2281.2919649757591</v>
      </c>
      <c r="W4" s="18">
        <f t="shared" ref="W4:AK4" si="5">SUM(W5:W10)</f>
        <v>-24910.99590601576</v>
      </c>
      <c r="X4" s="18">
        <f t="shared" si="5"/>
        <v>19094.066709069306</v>
      </c>
      <c r="Y4" s="18">
        <f t="shared" si="5"/>
        <v>-8315.9352177313212</v>
      </c>
      <c r="Z4" s="18">
        <f t="shared" si="5"/>
        <v>914.60324159608967</v>
      </c>
      <c r="AA4" s="18">
        <f t="shared" si="5"/>
        <v>2509.650589341843</v>
      </c>
      <c r="AB4" s="18">
        <f t="shared" si="5"/>
        <v>3500.6400398634819</v>
      </c>
      <c r="AC4" s="18">
        <f t="shared" si="5"/>
        <v>909.66982704327347</v>
      </c>
      <c r="AD4" s="18">
        <f t="shared" si="5"/>
        <v>-5622.6239088218326</v>
      </c>
      <c r="AE4" s="18">
        <f t="shared" si="5"/>
        <v>-9253.608206897612</v>
      </c>
      <c r="AF4" s="18">
        <f t="shared" si="5"/>
        <v>3865.2171981371762</v>
      </c>
      <c r="AG4" s="18">
        <f t="shared" si="5"/>
        <v>12060.264179682499</v>
      </c>
      <c r="AH4" s="18">
        <f t="shared" si="5"/>
        <v>-1597.5306740841875</v>
      </c>
      <c r="AI4" s="18">
        <f t="shared" si="5"/>
        <v>18200.251371205006</v>
      </c>
      <c r="AJ4" s="18">
        <f t="shared" si="5"/>
        <v>18692.908908728332</v>
      </c>
      <c r="AK4" s="18">
        <f t="shared" si="5"/>
        <v>-16671.1223026222</v>
      </c>
      <c r="AL4" s="18">
        <f t="shared" ref="AL4:BJ4" si="6">SUM(AL5:AL10)</f>
        <v>8208.3859402299095</v>
      </c>
      <c r="AM4" s="18">
        <f t="shared" si="6"/>
        <v>10206.247553915675</v>
      </c>
      <c r="AN4" s="18">
        <f t="shared" si="6"/>
        <v>24359.555390853078</v>
      </c>
      <c r="AO4" s="18">
        <f t="shared" si="6"/>
        <v>18260.357235508047</v>
      </c>
      <c r="AP4" s="18">
        <f t="shared" si="6"/>
        <v>34545.092260545476</v>
      </c>
      <c r="AQ4" s="18">
        <f t="shared" si="6"/>
        <v>36206.837433793939</v>
      </c>
      <c r="AR4" s="18">
        <f t="shared" si="6"/>
        <v>28672.329510245367</v>
      </c>
      <c r="AS4" s="18">
        <f t="shared" si="6"/>
        <v>36716.294555863518</v>
      </c>
      <c r="AT4" s="18">
        <f t="shared" si="6"/>
        <v>-2045.0668115988101</v>
      </c>
      <c r="AU4" s="18">
        <f t="shared" si="6"/>
        <v>50667.859514622935</v>
      </c>
      <c r="AV4" s="18">
        <f t="shared" si="6"/>
        <v>61234.758214536989</v>
      </c>
      <c r="AW4" s="18">
        <f t="shared" si="6"/>
        <v>-18614.381376360147</v>
      </c>
      <c r="AX4" s="18">
        <f t="shared" si="6"/>
        <v>9493.2481231810307</v>
      </c>
      <c r="AY4" s="18">
        <f t="shared" si="6"/>
        <v>12344.868316526099</v>
      </c>
      <c r="AZ4" s="18">
        <f t="shared" si="6"/>
        <v>29157.50523170867</v>
      </c>
      <c r="BA4" s="18">
        <f t="shared" si="6"/>
        <v>23740.496227346914</v>
      </c>
      <c r="BB4" s="18">
        <f t="shared" si="6"/>
        <v>42666.940335558633</v>
      </c>
      <c r="BC4" s="18">
        <f t="shared" si="6"/>
        <v>42808.046812192522</v>
      </c>
      <c r="BD4" s="18">
        <f t="shared" si="6"/>
        <v>33893.375903319844</v>
      </c>
      <c r="BE4" s="18">
        <f t="shared" si="6"/>
        <v>42009.918043254918</v>
      </c>
      <c r="BF4" s="18">
        <f t="shared" si="6"/>
        <v>-2193.5698591182586</v>
      </c>
      <c r="BG4" s="18">
        <f t="shared" si="6"/>
        <v>59346.550879081806</v>
      </c>
      <c r="BH4" s="18">
        <f t="shared" si="6"/>
        <v>69744.35026845384</v>
      </c>
      <c r="BI4" s="18">
        <f t="shared" si="6"/>
        <v>-23183.125115293136</v>
      </c>
      <c r="BJ4" s="18">
        <f t="shared" si="6"/>
        <v>10558.583146510604</v>
      </c>
      <c r="BK4" s="18">
        <f t="shared" ref="BK4:CE4" si="7">SUM(BK5:BK10)</f>
        <v>13608.957502175637</v>
      </c>
      <c r="BL4" s="18">
        <f t="shared" si="7"/>
        <v>32965.453767797699</v>
      </c>
      <c r="BM4" s="18">
        <f t="shared" si="7"/>
        <v>26560.657836012917</v>
      </c>
      <c r="BN4" s="18">
        <f t="shared" si="7"/>
        <v>48461.728411565055</v>
      </c>
      <c r="BO4" s="18">
        <f t="shared" si="7"/>
        <v>48765.857315625013</v>
      </c>
      <c r="BP4" s="18">
        <f t="shared" si="7"/>
        <v>37288.586382829584</v>
      </c>
      <c r="BQ4" s="18">
        <f t="shared" si="7"/>
        <v>48375.008996599929</v>
      </c>
      <c r="BR4" s="18">
        <f t="shared" si="7"/>
        <v>-1131.4651007635202</v>
      </c>
      <c r="BS4" s="18">
        <f t="shared" si="7"/>
        <v>73117.670279737984</v>
      </c>
      <c r="BT4" s="18">
        <f t="shared" si="7"/>
        <v>83911.304123801572</v>
      </c>
      <c r="BU4" s="18">
        <f t="shared" si="7"/>
        <v>-26580.057698997905</v>
      </c>
      <c r="BV4" s="18">
        <f t="shared" si="7"/>
        <v>13722.808104847603</v>
      </c>
      <c r="BW4" s="18">
        <f t="shared" si="7"/>
        <v>17337.626279113974</v>
      </c>
      <c r="BX4" s="18">
        <f t="shared" si="7"/>
        <v>39549.950287086889</v>
      </c>
      <c r="BY4" s="18">
        <f t="shared" si="7"/>
        <v>32202.048274169902</v>
      </c>
      <c r="BZ4" s="18">
        <f t="shared" si="7"/>
        <v>57324.757777318278</v>
      </c>
      <c r="CA4" s="18">
        <f t="shared" si="7"/>
        <v>56182.343413225477</v>
      </c>
      <c r="CB4" s="18">
        <f t="shared" si="7"/>
        <v>44767.95415459029</v>
      </c>
      <c r="CC4" s="18">
        <f t="shared" si="7"/>
        <v>59793.989266698387</v>
      </c>
      <c r="CD4" s="18">
        <f t="shared" si="7"/>
        <v>643.82705513327619</v>
      </c>
      <c r="CE4" s="18">
        <f t="shared" si="7"/>
        <v>135293.32962937161</v>
      </c>
      <c r="CG4" s="14">
        <f t="shared" ref="CG4:CM4" si="8">SUM(CG5:CG10)</f>
        <v>23997.932000000026</v>
      </c>
      <c r="CH4" s="18">
        <f t="shared" si="8"/>
        <v>-36325</v>
      </c>
      <c r="CI4" s="18">
        <f t="shared" si="8"/>
        <v>1828.0542590478281</v>
      </c>
      <c r="CJ4" s="14">
        <f t="shared" si="8"/>
        <v>-42743.52923208243</v>
      </c>
      <c r="CK4" s="14">
        <f t="shared" si="8"/>
        <v>36264.665148403627</v>
      </c>
      <c r="CL4" s="14">
        <f t="shared" si="8"/>
        <v>247819.67919008518</v>
      </c>
      <c r="CM4" s="14">
        <f t="shared" si="8"/>
        <v>335887.75685122918</v>
      </c>
      <c r="CN4" s="14">
        <f t="shared" ref="CN4" si="9">SUM(CN5:CN10)</f>
        <v>385132.26369125204</v>
      </c>
    </row>
    <row r="5" spans="2:92" x14ac:dyDescent="0.2">
      <c r="B5" s="90" t="s">
        <v>70</v>
      </c>
      <c r="C5" s="91" t="s">
        <v>4</v>
      </c>
      <c r="D5" s="9"/>
      <c r="F5" s="11">
        <v>44060</v>
      </c>
      <c r="G5" s="11">
        <v>50410</v>
      </c>
      <c r="H5" s="11">
        <v>46367</v>
      </c>
      <c r="I5" s="11">
        <v>43980</v>
      </c>
      <c r="J5" s="11">
        <v>50925</v>
      </c>
      <c r="K5" s="11">
        <v>47951</v>
      </c>
      <c r="L5" s="11">
        <v>49106.066000000006</v>
      </c>
      <c r="M5" s="11">
        <v>40006.334000000003</v>
      </c>
      <c r="N5" s="11">
        <v>42530.082999999999</v>
      </c>
      <c r="O5" s="11">
        <v>38908.735999999997</v>
      </c>
      <c r="P5" s="11">
        <v>43506.375</v>
      </c>
      <c r="Q5" s="11">
        <v>42997.83</v>
      </c>
      <c r="R5" s="11">
        <v>49596.872000000003</v>
      </c>
      <c r="S5" s="11">
        <v>43604.010999999999</v>
      </c>
      <c r="T5" s="11">
        <v>46410.065000000002</v>
      </c>
      <c r="U5" s="11">
        <v>44015.682999999997</v>
      </c>
      <c r="V5" s="11">
        <v>36604.54</v>
      </c>
      <c r="W5" s="11">
        <f>ОК!Q38</f>
        <v>59547.913</v>
      </c>
      <c r="X5" s="11">
        <f>ОК!R38</f>
        <v>57240.983790322585</v>
      </c>
      <c r="Y5" s="11">
        <f>ОК!S38</f>
        <v>35573.300880184339</v>
      </c>
      <c r="Z5" s="11">
        <f>ОК!T38</f>
        <v>46454.274152073725</v>
      </c>
      <c r="AA5" s="11">
        <f>ОК!U38</f>
        <v>49704.708106854836</v>
      </c>
      <c r="AB5" s="11">
        <f>ОК!V38</f>
        <v>52807.060440669353</v>
      </c>
      <c r="AC5" s="11">
        <f>ОК!W38</f>
        <v>52960.996531711375</v>
      </c>
      <c r="AD5" s="11">
        <f>ОК!X38</f>
        <v>58286.905305105283</v>
      </c>
      <c r="AE5" s="11">
        <f>ОК!Y38</f>
        <v>63546.883488849293</v>
      </c>
      <c r="AF5" s="11">
        <f>ОК!Z38</f>
        <v>79066.108506662044</v>
      </c>
      <c r="AG5" s="11">
        <f>ОК!AA38</f>
        <v>91331.964746404847</v>
      </c>
      <c r="AH5" s="11">
        <f>ОК!AB38</f>
        <v>87664.797506585601</v>
      </c>
      <c r="AI5" s="11">
        <f>ОК!AC38</f>
        <v>100326.94012133042</v>
      </c>
      <c r="AJ5" s="11">
        <f>ОК!AD38</f>
        <v>109221.18790963691</v>
      </c>
      <c r="AK5" s="11">
        <f>ОК!AE38</f>
        <v>90689.341464583966</v>
      </c>
      <c r="AL5" s="11">
        <f>ОК!AF38</f>
        <v>127177.41504557374</v>
      </c>
      <c r="AM5" s="11">
        <f>ОК!AG38</f>
        <v>133933.07003390131</v>
      </c>
      <c r="AN5" s="11">
        <f>ОК!AH38</f>
        <v>151273.57195157261</v>
      </c>
      <c r="AO5" s="11">
        <f>ОК!AI38</f>
        <v>148545.89653491345</v>
      </c>
      <c r="AP5" s="11">
        <f>ОК!AJ38</f>
        <v>159940.75358603825</v>
      </c>
      <c r="AQ5" s="11">
        <f>ОК!AK38</f>
        <v>156796.03720090885</v>
      </c>
      <c r="AR5" s="11">
        <f>ОК!AL38</f>
        <v>145875.41653243432</v>
      </c>
      <c r="AS5" s="11">
        <f>ОК!AM38</f>
        <v>149445.76588622041</v>
      </c>
      <c r="AT5" s="11">
        <f>ОК!AN38</f>
        <v>137189.7280019364</v>
      </c>
      <c r="AU5" s="11">
        <f>ОК!AO38</f>
        <v>147421.52735502785</v>
      </c>
      <c r="AV5" s="11">
        <f>ОК!AP38</f>
        <v>166178.76087415172</v>
      </c>
      <c r="AW5" s="11">
        <f>ОК!AQ38</f>
        <v>105345.48400413331</v>
      </c>
      <c r="AX5" s="11">
        <f>ОК!AR38</f>
        <v>148049.83933016163</v>
      </c>
      <c r="AY5" s="11">
        <f>ОК!AS38</f>
        <v>155835.46146816819</v>
      </c>
      <c r="AZ5" s="11">
        <f>ОК!AT38</f>
        <v>175976.55593376554</v>
      </c>
      <c r="BA5" s="11">
        <f>ОК!AU38</f>
        <v>172800.6724157955</v>
      </c>
      <c r="BB5" s="11">
        <f>ОК!AV38</f>
        <v>186050.9151230361</v>
      </c>
      <c r="BC5" s="11">
        <f>ОК!AW38</f>
        <v>182393.56852837393</v>
      </c>
      <c r="BD5" s="11">
        <f>ОК!AX38</f>
        <v>169709.11386963213</v>
      </c>
      <c r="BE5" s="11">
        <f>ОК!AY38</f>
        <v>173864.32712470891</v>
      </c>
      <c r="BF5" s="11">
        <f>ОК!AZ38</f>
        <v>159961.72531954158</v>
      </c>
      <c r="BG5" s="11">
        <f>ОК!BA38</f>
        <v>173270.25401594001</v>
      </c>
      <c r="BH5" s="11">
        <f>ОК!BB38</f>
        <v>193358.16130152083</v>
      </c>
      <c r="BI5" s="11">
        <f>ОК!BC38</f>
        <v>122696.18629256397</v>
      </c>
      <c r="BJ5" s="11">
        <f>ОК!BD38</f>
        <v>172295.16983837404</v>
      </c>
      <c r="BK5" s="11">
        <f>ОК!BE38</f>
        <v>181269.87358163748</v>
      </c>
      <c r="BL5" s="11">
        <f>ОК!BF38</f>
        <v>204658.03465698086</v>
      </c>
      <c r="BM5" s="11">
        <f>ОК!BG38</f>
        <v>200963.53762965021</v>
      </c>
      <c r="BN5" s="11">
        <f>ОК!BH38</f>
        <v>216373.56913237335</v>
      </c>
      <c r="BO5" s="11">
        <f>ОК!BI38</f>
        <v>212126.27609412285</v>
      </c>
      <c r="BP5" s="11">
        <f>ОК!BJ38</f>
        <v>197398.69252985361</v>
      </c>
      <c r="BQ5" s="11">
        <f>ОК!BK38</f>
        <v>202735.93761444825</v>
      </c>
      <c r="BR5" s="11">
        <f>ОК!BL38</f>
        <v>188152.2396897873</v>
      </c>
      <c r="BS5" s="11">
        <f>ОК!BM38</f>
        <v>201564.85465900731</v>
      </c>
      <c r="BT5" s="11">
        <f>ОК!BN38</f>
        <v>224299.98441495345</v>
      </c>
      <c r="BU5" s="11">
        <f>ОК!BO38</f>
        <v>139690.78257897554</v>
      </c>
      <c r="BV5" s="11">
        <f>ОК!BP38</f>
        <v>196508.08735848492</v>
      </c>
      <c r="BW5" s="11">
        <f>ОК!BQ38</f>
        <v>206978.40433203679</v>
      </c>
      <c r="BX5" s="11">
        <f>ОК!BR38</f>
        <v>233826.622557155</v>
      </c>
      <c r="BY5" s="11">
        <f>ОК!BS38</f>
        <v>229643.63144740721</v>
      </c>
      <c r="BZ5" s="11">
        <f>ОК!BT38</f>
        <v>247317.0127721052</v>
      </c>
      <c r="CA5" s="11">
        <f>ОК!BU38</f>
        <v>242514.81585232003</v>
      </c>
      <c r="CB5" s="11">
        <f>ОК!BV38</f>
        <v>226216.6991363432</v>
      </c>
      <c r="CC5" s="11">
        <f>ОК!BW38</f>
        <v>234463.26984084799</v>
      </c>
      <c r="CD5" s="11">
        <f>ОК!BX38</f>
        <v>215282.15280732908</v>
      </c>
      <c r="CE5" s="11">
        <f>ОК!BY38</f>
        <v>177037.73031110704</v>
      </c>
      <c r="CF5" s="11"/>
      <c r="CG5" s="11">
        <f>Свод_ОФР!CM4*1.2</f>
        <v>377440.8</v>
      </c>
      <c r="CH5" s="11">
        <v>378028</v>
      </c>
      <c r="CI5" s="11">
        <f t="shared" ref="CI5:CN11" si="10">SUMIF($F$2:$CE$2,CI$3,$F5:$CE5)</f>
        <v>283693</v>
      </c>
      <c r="CJ5" s="11">
        <f t="shared" si="10"/>
        <v>536834.50799999991</v>
      </c>
      <c r="CK5" s="11">
        <f t="shared" si="10"/>
        <v>774964.92357675359</v>
      </c>
      <c r="CL5" s="11">
        <f t="shared" si="10"/>
        <v>1657509.7115027478</v>
      </c>
      <c r="CM5" s="11">
        <f t="shared" si="10"/>
        <v>1969436.6780074087</v>
      </c>
      <c r="CN5" s="11">
        <f t="shared" si="10"/>
        <v>2293592.5330203203</v>
      </c>
    </row>
    <row r="6" spans="2:92" x14ac:dyDescent="0.2">
      <c r="B6" s="90" t="s">
        <v>71</v>
      </c>
      <c r="C6" s="91" t="s">
        <v>4</v>
      </c>
      <c r="D6" s="9"/>
      <c r="F6" s="11">
        <v>-30359.223140095077</v>
      </c>
      <c r="G6" s="11">
        <v>-31743.816960037533</v>
      </c>
      <c r="H6" s="11">
        <v>-36825.986390815851</v>
      </c>
      <c r="I6" s="11">
        <v>-33996.697751770291</v>
      </c>
      <c r="J6" s="11">
        <v>-42199.394064006636</v>
      </c>
      <c r="K6" s="11">
        <v>-31789.780029654408</v>
      </c>
      <c r="L6" s="11">
        <v>-42665.178</v>
      </c>
      <c r="M6" s="11">
        <v>-28775.836460000002</v>
      </c>
      <c r="N6" s="11">
        <v>-33972.708340000005</v>
      </c>
      <c r="O6" s="11">
        <v>-32413.332999999999</v>
      </c>
      <c r="P6" s="11">
        <v>-40474.578000000001</v>
      </c>
      <c r="Q6" s="11">
        <v>-54765.021999999997</v>
      </c>
      <c r="R6" s="11">
        <v>-47539.351999999999</v>
      </c>
      <c r="S6" s="11">
        <v>-36417.044999999998</v>
      </c>
      <c r="T6" s="11">
        <v>-40163.877999999997</v>
      </c>
      <c r="U6" s="11">
        <v>-42413.957000000002</v>
      </c>
      <c r="V6" s="11">
        <v>-26800.633000000002</v>
      </c>
      <c r="W6" s="11">
        <f>-49294.811+432-38980-18+10000</f>
        <v>-77860.811000000002</v>
      </c>
      <c r="X6" s="11">
        <f>-Свод_ОФР!AE53-Свод_ОФР!AE66</f>
        <v>-24932.788781999996</v>
      </c>
      <c r="Y6" s="11">
        <f>-Свод_ОФР!AF53-Свод_ОФР!AF66</f>
        <v>-31068.283541999994</v>
      </c>
      <c r="Z6" s="11">
        <f>-Свод_ОФР!AG53-Свод_ОФР!AG66</f>
        <v>-31276.455943250003</v>
      </c>
      <c r="AA6" s="11">
        <f>-Свод_ОФР!AH53-Свод_ОФР!AH66</f>
        <v>-32907.960910098751</v>
      </c>
      <c r="AB6" s="11">
        <f>-Свод_ОФР!AI53-Свод_ОФР!AI66</f>
        <v>-34158.701350395742</v>
      </c>
      <c r="AC6" s="11">
        <f>-Свод_ОФР!AJ53-Свод_ОФР!AJ66</f>
        <v>-36334.474012181548</v>
      </c>
      <c r="AD6" s="11">
        <f>-Свод_ОФР!AK53-Свод_ОФР!AK66</f>
        <v>-46520.551720027965</v>
      </c>
      <c r="AE6" s="11">
        <f>-Свод_ОФР!AL53-Свод_ОФР!AL66</f>
        <v>-52590.910977786902</v>
      </c>
      <c r="AF6" s="11">
        <f>-Свод_ОФР!AM53-Свод_ОФР!AM66</f>
        <v>-53422.884856645927</v>
      </c>
      <c r="AG6" s="11">
        <f>-Свод_ОФР!AN53-Свод_ОФР!AN66</f>
        <v>-57406.084095829501</v>
      </c>
      <c r="AH6" s="11">
        <f>-Свод_ОФР!AO53-Свод_ОФР!AO66</f>
        <v>-67824.061068602081</v>
      </c>
      <c r="AI6" s="11">
        <f>-Свод_ОФР!AP53-Свод_ОФР!AP66</f>
        <v>-58874.634492888115</v>
      </c>
      <c r="AJ6" s="11">
        <f>-Свод_ОФР!AQ53-Свод_ОФР!AQ66</f>
        <v>-69345.030782894522</v>
      </c>
      <c r="AK6" s="11">
        <f>-Свод_ОФР!AR53-Свод_ОФР!AR66</f>
        <v>-85819.867198954453</v>
      </c>
      <c r="AL6" s="11">
        <f>-Свод_ОФР!AS53-Свод_ОФР!AS66</f>
        <v>-93633.325338054347</v>
      </c>
      <c r="AM6" s="11">
        <f>-Свод_ОФР!AT53-Свод_ОФР!AT66</f>
        <v>-97428.826242618583</v>
      </c>
      <c r="AN6" s="11">
        <f>-Свод_ОФР!AU53-Свод_ОФР!AU66</f>
        <v>-99372.573190431867</v>
      </c>
      <c r="AO6" s="11">
        <f>-Свод_ОФР!AV53-Свод_ОФР!AV66</f>
        <v>-101356.44649015102</v>
      </c>
      <c r="AP6" s="11">
        <f>-Свод_ОФР!AW53-Свод_ОФР!AW66</f>
        <v>-95845.932543999792</v>
      </c>
      <c r="AQ6" s="11">
        <f>-Свод_ОФР!AX53-Свод_ОФР!AX66</f>
        <v>-93093.447363866086</v>
      </c>
      <c r="AR6" s="11">
        <f>-Свод_ОФР!AY53-Свод_ОФР!AY66</f>
        <v>-90432.852125198435</v>
      </c>
      <c r="AS6" s="11">
        <f>-Свод_ОФР!AZ53-Свод_ОФР!AZ66</f>
        <v>-86112.834273258195</v>
      </c>
      <c r="AT6" s="11">
        <f>-Свод_ОФР!BA53-Свод_ОФР!BA66</f>
        <v>-113791.05213098731</v>
      </c>
      <c r="AU6" s="11">
        <f>-Свод_ОФР!BB53-Свод_ОФР!BB66</f>
        <v>-66423.90140382071</v>
      </c>
      <c r="AV6" s="11">
        <f>-Свод_ОФР!BC53-Свод_ОФР!BC66</f>
        <v>-80584.251921306015</v>
      </c>
      <c r="AW6" s="11">
        <f>-Свод_ОФР!BD53-Свод_ОФР!BD66</f>
        <v>-99674.692313372856</v>
      </c>
      <c r="AX6" s="11">
        <f>-Свод_ОФР!BE53-Свод_ОФР!BE66</f>
        <v>-108724.86080705757</v>
      </c>
      <c r="AY6" s="11">
        <f>-Свод_ОФР!BF53-Свод_ОФР!BF66</f>
        <v>-113132.05579352984</v>
      </c>
      <c r="AZ6" s="11">
        <f>-Свод_ОФР!BG53-Свод_ОФР!BG66</f>
        <v>-115386.76418145442</v>
      </c>
      <c r="BA6" s="11">
        <f>-Свод_ОФР!BH53-Свод_ОФР!BH66</f>
        <v>-117688.0826967567</v>
      </c>
      <c r="BB6" s="11">
        <f>-Свод_ОФР!BI53-Свод_ОФР!BI66</f>
        <v>-111303.21606236183</v>
      </c>
      <c r="BC6" s="11">
        <f>-Свод_ОФР!BJ53-Свод_ОФР!BJ66</f>
        <v>-108106.03901108453</v>
      </c>
      <c r="BD6" s="11">
        <f>-Свод_ОФР!BK53-Свод_ОФР!BK66</f>
        <v>-105018.5609464366</v>
      </c>
      <c r="BE6" s="11">
        <f>-Свод_ОФР!BL53-Свод_ОФР!BL66</f>
        <v>-101022.19093041962</v>
      </c>
      <c r="BF6" s="11">
        <f>-Свод_ОФР!BM53-Свод_ОФР!BM66</f>
        <v>-132146.25650348555</v>
      </c>
      <c r="BG6" s="11">
        <f>-Свод_ОФР!BN53-Свод_ОФР!BN66</f>
        <v>-77237.354087898813</v>
      </c>
      <c r="BH6" s="11">
        <f>-Свод_ОФР!BO53-Свод_ОФР!BO66</f>
        <v>-93623.880650518753</v>
      </c>
      <c r="BI6" s="11">
        <f>-Свод_ОФР!BP53-Свод_ОФР!BP66</f>
        <v>-115743.68469999453</v>
      </c>
      <c r="BJ6" s="11">
        <f>-Свод_ОФР!BQ53-Свод_ОФР!BQ66</f>
        <v>-126224.34632843334</v>
      </c>
      <c r="BK6" s="11">
        <f>-Свод_ОФР!BR53-Свод_ОФР!BR66</f>
        <v>-131341.48294703293</v>
      </c>
      <c r="BL6" s="11">
        <f>-Свод_ОФР!BS53-Свод_ОФР!BS66</f>
        <v>-133959.90929546524</v>
      </c>
      <c r="BM6" s="11">
        <f>-Свод_ОФР!BT53-Свод_ОФР!BT66</f>
        <v>-136632.50511969914</v>
      </c>
      <c r="BN6" s="11">
        <f>-Свод_ОФР!BU53-Свод_ОФР!BU66</f>
        <v>-129237.38739535099</v>
      </c>
      <c r="BO6" s="11">
        <f>-Свод_ОФР!BV53-Свод_ОФР!BV66</f>
        <v>-125526.5839542191</v>
      </c>
      <c r="BP6" s="11">
        <f>-Свод_ОФР!BW53-Свод_ОФР!BW66</f>
        <v>-123192.48617979106</v>
      </c>
      <c r="BQ6" s="11">
        <f>-Свод_ОФР!BX53-Свод_ОФР!BX66</f>
        <v>-117310.08443482695</v>
      </c>
      <c r="BR6" s="11">
        <f>-Свод_ОФР!BY53-Свод_ОФР!BY66</f>
        <v>-153463.25580819676</v>
      </c>
      <c r="BS6" s="11">
        <f>-Свод_ОФР!BZ53-Свод_ОФР!BZ66</f>
        <v>-88080.178352678573</v>
      </c>
      <c r="BT6" s="11">
        <f>-Свод_ОФР!CA53-Свод_ОФР!CA66</f>
        <v>-106987.82659631709</v>
      </c>
      <c r="BU6" s="11">
        <f>-Свод_ОФР!CB53-Свод_ОФР!CB66</f>
        <v>-132449.79952602321</v>
      </c>
      <c r="BV6" s="11">
        <f>-Свод_ОФР!CC53-Свод_ОФР!CC66</f>
        <v>-144546.46746614124</v>
      </c>
      <c r="BW6" s="11">
        <f>-Свод_ОФР!CD53-Свод_ОФР!CD66</f>
        <v>-150426.35751496532</v>
      </c>
      <c r="BX6" s="11">
        <f>-Свод_ОФР!CE53-Свод_ОФР!CE66</f>
        <v>-153459.3627934567</v>
      </c>
      <c r="BY6" s="11">
        <f>-Свод_ОФР!CF53-Свод_ОФР!CF66</f>
        <v>-156555.55639878364</v>
      </c>
      <c r="BZ6" s="11">
        <f>-Свод_ОФР!CG53-Свод_ОФР!CG66</f>
        <v>-148081.35510355816</v>
      </c>
      <c r="CA6" s="11">
        <f>-Свод_ОФР!CH53-Свод_ОФР!CH66</f>
        <v>-145365.26041900506</v>
      </c>
      <c r="CB6" s="11">
        <f>-Свод_ОФР!CI53-Свод_ОФР!CI66</f>
        <v>-141232.26274857242</v>
      </c>
      <c r="CC6" s="11">
        <f>-Свод_ОФР!CJ53-Свод_ОФР!CJ66</f>
        <v>-134507.14535129865</v>
      </c>
      <c r="CD6" s="11">
        <f>-Свод_ОФР!CK53-Свод_ОФР!CK66</f>
        <v>-175933.83976056176</v>
      </c>
      <c r="CE6" s="11">
        <f>-Свод_ОФР!CL53-Свод_ОФР!CL66</f>
        <v>0</v>
      </c>
      <c r="CG6" s="11">
        <f>Свод_ОФР!CM6*1.2</f>
        <v>-234013.29599999997</v>
      </c>
      <c r="CH6" s="11">
        <f>-375768</f>
        <v>-375768</v>
      </c>
      <c r="CI6" s="11">
        <f t="shared" si="10"/>
        <v>-206914.89833637979</v>
      </c>
      <c r="CJ6" s="11">
        <f t="shared" si="10"/>
        <v>-504262.33179999993</v>
      </c>
      <c r="CK6" s="11">
        <f t="shared" si="10"/>
        <v>-527317.79175170651</v>
      </c>
      <c r="CL6" s="11">
        <f t="shared" si="10"/>
        <v>-1092656.0890842353</v>
      </c>
      <c r="CM6" s="11">
        <f t="shared" si="10"/>
        <v>-1270024.3252551644</v>
      </c>
      <c r="CN6" s="11">
        <f t="shared" si="10"/>
        <v>-1474335.7851662072</v>
      </c>
    </row>
    <row r="7" spans="2:92" x14ac:dyDescent="0.2">
      <c r="B7" s="90" t="s">
        <v>72</v>
      </c>
      <c r="C7" s="91" t="s">
        <v>4</v>
      </c>
      <c r="D7" s="9"/>
      <c r="F7" s="11">
        <v>-3998.0436058999999</v>
      </c>
      <c r="G7" s="11">
        <v>-3576.0078811000003</v>
      </c>
      <c r="H7" s="11">
        <v>-3556.2032253000007</v>
      </c>
      <c r="I7" s="11">
        <v>-3779.6540845000004</v>
      </c>
      <c r="J7" s="11">
        <v>-3675.3836741</v>
      </c>
      <c r="K7" s="11">
        <v>-4119.6375341000003</v>
      </c>
      <c r="L7" s="11">
        <v>-1816.1980000000001</v>
      </c>
      <c r="M7" s="11">
        <v>-2885.3820000000001</v>
      </c>
      <c r="N7" s="11">
        <v>-2293.21</v>
      </c>
      <c r="O7" s="11">
        <v>-2980.846</v>
      </c>
      <c r="P7" s="11">
        <v>-2325.4839999999999</v>
      </c>
      <c r="Q7" s="11">
        <v>-3310.06</v>
      </c>
      <c r="R7" s="11">
        <v>-3362.69</v>
      </c>
      <c r="S7" s="11">
        <v>-2824.0250000000001</v>
      </c>
      <c r="T7" s="11">
        <v>-2766.1439999999998</v>
      </c>
      <c r="U7" s="11">
        <v>-2800.4920000000002</v>
      </c>
      <c r="V7" s="11">
        <v>-3141.5520000000001</v>
      </c>
      <c r="W7" s="11">
        <v>-3176.2040000000002</v>
      </c>
      <c r="X7" s="11">
        <f>-Свод_ОФР!AD100</f>
        <v>-4167.253457614951</v>
      </c>
      <c r="Y7" s="11">
        <f>-Свод_ОФР!AE100</f>
        <v>-4340.7169682121676</v>
      </c>
      <c r="Z7" s="11">
        <f>-Свод_ОФР!AF100</f>
        <v>-4896.676888680312</v>
      </c>
      <c r="AA7" s="11">
        <f>-Свод_ОФР!AG100</f>
        <v>-4845.0800870256371</v>
      </c>
      <c r="AB7" s="11">
        <f>-Свод_ОФР!AH100</f>
        <v>-5017.9233199060445</v>
      </c>
      <c r="AC7" s="11">
        <f>-Свод_ОФР!AI100</f>
        <v>-5138.1543206400847</v>
      </c>
      <c r="AD7" s="11">
        <f>-Свод_ОФР!AJ100</f>
        <v>-5406.0318900916027</v>
      </c>
      <c r="AE7" s="11">
        <f>-Свод_ОФР!AK100</f>
        <v>-6467.6690645166836</v>
      </c>
      <c r="AF7" s="11">
        <f>-Свод_ОФР!AL100</f>
        <v>-6951.2722243272874</v>
      </c>
      <c r="AG7" s="11">
        <f>-Свод_ОФР!AM100</f>
        <v>-6958.5555664864132</v>
      </c>
      <c r="AH7" s="11">
        <f>-Свод_ОФР!AN100</f>
        <v>-7270.4497000401034</v>
      </c>
      <c r="AI7" s="11">
        <f>-Свод_ОФР!AO100</f>
        <v>-8234.2249091770391</v>
      </c>
      <c r="AJ7" s="11">
        <f>-Свод_ОФР!AP100</f>
        <v>-7509.9518257458685</v>
      </c>
      <c r="AK7" s="11">
        <f>-Свод_ОФР!AQ100</f>
        <v>-8357.0302170288178</v>
      </c>
      <c r="AL7" s="11">
        <f>-Свод_ОФР!AR100</f>
        <v>-9603.8509509436426</v>
      </c>
      <c r="AM7" s="11">
        <f>-Свод_ОФР!AS100</f>
        <v>-10166.736690923677</v>
      </c>
      <c r="AN7" s="11">
        <f>-Свод_ОФР!AT100</f>
        <v>-10490.154425002169</v>
      </c>
      <c r="AO7" s="11">
        <f>-Свод_ОФР!AU100</f>
        <v>-11649.340618006785</v>
      </c>
      <c r="AP7" s="11">
        <f>-Свод_ОФР!AV100</f>
        <v>-11695.866674566239</v>
      </c>
      <c r="AQ7" s="11">
        <f>-Свод_ОФР!AW100</f>
        <v>-10409.097510212428</v>
      </c>
      <c r="AR7" s="11">
        <f>-Свод_ОФР!AX100</f>
        <v>-10218.250432930547</v>
      </c>
      <c r="AS7" s="11">
        <f>-Свод_ОФР!AY100</f>
        <v>-9990.3252352725358</v>
      </c>
      <c r="AT7" s="11">
        <f>-Свод_ОФР!AZ100</f>
        <v>-9620.1300604450207</v>
      </c>
      <c r="AU7" s="11">
        <f>-Свод_ОФР!BA100</f>
        <v>-12054.819440382982</v>
      </c>
      <c r="AV7" s="11">
        <f>-Свод_ОФР!BB100</f>
        <v>-8466.1092956902539</v>
      </c>
      <c r="AW7" s="11">
        <f>-Свод_ОФР!BC100</f>
        <v>-9468.9572562890753</v>
      </c>
      <c r="AX7" s="11">
        <f>-Свод_ОФР!BD100</f>
        <v>-11817.982893475139</v>
      </c>
      <c r="AY7" s="11">
        <f>-Свод_ОФР!BE100</f>
        <v>-11998.855862079457</v>
      </c>
      <c r="AZ7" s="11">
        <f>-Свод_ОФР!BF100</f>
        <v>-12101.224372444889</v>
      </c>
      <c r="BA7" s="11">
        <f>-Свод_ОФР!BG100</f>
        <v>-12154.030362229401</v>
      </c>
      <c r="BB7" s="11">
        <f>-Свод_ОФР!BH100</f>
        <v>-12207.97000873423</v>
      </c>
      <c r="BC7" s="11">
        <f>-Свод_ОФР!BI100</f>
        <v>-12081.207508827514</v>
      </c>
      <c r="BD7" s="11">
        <f>-Свод_ОФР!BJ100</f>
        <v>-12009.939403804314</v>
      </c>
      <c r="BE7" s="11">
        <f>-Свод_ОФР!BK100</f>
        <v>-11942.060318991787</v>
      </c>
      <c r="BF7" s="11">
        <f>-Свод_ОФР!BL100</f>
        <v>-11860.780186620066</v>
      </c>
      <c r="BG7" s="11">
        <f>-Свод_ОФР!BM100</f>
        <v>-12573.990409274176</v>
      </c>
      <c r="BH7" s="11">
        <f>-Свод_ОФР!BN100</f>
        <v>-9541.8317586335106</v>
      </c>
      <c r="BI7" s="11">
        <f>-Свод_ОФР!BO100</f>
        <v>-10703.289314641244</v>
      </c>
      <c r="BJ7" s="11">
        <f>-Свод_ОФР!BP100</f>
        <v>-12290.764630516711</v>
      </c>
      <c r="BK7" s="11">
        <f>-Свод_ОФР!BQ100</f>
        <v>-12500.809255338809</v>
      </c>
      <c r="BL7" s="11">
        <f>-Свод_ОФР!BR100</f>
        <v>-12619.901247778584</v>
      </c>
      <c r="BM7" s="11">
        <f>-Свод_ОФР!BS100</f>
        <v>-12681.380321227132</v>
      </c>
      <c r="BN7" s="11">
        <f>-Свод_ОФР!BT100</f>
        <v>-12744.182864677612</v>
      </c>
      <c r="BO7" s="11">
        <f>-Свод_ОФР!BU100</f>
        <v>-12597.271992455604</v>
      </c>
      <c r="BP7" s="11">
        <f>-Свод_ОФР!BV100</f>
        <v>-12514.514089406668</v>
      </c>
      <c r="BQ7" s="11">
        <f>-Свод_ОФР!BW100</f>
        <v>-12473.175359663484</v>
      </c>
      <c r="BR7" s="11">
        <f>-Свод_ОФР!BX100</f>
        <v>-12341.426669669352</v>
      </c>
      <c r="BS7" s="11">
        <f>-Свод_ОФР!BY100</f>
        <v>-13171.640134527508</v>
      </c>
      <c r="BT7" s="11">
        <f>-Свод_ОФР!BZ100</f>
        <v>-10533.920684427445</v>
      </c>
      <c r="BU7" s="11">
        <f>-Свод_ОФР!CA100</f>
        <v>-12182.084489297416</v>
      </c>
      <c r="BV7" s="11">
        <f>-Свод_ОФР!CB100</f>
        <v>-12705.075276271076</v>
      </c>
      <c r="BW7" s="11">
        <f>-Свод_ОФР!CC100</f>
        <v>-12947.829780716618</v>
      </c>
      <c r="BX7" s="11">
        <f>-Свод_ОФР!CD100</f>
        <v>-13084.56594708084</v>
      </c>
      <c r="BY7" s="11">
        <f>-Свод_ОФР!CE100</f>
        <v>-13156.860786469784</v>
      </c>
      <c r="BZ7" s="11">
        <f>-Свод_ОФР!CF100</f>
        <v>-13230.73164373695</v>
      </c>
      <c r="CA7" s="11">
        <f>-Свод_ОФР!CG100</f>
        <v>-13064.202965416833</v>
      </c>
      <c r="CB7" s="11">
        <f>-Свод_ОФР!CH100</f>
        <v>-13016.849955243659</v>
      </c>
      <c r="CC7" s="11">
        <f>-Свод_ОФР!CI100</f>
        <v>-12926.229872751575</v>
      </c>
      <c r="CD7" s="11">
        <f>-Свод_ОФР!CJ100</f>
        <v>-12776.384701572682</v>
      </c>
      <c r="CE7" s="11">
        <f>-Свод_ОФР!CK100</f>
        <v>-13725.869828718845</v>
      </c>
      <c r="CG7" s="11">
        <f>-53625.965</f>
        <v>-53625.964999999997</v>
      </c>
      <c r="CH7" s="11">
        <f>-13353</f>
        <v>-13353</v>
      </c>
      <c r="CI7" s="11">
        <f t="shared" si="10"/>
        <v>-22704.930005000002</v>
      </c>
      <c r="CJ7" s="11">
        <f t="shared" si="10"/>
        <v>-33682.287000000004</v>
      </c>
      <c r="CK7" s="11">
        <f t="shared" si="10"/>
        <v>-69694.008396718331</v>
      </c>
      <c r="CL7" s="11">
        <f t="shared" si="10"/>
        <v>-121765.55408146071</v>
      </c>
      <c r="CM7" s="11">
        <f t="shared" si="10"/>
        <v>-138683.10787846029</v>
      </c>
      <c r="CN7" s="11">
        <f t="shared" si="10"/>
        <v>-146180.18763853621</v>
      </c>
    </row>
    <row r="8" spans="2:92" x14ac:dyDescent="0.2">
      <c r="B8" s="90" t="s">
        <v>73</v>
      </c>
      <c r="C8" s="91" t="s">
        <v>4</v>
      </c>
      <c r="D8" s="9"/>
      <c r="F8" s="11">
        <v>-7689.1477803551288</v>
      </c>
      <c r="G8" s="11">
        <v>-6528.8069814119899</v>
      </c>
      <c r="H8" s="11">
        <v>-6144.8377110669917</v>
      </c>
      <c r="I8" s="11">
        <v>-8918.7430654654854</v>
      </c>
      <c r="J8" s="11">
        <v>-6580.5185430808751</v>
      </c>
      <c r="K8" s="11">
        <v>-7565.0611174506294</v>
      </c>
      <c r="L8" s="11">
        <v>-435.99299999999999</v>
      </c>
      <c r="M8" s="11">
        <v>-4656.1930000000002</v>
      </c>
      <c r="N8" s="11">
        <v>-873.91674999999998</v>
      </c>
      <c r="O8" s="11"/>
      <c r="P8" s="11"/>
      <c r="Q8" s="11">
        <v>-5009.8090000000002</v>
      </c>
      <c r="R8" s="11">
        <v>-703.15</v>
      </c>
      <c r="S8" s="11">
        <v>-444.29899999999998</v>
      </c>
      <c r="T8" s="11">
        <v>-624.13099999999997</v>
      </c>
      <c r="U8" s="11">
        <v>-1348.319</v>
      </c>
      <c r="V8" s="11">
        <v>-922.08699999999999</v>
      </c>
      <c r="W8" s="11">
        <f>-ОК!Q51</f>
        <v>-838.39599999999996</v>
      </c>
      <c r="X8" s="11">
        <f>-ОК!R51</f>
        <v>-7527.7290285161307</v>
      </c>
      <c r="Y8" s="11">
        <f>-ОК!S51</f>
        <v>-6912.7409021241938</v>
      </c>
      <c r="Z8" s="11">
        <f>-ОК!T51</f>
        <v>-8069.4722333274203</v>
      </c>
      <c r="AA8" s="11">
        <f>-ОК!U51</f>
        <v>-7988.4924942809139</v>
      </c>
      <c r="AB8" s="11">
        <f>-ОК!V51</f>
        <v>-8624.4187345322716</v>
      </c>
      <c r="AC8" s="11">
        <f>-ОК!W51</f>
        <v>-9037.2520756544418</v>
      </c>
      <c r="AD8" s="11">
        <f>-ОК!X51</f>
        <v>-10361.136036780068</v>
      </c>
      <c r="AE8" s="11">
        <f>-ОК!Y51</f>
        <v>-11801.610934088314</v>
      </c>
      <c r="AF8" s="11">
        <f>-ОК!Z51</f>
        <v>-12741.352560253466</v>
      </c>
      <c r="AG8" s="11">
        <f>-ОК!AA51</f>
        <v>-12819.494234460508</v>
      </c>
      <c r="AH8" s="11">
        <f>-ОК!AB51</f>
        <v>-11986.682502015574</v>
      </c>
      <c r="AI8" s="11">
        <f>-ОК!AC51</f>
        <v>-12547.561875307154</v>
      </c>
      <c r="AJ8" s="11">
        <f>-ОК!AD51</f>
        <v>-11420.310844544425</v>
      </c>
      <c r="AK8" s="11">
        <f>-ОК!AE51</f>
        <v>-10676.457286114248</v>
      </c>
      <c r="AL8" s="11">
        <f>-ОК!AF51</f>
        <v>-12850.697531062749</v>
      </c>
      <c r="AM8" s="11">
        <f>-ОК!AG51</f>
        <v>-13081.238539166276</v>
      </c>
      <c r="AN8" s="11">
        <f>-ОК!AH51</f>
        <v>-13904.242617784843</v>
      </c>
      <c r="AO8" s="11">
        <f>-ОК!AI51</f>
        <v>-13784.950005845563</v>
      </c>
      <c r="AP8" s="11">
        <f>-ОК!AJ51</f>
        <v>-14345.102104556869</v>
      </c>
      <c r="AQ8" s="11">
        <f>-ОК!AK51</f>
        <v>-13963.925639972669</v>
      </c>
      <c r="AR8" s="11">
        <f>-ОК!AL51</f>
        <v>-13486.50933418081</v>
      </c>
      <c r="AS8" s="11">
        <f>-ОК!AM51</f>
        <v>-13629.214251244397</v>
      </c>
      <c r="AT8" s="11">
        <f>-ОК!AN51</f>
        <v>-12937.573603969366</v>
      </c>
      <c r="AU8" s="11">
        <f>-ОК!AO51</f>
        <v>-14658.50116408633</v>
      </c>
      <c r="AV8" s="11">
        <f>-ОК!AP51</f>
        <v>-13353.808653911377</v>
      </c>
      <c r="AW8" s="11">
        <f>-ОК!AQ51</f>
        <v>-11975.528633944799</v>
      </c>
      <c r="AX8" s="11">
        <f>-ОК!AR51</f>
        <v>-14468.352638405348</v>
      </c>
      <c r="AY8" s="11">
        <f>-ОК!AS51</f>
        <v>-14760.02473740895</v>
      </c>
      <c r="AZ8" s="11">
        <f>-ОК!AT51</f>
        <v>-15700.694836424093</v>
      </c>
      <c r="BA8" s="11">
        <f>-ОК!AU51</f>
        <v>-15571.854020793671</v>
      </c>
      <c r="BB8" s="11">
        <f>-ОК!AV51</f>
        <v>-16210.39771376114</v>
      </c>
      <c r="BC8" s="11">
        <f>-ОК!AW51</f>
        <v>-15773.912943621102</v>
      </c>
      <c r="BD8" s="11">
        <f>-ОК!AX51</f>
        <v>-15184.255794930086</v>
      </c>
      <c r="BE8" s="11">
        <f>-ОК!AY51</f>
        <v>-15307.539736345054</v>
      </c>
      <c r="BF8" s="11">
        <f>-ОК!AZ51</f>
        <v>-14590.024432568205</v>
      </c>
      <c r="BG8" s="11">
        <f>-ОК!BA51</f>
        <v>-16556.904163420884</v>
      </c>
      <c r="BH8" s="11">
        <f>-ОК!BB51</f>
        <v>-14990.640224516957</v>
      </c>
      <c r="BI8" s="11">
        <f>-ОК!BC51</f>
        <v>-13405.032380564753</v>
      </c>
      <c r="BJ8" s="11">
        <f>-ОК!BD51</f>
        <v>-16252.233596322771</v>
      </c>
      <c r="BK8" s="11">
        <f>-ОК!BE51</f>
        <v>-16619.595941888459</v>
      </c>
      <c r="BL8" s="11">
        <f>-ОК!BF51</f>
        <v>-17697.776893517446</v>
      </c>
      <c r="BM8" s="11">
        <f>-ОК!BG51</f>
        <v>-17562.884718861729</v>
      </c>
      <c r="BN8" s="11">
        <f>-ОК!BH51</f>
        <v>-18290.687767275715</v>
      </c>
      <c r="BO8" s="11">
        <f>-ОК!BI51</f>
        <v>-17791.662939528247</v>
      </c>
      <c r="BP8" s="11">
        <f>-ОК!BJ51</f>
        <v>-17114.243397525443</v>
      </c>
      <c r="BQ8" s="11">
        <f>-ОК!BK51</f>
        <v>-17333.641473176831</v>
      </c>
      <c r="BR8" s="11">
        <f>-ОК!BL51</f>
        <v>-16485.21168570529</v>
      </c>
      <c r="BS8" s="11">
        <f>-ОК!BM51</f>
        <v>-18698.088906998528</v>
      </c>
      <c r="BT8" s="11">
        <f>-ОК!BN51</f>
        <v>-16637.686136553715</v>
      </c>
      <c r="BU8" s="11">
        <f>-ОК!BO51</f>
        <v>-14661.66509402731</v>
      </c>
      <c r="BV8" s="11">
        <f>-ОК!BP51</f>
        <v>-17868.785257465446</v>
      </c>
      <c r="BW8" s="11">
        <f>-ОК!BQ51</f>
        <v>-18337.108285107628</v>
      </c>
      <c r="BX8" s="11">
        <f>-ОК!BR51</f>
        <v>-19556.459714778888</v>
      </c>
      <c r="BY8" s="11">
        <f>-ОК!BS51</f>
        <v>-19423.676770870188</v>
      </c>
      <c r="BZ8" s="11">
        <f>-ОК!BT51</f>
        <v>-20242.693776805721</v>
      </c>
      <c r="CA8" s="11">
        <f>-ОК!BU51</f>
        <v>-19684.282731609372</v>
      </c>
      <c r="CB8" s="11">
        <f>-ОК!BV51</f>
        <v>-19028.928744721707</v>
      </c>
      <c r="CC8" s="11">
        <f>-ОК!BW51</f>
        <v>-19237.558522171166</v>
      </c>
      <c r="CD8" s="11">
        <f>-ОК!BX51</f>
        <v>-18212.732338315433</v>
      </c>
      <c r="CE8" s="11">
        <f>-ОК!BY51</f>
        <v>-18595.022119997659</v>
      </c>
      <c r="CG8" s="11">
        <v>-56764.082999999991</v>
      </c>
      <c r="CH8" s="11">
        <f>-24076</f>
        <v>-24076</v>
      </c>
      <c r="CI8" s="11">
        <f t="shared" si="10"/>
        <v>-43427.115198831096</v>
      </c>
      <c r="CJ8" s="11">
        <f t="shared" si="10"/>
        <v>-15856.293749999999</v>
      </c>
      <c r="CK8" s="11">
        <f t="shared" si="10"/>
        <v>-120417.94361134045</v>
      </c>
      <c r="CL8" s="11">
        <f t="shared" si="10"/>
        <v>-158738.72292252854</v>
      </c>
      <c r="CM8" s="11">
        <f t="shared" si="10"/>
        <v>-179453.2983055347</v>
      </c>
      <c r="CN8" s="11">
        <f t="shared" si="10"/>
        <v>-202241.69992588216</v>
      </c>
    </row>
    <row r="9" spans="2:92" x14ac:dyDescent="0.2">
      <c r="B9" s="90" t="s">
        <v>74</v>
      </c>
      <c r="C9" s="91" t="s">
        <v>4</v>
      </c>
      <c r="D9" s="9"/>
      <c r="F9" s="11">
        <v>-1199.41308177</v>
      </c>
      <c r="G9" s="11">
        <v>-1072.80236433</v>
      </c>
      <c r="H9" s="11">
        <v>-1066.8609675900002</v>
      </c>
      <c r="I9" s="11">
        <v>-1133.8962253500001</v>
      </c>
      <c r="J9" s="11">
        <v>-1102.61510223</v>
      </c>
      <c r="K9" s="11">
        <v>-1235.8912602299999</v>
      </c>
      <c r="L9" s="11">
        <v>-1076.9269368310315</v>
      </c>
      <c r="M9" s="11">
        <v>-2044.9860089260605</v>
      </c>
      <c r="N9" s="11">
        <v>-1304.087590381818</v>
      </c>
      <c r="O9" s="11">
        <v>-2330.9549224383636</v>
      </c>
      <c r="P9" s="11">
        <v>-981.42549264327261</v>
      </c>
      <c r="Q9" s="11">
        <v>-1865.6346474165466</v>
      </c>
      <c r="R9" s="11">
        <v>-2001.3851129186373</v>
      </c>
      <c r="S9" s="11">
        <v>-512.89021600446063</v>
      </c>
      <c r="T9" s="11">
        <v>-1280.6345369278836</v>
      </c>
      <c r="U9" s="11">
        <v>-1423.3271506120611</v>
      </c>
      <c r="V9" s="11">
        <v>-2701.2317436281824</v>
      </c>
      <c r="W9" s="11">
        <v>-1860.4972711365454</v>
      </c>
      <c r="X9" s="11">
        <f t="shared" ref="X9:BJ9" si="11">X7*0.3</f>
        <v>-1250.1760372844853</v>
      </c>
      <c r="Y9" s="11">
        <f t="shared" si="11"/>
        <v>-1302.2150904636503</v>
      </c>
      <c r="Z9" s="11">
        <f t="shared" si="11"/>
        <v>-1469.0030666040936</v>
      </c>
      <c r="AA9" s="11">
        <f t="shared" si="11"/>
        <v>-1453.524026107691</v>
      </c>
      <c r="AB9" s="11">
        <f t="shared" si="11"/>
        <v>-1505.3769959718134</v>
      </c>
      <c r="AC9" s="11">
        <f t="shared" si="11"/>
        <v>-1541.4462961920253</v>
      </c>
      <c r="AD9" s="11">
        <f t="shared" si="11"/>
        <v>-1621.8095670274809</v>
      </c>
      <c r="AE9" s="11">
        <f t="shared" si="11"/>
        <v>-1940.300719355005</v>
      </c>
      <c r="AF9" s="11">
        <f t="shared" si="11"/>
        <v>-2085.3816672981861</v>
      </c>
      <c r="AG9" s="11">
        <f t="shared" si="11"/>
        <v>-2087.5666699459239</v>
      </c>
      <c r="AH9" s="11">
        <f t="shared" si="11"/>
        <v>-2181.134910012031</v>
      </c>
      <c r="AI9" s="11">
        <f t="shared" si="11"/>
        <v>-2470.2674727531116</v>
      </c>
      <c r="AJ9" s="11">
        <f t="shared" si="11"/>
        <v>-2252.9855477237606</v>
      </c>
      <c r="AK9" s="11">
        <f t="shared" si="11"/>
        <v>-2507.1090651086452</v>
      </c>
      <c r="AL9" s="11">
        <f t="shared" si="11"/>
        <v>-2881.1552852830928</v>
      </c>
      <c r="AM9" s="11">
        <f t="shared" si="11"/>
        <v>-3050.0210072771029</v>
      </c>
      <c r="AN9" s="11">
        <f t="shared" si="11"/>
        <v>-3147.0463275006505</v>
      </c>
      <c r="AO9" s="11">
        <f t="shared" si="11"/>
        <v>-3494.8021854020353</v>
      </c>
      <c r="AP9" s="11">
        <f t="shared" si="11"/>
        <v>-3508.7600023698719</v>
      </c>
      <c r="AQ9" s="11">
        <f t="shared" si="11"/>
        <v>-3122.7292530637283</v>
      </c>
      <c r="AR9" s="11">
        <f t="shared" si="11"/>
        <v>-3065.4751298791639</v>
      </c>
      <c r="AS9" s="11">
        <f t="shared" si="11"/>
        <v>-2997.0975705817605</v>
      </c>
      <c r="AT9" s="11">
        <f t="shared" si="11"/>
        <v>-2886.039018133506</v>
      </c>
      <c r="AU9" s="11">
        <f t="shared" si="11"/>
        <v>-3616.4458321148945</v>
      </c>
      <c r="AV9" s="11">
        <f t="shared" si="11"/>
        <v>-2539.8327887070759</v>
      </c>
      <c r="AW9" s="11">
        <f t="shared" si="11"/>
        <v>-2840.6871768867227</v>
      </c>
      <c r="AX9" s="11">
        <f t="shared" si="11"/>
        <v>-3545.3948680425415</v>
      </c>
      <c r="AY9" s="11">
        <f t="shared" si="11"/>
        <v>-3599.656758623837</v>
      </c>
      <c r="AZ9" s="11">
        <f t="shared" si="11"/>
        <v>-3630.3673117334665</v>
      </c>
      <c r="BA9" s="11">
        <f t="shared" si="11"/>
        <v>-3646.2091086688201</v>
      </c>
      <c r="BB9" s="11">
        <f t="shared" si="11"/>
        <v>-3662.3910026202689</v>
      </c>
      <c r="BC9" s="11">
        <f t="shared" si="11"/>
        <v>-3624.3622526482541</v>
      </c>
      <c r="BD9" s="11">
        <f t="shared" si="11"/>
        <v>-3602.9818211412939</v>
      </c>
      <c r="BE9" s="11">
        <f t="shared" si="11"/>
        <v>-3582.6180956975363</v>
      </c>
      <c r="BF9" s="11">
        <f t="shared" si="11"/>
        <v>-3558.2340559860199</v>
      </c>
      <c r="BG9" s="11">
        <f t="shared" si="11"/>
        <v>-3772.1971227822528</v>
      </c>
      <c r="BH9" s="11">
        <f t="shared" si="11"/>
        <v>-2862.549527590053</v>
      </c>
      <c r="BI9" s="11">
        <f t="shared" si="11"/>
        <v>-3210.9867943923732</v>
      </c>
      <c r="BJ9" s="11">
        <f t="shared" si="11"/>
        <v>-3687.229389155013</v>
      </c>
      <c r="BK9" s="11">
        <f t="shared" ref="BK9:CE9" si="12">BK7*0.3</f>
        <v>-3750.2427766016426</v>
      </c>
      <c r="BL9" s="11">
        <f t="shared" si="12"/>
        <v>-3785.9703743335749</v>
      </c>
      <c r="BM9" s="11">
        <f t="shared" si="12"/>
        <v>-3804.4140963681393</v>
      </c>
      <c r="BN9" s="11">
        <f t="shared" si="12"/>
        <v>-3823.2548594032833</v>
      </c>
      <c r="BO9" s="11">
        <f t="shared" si="12"/>
        <v>-3779.1815977366809</v>
      </c>
      <c r="BP9" s="11">
        <f t="shared" si="12"/>
        <v>-3754.3542268220003</v>
      </c>
      <c r="BQ9" s="11">
        <f t="shared" si="12"/>
        <v>-3741.9526078990452</v>
      </c>
      <c r="BR9" s="11">
        <f t="shared" si="12"/>
        <v>-3702.4280009008053</v>
      </c>
      <c r="BS9" s="11">
        <f t="shared" si="12"/>
        <v>-3951.4920403582523</v>
      </c>
      <c r="BT9" s="11">
        <f t="shared" si="12"/>
        <v>-3160.1762053282332</v>
      </c>
      <c r="BU9" s="11">
        <f t="shared" si="12"/>
        <v>-3654.6253467892247</v>
      </c>
      <c r="BV9" s="11">
        <f t="shared" si="12"/>
        <v>-3811.5225828813227</v>
      </c>
      <c r="BW9" s="11">
        <f t="shared" si="12"/>
        <v>-3884.3489342149851</v>
      </c>
      <c r="BX9" s="11">
        <f t="shared" si="12"/>
        <v>-3925.369784124252</v>
      </c>
      <c r="BY9" s="11">
        <f t="shared" si="12"/>
        <v>-3947.058235940935</v>
      </c>
      <c r="BZ9" s="11">
        <f t="shared" si="12"/>
        <v>-3969.2194931210847</v>
      </c>
      <c r="CA9" s="11">
        <f t="shared" si="12"/>
        <v>-3919.2608896250495</v>
      </c>
      <c r="CB9" s="11">
        <f t="shared" si="12"/>
        <v>-3905.0549865730973</v>
      </c>
      <c r="CC9" s="11">
        <f t="shared" si="12"/>
        <v>-3877.8689618254725</v>
      </c>
      <c r="CD9" s="11">
        <f t="shared" si="12"/>
        <v>-3832.9154104718045</v>
      </c>
      <c r="CE9" s="11">
        <f t="shared" si="12"/>
        <v>-4117.7609486156534</v>
      </c>
      <c r="CG9" s="11">
        <v>-7244.5240000000003</v>
      </c>
      <c r="CH9" s="11">
        <f>-1156</f>
        <v>-1156</v>
      </c>
      <c r="CI9" s="11">
        <f t="shared" si="10"/>
        <v>-6811.4790014999999</v>
      </c>
      <c r="CJ9" s="11">
        <f t="shared" si="10"/>
        <v>-19383.981629864862</v>
      </c>
      <c r="CK9" s="11">
        <f t="shared" si="10"/>
        <v>-20908.2025190155</v>
      </c>
      <c r="CL9" s="11">
        <f t="shared" si="10"/>
        <v>-36529.66622443821</v>
      </c>
      <c r="CM9" s="11">
        <f t="shared" si="10"/>
        <v>-41604.932363538079</v>
      </c>
      <c r="CN9" s="11">
        <f t="shared" si="10"/>
        <v>-43854.056291560868</v>
      </c>
    </row>
    <row r="10" spans="2:92" x14ac:dyDescent="0.2">
      <c r="B10" s="90" t="s">
        <v>75</v>
      </c>
      <c r="C10" s="91" t="s">
        <v>4</v>
      </c>
      <c r="D10" s="9"/>
      <c r="F10" s="11">
        <v>-42.066000000000003</v>
      </c>
      <c r="G10" s="11">
        <v>-42.066000000000003</v>
      </c>
      <c r="H10" s="11">
        <v>-489.06454019762759</v>
      </c>
      <c r="I10" s="11">
        <v>-215.96318829337724</v>
      </c>
      <c r="J10" s="11">
        <v>-580.01564858141865</v>
      </c>
      <c r="K10" s="11">
        <v>-637.34782216886197</v>
      </c>
      <c r="L10" s="11">
        <v>-124.37306316896843</v>
      </c>
      <c r="M10" s="11">
        <v>-85.537991073939338</v>
      </c>
      <c r="N10" s="11">
        <v>-1287.122409618182</v>
      </c>
      <c r="O10" s="11">
        <v>-198.92007756163616</v>
      </c>
      <c r="P10" s="11">
        <v>-474.47450735672749</v>
      </c>
      <c r="Q10" s="11">
        <v>-505.47835258345322</v>
      </c>
      <c r="R10" s="11">
        <v>-576.44788708136275</v>
      </c>
      <c r="S10" s="11">
        <v>-522.0797839955394</v>
      </c>
      <c r="T10" s="11">
        <v>-328.07446307211649</v>
      </c>
      <c r="U10" s="11">
        <v>-809.88959043036357</v>
      </c>
      <c r="V10" s="11">
        <v>-757.74429139605854</v>
      </c>
      <c r="W10" s="11">
        <v>-723.00063487921216</v>
      </c>
      <c r="X10" s="11">
        <f>-Свод_ОФР!AD120</f>
        <v>-268.96977583771468</v>
      </c>
      <c r="Y10" s="11">
        <f>-Свод_ОФР!AE120</f>
        <v>-265.27959511565462</v>
      </c>
      <c r="Z10" s="11">
        <f>-Свод_ОФР!AF120</f>
        <v>171.93722138419207</v>
      </c>
      <c r="AA10" s="11">
        <f>-Свод_ОФР!AG120</f>
        <v>0</v>
      </c>
      <c r="AB10" s="11">
        <f>-Свод_ОФР!AH120</f>
        <v>0</v>
      </c>
      <c r="AC10" s="11">
        <f>-Свод_ОФР!AI120</f>
        <v>0</v>
      </c>
      <c r="AD10" s="11">
        <f>-Свод_ОФР!AJ120</f>
        <v>0</v>
      </c>
      <c r="AE10" s="11">
        <f>-Свод_ОФР!AK120</f>
        <v>0</v>
      </c>
      <c r="AF10" s="11">
        <f>-Свод_ОФР!AL120</f>
        <v>0</v>
      </c>
      <c r="AG10" s="11">
        <f>-Свод_ОФР!AM120</f>
        <v>0</v>
      </c>
      <c r="AH10" s="11">
        <f>-Свод_ОФР!AN120</f>
        <v>0</v>
      </c>
      <c r="AI10" s="11">
        <f>-Свод_ОФР!AO120</f>
        <v>0</v>
      </c>
      <c r="AJ10" s="11">
        <f>-Свод_ОФР!AP120</f>
        <v>0</v>
      </c>
      <c r="AK10" s="11">
        <f>-Свод_ОФР!AQ120</f>
        <v>0</v>
      </c>
      <c r="AL10" s="11">
        <f>-Свод_ОФР!AR120</f>
        <v>0</v>
      </c>
      <c r="AM10" s="11">
        <f>-Свод_ОФР!AS120</f>
        <v>0</v>
      </c>
      <c r="AN10" s="11">
        <f>-Свод_ОФР!AT120</f>
        <v>0</v>
      </c>
      <c r="AO10" s="11">
        <f>-Свод_ОФР!AU120</f>
        <v>0</v>
      </c>
      <c r="AP10" s="11">
        <f>-Свод_ОФР!AV120</f>
        <v>0</v>
      </c>
      <c r="AQ10" s="11">
        <f>-Свод_ОФР!AW120</f>
        <v>0</v>
      </c>
      <c r="AR10" s="11">
        <f>-Свод_ОФР!AX120</f>
        <v>0</v>
      </c>
      <c r="AS10" s="11">
        <f>-Свод_ОФР!AY120</f>
        <v>0</v>
      </c>
      <c r="AT10" s="11">
        <f>-Свод_ОФР!AZ120</f>
        <v>0</v>
      </c>
      <c r="AU10" s="11">
        <f>-Свод_ОФР!BA120</f>
        <v>0</v>
      </c>
      <c r="AV10" s="11">
        <f>-Свод_ОФР!BB120</f>
        <v>0</v>
      </c>
      <c r="AW10" s="11">
        <f>-Свод_ОФР!BC120</f>
        <v>0</v>
      </c>
      <c r="AX10" s="11">
        <f>-Свод_ОФР!BD120</f>
        <v>0</v>
      </c>
      <c r="AY10" s="11">
        <f>-Свод_ОФР!BE120</f>
        <v>0</v>
      </c>
      <c r="AZ10" s="11">
        <f>-Свод_ОФР!BF120</f>
        <v>0</v>
      </c>
      <c r="BA10" s="11">
        <f>-Свод_ОФР!BG120</f>
        <v>0</v>
      </c>
      <c r="BB10" s="11">
        <f>-Свод_ОФР!BH120</f>
        <v>0</v>
      </c>
      <c r="BC10" s="11">
        <f>-Свод_ОФР!BI120</f>
        <v>0</v>
      </c>
      <c r="BD10" s="11">
        <f>-Свод_ОФР!BJ120</f>
        <v>0</v>
      </c>
      <c r="BE10" s="11">
        <f>-Свод_ОФР!BK120</f>
        <v>0</v>
      </c>
      <c r="BF10" s="11">
        <f>-Свод_ОФР!BL120</f>
        <v>0</v>
      </c>
      <c r="BG10" s="11">
        <f>-Свод_ОФР!BM120</f>
        <v>-3783.2573534820749</v>
      </c>
      <c r="BH10" s="11">
        <f>-Свод_ОФР!BN120</f>
        <v>-2594.9088718077128</v>
      </c>
      <c r="BI10" s="11">
        <f>-Свод_ОФР!BO120</f>
        <v>-2816.3182182642104</v>
      </c>
      <c r="BJ10" s="11">
        <f>-Свод_ОФР!BP120</f>
        <v>-3282.0127474356013</v>
      </c>
      <c r="BK10" s="11">
        <f>-Свод_ОФР!BQ120</f>
        <v>-3448.7851586000052</v>
      </c>
      <c r="BL10" s="11">
        <f>-Свод_ОФР!BR120</f>
        <v>-3629.0230780883048</v>
      </c>
      <c r="BM10" s="11">
        <f>-Свод_ОФР!BS120</f>
        <v>-3721.6955374811514</v>
      </c>
      <c r="BN10" s="11">
        <f>-Свод_ОФР!BT120</f>
        <v>-3816.3278341006935</v>
      </c>
      <c r="BO10" s="11">
        <f>-Свод_ОФР!BU120</f>
        <v>-3665.7182945582081</v>
      </c>
      <c r="BP10" s="11">
        <f>-Свод_ОФР!BV120</f>
        <v>-3534.5082534788617</v>
      </c>
      <c r="BQ10" s="11">
        <f>-Свод_ОФР!BW120</f>
        <v>-3502.0747422820186</v>
      </c>
      <c r="BR10" s="11">
        <f>-Свод_ОФР!BX120</f>
        <v>-3291.3826260786118</v>
      </c>
      <c r="BS10" s="11">
        <f>-Свод_ОФР!BY120</f>
        <v>-4545.7849447064709</v>
      </c>
      <c r="BT10" s="11">
        <f>-Свод_ОФР!BZ120</f>
        <v>-3069.0706685253936</v>
      </c>
      <c r="BU10" s="11">
        <f>-Свод_ОФР!CA120</f>
        <v>-3322.6658218362863</v>
      </c>
      <c r="BV10" s="11">
        <f>-Свод_ОФР!CB120</f>
        <v>-3853.4286708782256</v>
      </c>
      <c r="BW10" s="11">
        <f>-Свод_ОФР!CC120</f>
        <v>-4045.1335379182729</v>
      </c>
      <c r="BX10" s="11">
        <f>-Свод_ОФР!CD120</f>
        <v>-4250.9140306274185</v>
      </c>
      <c r="BY10" s="11">
        <f>-Свод_ОФР!CE120</f>
        <v>-4358.4309811727671</v>
      </c>
      <c r="BZ10" s="11">
        <f>-Свод_ОФР!CF120</f>
        <v>-4468.2549775650059</v>
      </c>
      <c r="CA10" s="11">
        <f>-Свод_ОФР!CG120</f>
        <v>-4299.4654334382376</v>
      </c>
      <c r="CB10" s="11">
        <f>-Свод_ОФР!CH120</f>
        <v>-4265.6485466420254</v>
      </c>
      <c r="CC10" s="11">
        <f>-Свод_ОФР!CI120</f>
        <v>-4120.4778661027431</v>
      </c>
      <c r="CD10" s="11">
        <f>-Свод_ОФР!CJ120</f>
        <v>-3882.4535412741225</v>
      </c>
      <c r="CE10" s="11">
        <f>-Свод_ОФР!CK120</f>
        <v>-5305.7477844032746</v>
      </c>
      <c r="CG10" s="11">
        <f>-1795</f>
        <v>-1795</v>
      </c>
      <c r="CH10" s="11"/>
      <c r="CI10" s="11">
        <f t="shared" si="10"/>
        <v>-2006.5231992412855</v>
      </c>
      <c r="CJ10" s="11">
        <f t="shared" si="10"/>
        <v>-6393.1430522175597</v>
      </c>
      <c r="CK10" s="11">
        <f t="shared" si="10"/>
        <v>-362.31214956917722</v>
      </c>
      <c r="CL10" s="11">
        <f t="shared" si="10"/>
        <v>0</v>
      </c>
      <c r="CM10" s="11">
        <f t="shared" si="10"/>
        <v>-3783.2573534820749</v>
      </c>
      <c r="CN10" s="11">
        <f t="shared" si="10"/>
        <v>-41848.540306881849</v>
      </c>
    </row>
    <row r="11" spans="2:92" x14ac:dyDescent="0.2">
      <c r="B11" s="92"/>
      <c r="C11" s="91"/>
      <c r="D11" s="9"/>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H11" s="11"/>
      <c r="CI11" s="11">
        <f t="shared" si="10"/>
        <v>0</v>
      </c>
      <c r="CJ11" s="11">
        <f t="shared" si="10"/>
        <v>0</v>
      </c>
      <c r="CK11" s="11">
        <f t="shared" si="10"/>
        <v>0</v>
      </c>
      <c r="CL11" s="11">
        <f t="shared" si="10"/>
        <v>0</v>
      </c>
      <c r="CM11" s="11">
        <f t="shared" si="10"/>
        <v>0</v>
      </c>
      <c r="CN11" s="11">
        <f t="shared" si="10"/>
        <v>0</v>
      </c>
    </row>
    <row r="12" spans="2:92" s="12" customFormat="1" x14ac:dyDescent="0.2">
      <c r="B12" s="88" t="s">
        <v>77</v>
      </c>
      <c r="C12" s="89"/>
      <c r="D12" s="13"/>
      <c r="F12" s="18">
        <v>0</v>
      </c>
      <c r="G12" s="18">
        <v>0</v>
      </c>
      <c r="H12" s="18">
        <v>0</v>
      </c>
      <c r="I12" s="18">
        <v>0</v>
      </c>
      <c r="J12" s="18">
        <v>0</v>
      </c>
      <c r="K12" s="18">
        <v>0</v>
      </c>
      <c r="L12" s="18">
        <v>0</v>
      </c>
      <c r="M12" s="18">
        <v>0</v>
      </c>
      <c r="N12" s="18">
        <v>0</v>
      </c>
      <c r="O12" s="18">
        <v>0</v>
      </c>
      <c r="P12" s="18">
        <v>0</v>
      </c>
      <c r="Q12" s="18">
        <v>0</v>
      </c>
      <c r="R12" s="18">
        <v>0</v>
      </c>
      <c r="S12" s="18">
        <v>0</v>
      </c>
      <c r="T12" s="18">
        <v>0</v>
      </c>
      <c r="U12" s="18">
        <v>0</v>
      </c>
      <c r="V12" s="18">
        <v>0</v>
      </c>
      <c r="W12" s="18">
        <f t="shared" ref="W12:AK12" si="13">SUM(W13:W14)</f>
        <v>-10000</v>
      </c>
      <c r="X12" s="18">
        <f t="shared" si="13"/>
        <v>0</v>
      </c>
      <c r="Y12" s="18">
        <f t="shared" si="13"/>
        <v>-1388</v>
      </c>
      <c r="Z12" s="18">
        <f t="shared" si="13"/>
        <v>-6148.6</v>
      </c>
      <c r="AA12" s="18">
        <f t="shared" si="13"/>
        <v>-17572</v>
      </c>
      <c r="AB12" s="18">
        <f t="shared" si="13"/>
        <v>-14814</v>
      </c>
      <c r="AC12" s="18">
        <f t="shared" si="13"/>
        <v>-332814</v>
      </c>
      <c r="AD12" s="18">
        <f t="shared" si="13"/>
        <v>-10314</v>
      </c>
      <c r="AE12" s="18">
        <f t="shared" si="13"/>
        <v>-3314</v>
      </c>
      <c r="AF12" s="18">
        <f t="shared" si="13"/>
        <v>-564</v>
      </c>
      <c r="AG12" s="18">
        <f t="shared" si="13"/>
        <v>-564</v>
      </c>
      <c r="AH12" s="18">
        <f t="shared" si="13"/>
        <v>-564</v>
      </c>
      <c r="AI12" s="18">
        <f t="shared" si="13"/>
        <v>-564</v>
      </c>
      <c r="AJ12" s="18">
        <f t="shared" si="13"/>
        <v>-564</v>
      </c>
      <c r="AK12" s="18">
        <f t="shared" si="13"/>
        <v>-564</v>
      </c>
      <c r="AL12" s="18">
        <f t="shared" ref="AL12:BJ12" si="14">SUM(AL13:AL14)</f>
        <v>-564</v>
      </c>
      <c r="AM12" s="18">
        <f t="shared" si="14"/>
        <v>-564</v>
      </c>
      <c r="AN12" s="18">
        <f t="shared" si="14"/>
        <v>-564</v>
      </c>
      <c r="AO12" s="18">
        <f t="shared" si="14"/>
        <v>-564</v>
      </c>
      <c r="AP12" s="18">
        <f t="shared" si="14"/>
        <v>-564</v>
      </c>
      <c r="AQ12" s="18">
        <f t="shared" si="14"/>
        <v>-564</v>
      </c>
      <c r="AR12" s="18">
        <f t="shared" si="14"/>
        <v>-564</v>
      </c>
      <c r="AS12" s="18">
        <f t="shared" si="14"/>
        <v>-564</v>
      </c>
      <c r="AT12" s="18">
        <f t="shared" si="14"/>
        <v>-564</v>
      </c>
      <c r="AU12" s="18">
        <f t="shared" si="14"/>
        <v>-564</v>
      </c>
      <c r="AV12" s="18">
        <f t="shared" si="14"/>
        <v>-564</v>
      </c>
      <c r="AW12" s="18">
        <f t="shared" si="14"/>
        <v>-564</v>
      </c>
      <c r="AX12" s="18">
        <f t="shared" si="14"/>
        <v>-564</v>
      </c>
      <c r="AY12" s="18">
        <f t="shared" si="14"/>
        <v>-564</v>
      </c>
      <c r="AZ12" s="18">
        <f t="shared" si="14"/>
        <v>-564</v>
      </c>
      <c r="BA12" s="18">
        <f t="shared" si="14"/>
        <v>-564</v>
      </c>
      <c r="BB12" s="18">
        <f t="shared" si="14"/>
        <v>-564</v>
      </c>
      <c r="BC12" s="18">
        <f t="shared" si="14"/>
        <v>-564</v>
      </c>
      <c r="BD12" s="18">
        <f t="shared" si="14"/>
        <v>-564</v>
      </c>
      <c r="BE12" s="18">
        <f t="shared" si="14"/>
        <v>-564</v>
      </c>
      <c r="BF12" s="18">
        <f t="shared" si="14"/>
        <v>-564</v>
      </c>
      <c r="BG12" s="18">
        <f t="shared" si="14"/>
        <v>-564</v>
      </c>
      <c r="BH12" s="18">
        <f t="shared" si="14"/>
        <v>-564</v>
      </c>
      <c r="BI12" s="18">
        <f t="shared" si="14"/>
        <v>-564</v>
      </c>
      <c r="BJ12" s="18">
        <f t="shared" si="14"/>
        <v>-564</v>
      </c>
      <c r="BK12" s="18">
        <f t="shared" ref="BK12:CE12" si="15">SUM(BK13:BK14)</f>
        <v>-564</v>
      </c>
      <c r="BL12" s="18">
        <f t="shared" si="15"/>
        <v>-564</v>
      </c>
      <c r="BM12" s="18">
        <f t="shared" si="15"/>
        <v>-564</v>
      </c>
      <c r="BN12" s="18">
        <f t="shared" si="15"/>
        <v>-564</v>
      </c>
      <c r="BO12" s="18">
        <f t="shared" si="15"/>
        <v>-564</v>
      </c>
      <c r="BP12" s="18">
        <f t="shared" si="15"/>
        <v>-564</v>
      </c>
      <c r="BQ12" s="18">
        <f t="shared" si="15"/>
        <v>-564</v>
      </c>
      <c r="BR12" s="18">
        <f t="shared" si="15"/>
        <v>-564</v>
      </c>
      <c r="BS12" s="18">
        <f t="shared" si="15"/>
        <v>-564</v>
      </c>
      <c r="BT12" s="18">
        <f t="shared" si="15"/>
        <v>-564</v>
      </c>
      <c r="BU12" s="18">
        <f t="shared" si="15"/>
        <v>-564</v>
      </c>
      <c r="BV12" s="18">
        <f t="shared" si="15"/>
        <v>-564</v>
      </c>
      <c r="BW12" s="18">
        <f t="shared" si="15"/>
        <v>-564</v>
      </c>
      <c r="BX12" s="18">
        <f t="shared" si="15"/>
        <v>-564</v>
      </c>
      <c r="BY12" s="18">
        <f t="shared" si="15"/>
        <v>-564</v>
      </c>
      <c r="BZ12" s="18">
        <f t="shared" si="15"/>
        <v>-564</v>
      </c>
      <c r="CA12" s="18">
        <f t="shared" si="15"/>
        <v>-564</v>
      </c>
      <c r="CB12" s="18">
        <f t="shared" si="15"/>
        <v>-564</v>
      </c>
      <c r="CC12" s="18">
        <f t="shared" si="15"/>
        <v>-564</v>
      </c>
      <c r="CD12" s="18">
        <f t="shared" si="15"/>
        <v>-564</v>
      </c>
      <c r="CE12" s="18">
        <f t="shared" si="15"/>
        <v>-564</v>
      </c>
      <c r="CG12" s="18">
        <f t="shared" ref="CG12:CN12" si="16">SUM(CG13:CG16)</f>
        <v>-5786.6559999999999</v>
      </c>
      <c r="CH12" s="18">
        <f t="shared" si="16"/>
        <v>2204</v>
      </c>
      <c r="CI12" s="18">
        <f t="shared" si="16"/>
        <v>0</v>
      </c>
      <c r="CJ12" s="18">
        <f t="shared" si="16"/>
        <v>-10000</v>
      </c>
      <c r="CK12" s="18">
        <f t="shared" si="16"/>
        <v>-388620.6</v>
      </c>
      <c r="CL12" s="18">
        <f t="shared" si="16"/>
        <v>-6768</v>
      </c>
      <c r="CM12" s="18">
        <f t="shared" si="16"/>
        <v>-6768</v>
      </c>
      <c r="CN12" s="18">
        <f t="shared" si="16"/>
        <v>-6768</v>
      </c>
    </row>
    <row r="13" spans="2:92" x14ac:dyDescent="0.2">
      <c r="B13" s="90" t="s">
        <v>78</v>
      </c>
      <c r="C13" s="91" t="s">
        <v>4</v>
      </c>
      <c r="D13" s="9"/>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f>-Свод_ОФР!AC110</f>
        <v>-10000</v>
      </c>
      <c r="X13" s="11">
        <f>-Свод_ОФР!AD110</f>
        <v>0</v>
      </c>
      <c r="Y13" s="11">
        <f>-Свод_ОФР!AE110</f>
        <v>-1388</v>
      </c>
      <c r="Z13" s="11">
        <f>-Свод_ОФР!AF110</f>
        <v>-6148.6</v>
      </c>
      <c r="AA13" s="11">
        <f>-Свод_ОФР!AG110</f>
        <v>-17572</v>
      </c>
      <c r="AB13" s="11">
        <f>-Свод_ОФР!AH110</f>
        <v>-14814</v>
      </c>
      <c r="AC13" s="11">
        <f>-Свод_ОФР!AI110</f>
        <v>-332814</v>
      </c>
      <c r="AD13" s="11">
        <f>-Свод_ОФР!AJ110</f>
        <v>-10314</v>
      </c>
      <c r="AE13" s="11">
        <f>-Свод_ОФР!AK110</f>
        <v>-3314</v>
      </c>
      <c r="AF13" s="11">
        <f>-Свод_ОФР!AL110</f>
        <v>-564</v>
      </c>
      <c r="AG13" s="11">
        <f>-Свод_ОФР!AM110</f>
        <v>-564</v>
      </c>
      <c r="AH13" s="11">
        <f>-Свод_ОФР!AN110</f>
        <v>-564</v>
      </c>
      <c r="AI13" s="11">
        <f>-Свод_ОФР!AO110</f>
        <v>-564</v>
      </c>
      <c r="AJ13" s="11">
        <f>-Свод_ОФР!AP110</f>
        <v>-564</v>
      </c>
      <c r="AK13" s="11">
        <f>-Свод_ОФР!AQ110</f>
        <v>-564</v>
      </c>
      <c r="AL13" s="11">
        <f>-Свод_ОФР!AR110</f>
        <v>-564</v>
      </c>
      <c r="AM13" s="11">
        <f>-Свод_ОФР!AS110</f>
        <v>-564</v>
      </c>
      <c r="AN13" s="11">
        <f>-Свод_ОФР!AT110</f>
        <v>-564</v>
      </c>
      <c r="AO13" s="11">
        <f>-Свод_ОФР!AU110</f>
        <v>-564</v>
      </c>
      <c r="AP13" s="11">
        <f>-Свод_ОФР!AV110</f>
        <v>-564</v>
      </c>
      <c r="AQ13" s="11">
        <f>-Свод_ОФР!AW110</f>
        <v>-564</v>
      </c>
      <c r="AR13" s="11">
        <f>-Свод_ОФР!AX110</f>
        <v>-564</v>
      </c>
      <c r="AS13" s="11">
        <f>-Свод_ОФР!AY110</f>
        <v>-564</v>
      </c>
      <c r="AT13" s="11">
        <f>-Свод_ОФР!AZ110</f>
        <v>-564</v>
      </c>
      <c r="AU13" s="11">
        <f>-Свод_ОФР!BA110</f>
        <v>-564</v>
      </c>
      <c r="AV13" s="11">
        <f>-Свод_ОФР!BB110</f>
        <v>-564</v>
      </c>
      <c r="AW13" s="11">
        <f>-Свод_ОФР!BC110</f>
        <v>-564</v>
      </c>
      <c r="AX13" s="11">
        <f>-Свод_ОФР!BD110</f>
        <v>-564</v>
      </c>
      <c r="AY13" s="11">
        <f>-Свод_ОФР!BE110</f>
        <v>-564</v>
      </c>
      <c r="AZ13" s="11">
        <f>-Свод_ОФР!BF110</f>
        <v>-564</v>
      </c>
      <c r="BA13" s="11">
        <f>-Свод_ОФР!BG110</f>
        <v>-564</v>
      </c>
      <c r="BB13" s="11">
        <f>-Свод_ОФР!BH110</f>
        <v>-564</v>
      </c>
      <c r="BC13" s="11">
        <f>-Свод_ОФР!BI110</f>
        <v>-564</v>
      </c>
      <c r="BD13" s="11">
        <f>-Свод_ОФР!BJ110</f>
        <v>-564</v>
      </c>
      <c r="BE13" s="11">
        <f>-Свод_ОФР!BK110</f>
        <v>-564</v>
      </c>
      <c r="BF13" s="11">
        <f>-Свод_ОФР!BL110</f>
        <v>-564</v>
      </c>
      <c r="BG13" s="11">
        <f>-Свод_ОФР!BM110</f>
        <v>-564</v>
      </c>
      <c r="BH13" s="11">
        <f>-Свод_ОФР!BN110</f>
        <v>-564</v>
      </c>
      <c r="BI13" s="11">
        <f>-Свод_ОФР!BO110</f>
        <v>-564</v>
      </c>
      <c r="BJ13" s="11">
        <f>-Свод_ОФР!BP110</f>
        <v>-564</v>
      </c>
      <c r="BK13" s="11">
        <f>-Свод_ОФР!BQ110</f>
        <v>-564</v>
      </c>
      <c r="BL13" s="11">
        <f>-Свод_ОФР!BR110</f>
        <v>-564</v>
      </c>
      <c r="BM13" s="11">
        <f>-Свод_ОФР!BS110</f>
        <v>-564</v>
      </c>
      <c r="BN13" s="11">
        <f>-Свод_ОФР!BT110</f>
        <v>-564</v>
      </c>
      <c r="BO13" s="11">
        <f>-Свод_ОФР!BU110</f>
        <v>-564</v>
      </c>
      <c r="BP13" s="11">
        <f>-Свод_ОФР!BV110</f>
        <v>-564</v>
      </c>
      <c r="BQ13" s="11">
        <f>-Свод_ОФР!BW110</f>
        <v>-564</v>
      </c>
      <c r="BR13" s="11">
        <f>-Свод_ОФР!BX110</f>
        <v>-564</v>
      </c>
      <c r="BS13" s="11">
        <f>-Свод_ОФР!BY110</f>
        <v>-564</v>
      </c>
      <c r="BT13" s="11">
        <f>-Свод_ОФР!BZ110</f>
        <v>-564</v>
      </c>
      <c r="BU13" s="11">
        <f>-Свод_ОФР!CA110</f>
        <v>-564</v>
      </c>
      <c r="BV13" s="11">
        <f>-Свод_ОФР!CB110</f>
        <v>-564</v>
      </c>
      <c r="BW13" s="11">
        <f>-Свод_ОФР!CC110</f>
        <v>-564</v>
      </c>
      <c r="BX13" s="11">
        <f>-Свод_ОФР!CD110</f>
        <v>-564</v>
      </c>
      <c r="BY13" s="11">
        <f>-Свод_ОФР!CE110</f>
        <v>-564</v>
      </c>
      <c r="BZ13" s="11">
        <f>-Свод_ОФР!CF110</f>
        <v>-564</v>
      </c>
      <c r="CA13" s="11">
        <f>-Свод_ОФР!CG110</f>
        <v>-564</v>
      </c>
      <c r="CB13" s="11">
        <f>-Свод_ОФР!CH110</f>
        <v>-564</v>
      </c>
      <c r="CC13" s="11">
        <f>-Свод_ОФР!CI110</f>
        <v>-564</v>
      </c>
      <c r="CD13" s="11">
        <f>-Свод_ОФР!CJ110</f>
        <v>-564</v>
      </c>
      <c r="CE13" s="11">
        <f>-Свод_ОФР!CK110</f>
        <v>-564</v>
      </c>
      <c r="CG13" s="11">
        <f>-5786.656</f>
        <v>-5786.6559999999999</v>
      </c>
      <c r="CH13" s="11"/>
      <c r="CI13" s="11">
        <f t="shared" ref="CI13:CN14" si="17">SUMIF($F$2:$CE$2,CI$3,$F13:$CE13)</f>
        <v>0</v>
      </c>
      <c r="CJ13" s="11">
        <f t="shared" si="17"/>
        <v>-10000</v>
      </c>
      <c r="CK13" s="11">
        <f t="shared" si="17"/>
        <v>-388620.6</v>
      </c>
      <c r="CL13" s="11">
        <f t="shared" si="17"/>
        <v>-6768</v>
      </c>
      <c r="CM13" s="11">
        <f t="shared" si="17"/>
        <v>-6768</v>
      </c>
      <c r="CN13" s="11">
        <f t="shared" si="17"/>
        <v>-6768</v>
      </c>
    </row>
    <row r="14" spans="2:92" x14ac:dyDescent="0.2">
      <c r="B14" s="90" t="s">
        <v>79</v>
      </c>
      <c r="C14" s="91" t="s">
        <v>4</v>
      </c>
      <c r="D14" s="9"/>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G14" s="11"/>
      <c r="CH14" s="11"/>
      <c r="CI14" s="11">
        <f t="shared" si="17"/>
        <v>0</v>
      </c>
      <c r="CJ14" s="11">
        <f t="shared" si="17"/>
        <v>0</v>
      </c>
      <c r="CK14" s="11">
        <f t="shared" si="17"/>
        <v>0</v>
      </c>
      <c r="CL14" s="11">
        <f t="shared" si="17"/>
        <v>0</v>
      </c>
      <c r="CM14" s="11">
        <f t="shared" si="17"/>
        <v>0</v>
      </c>
      <c r="CN14" s="11">
        <f t="shared" si="17"/>
        <v>0</v>
      </c>
    </row>
    <row r="15" spans="2:92" x14ac:dyDescent="0.2">
      <c r="B15" s="90" t="s">
        <v>289</v>
      </c>
      <c r="C15" s="91" t="s">
        <v>4</v>
      </c>
      <c r="D15" s="9"/>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H15" s="11">
        <v>2454</v>
      </c>
      <c r="CI15" s="11"/>
      <c r="CJ15" s="11"/>
      <c r="CK15" s="11"/>
      <c r="CL15" s="11"/>
      <c r="CM15" s="11"/>
      <c r="CN15" s="11"/>
    </row>
    <row r="16" spans="2:92" x14ac:dyDescent="0.2">
      <c r="B16" s="90" t="s">
        <v>290</v>
      </c>
      <c r="C16" s="91" t="s">
        <v>4</v>
      </c>
      <c r="D16" s="9"/>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H16" s="11">
        <f>-250</f>
        <v>-250</v>
      </c>
      <c r="CI16" s="11"/>
      <c r="CJ16" s="11"/>
      <c r="CK16" s="11"/>
      <c r="CL16" s="11"/>
      <c r="CM16" s="11"/>
      <c r="CN16" s="11"/>
    </row>
    <row r="17" spans="2:92" x14ac:dyDescent="0.2">
      <c r="B17" s="92"/>
      <c r="C17" s="92"/>
      <c r="CH17" s="11"/>
      <c r="CI17" s="11">
        <f t="shared" ref="CI17:CN17" si="18">SUMIF($F$2:$CE$2,CI$3,$F17:$CE17)</f>
        <v>0</v>
      </c>
      <c r="CJ17" s="11">
        <f t="shared" si="18"/>
        <v>0</v>
      </c>
      <c r="CK17" s="11">
        <f t="shared" si="18"/>
        <v>0</v>
      </c>
      <c r="CL17" s="11">
        <f t="shared" si="18"/>
        <v>0</v>
      </c>
      <c r="CM17" s="11">
        <f t="shared" si="18"/>
        <v>0</v>
      </c>
      <c r="CN17" s="11">
        <f t="shared" si="18"/>
        <v>0</v>
      </c>
    </row>
    <row r="18" spans="2:92" s="12" customFormat="1" x14ac:dyDescent="0.2">
      <c r="B18" s="88" t="s">
        <v>80</v>
      </c>
      <c r="C18" s="88"/>
      <c r="F18" s="18">
        <v>-771.91926999999987</v>
      </c>
      <c r="G18" s="18">
        <v>-1905.6190899999999</v>
      </c>
      <c r="H18" s="18">
        <v>-2748.9510700000001</v>
      </c>
      <c r="I18" s="18">
        <v>3118.9745899999998</v>
      </c>
      <c r="J18" s="18">
        <v>2755.6824499999998</v>
      </c>
      <c r="K18" s="18">
        <v>-2010.7385399999998</v>
      </c>
      <c r="L18" s="18">
        <v>-3354.8440000000001</v>
      </c>
      <c r="M18" s="18">
        <v>-1434.894</v>
      </c>
      <c r="N18" s="18">
        <v>-2938.6810000000014</v>
      </c>
      <c r="O18" s="18">
        <v>-974.2970000000015</v>
      </c>
      <c r="P18" s="18">
        <v>729.0740000000003</v>
      </c>
      <c r="Q18" s="18">
        <v>23471.809000000001</v>
      </c>
      <c r="R18" s="18">
        <v>3954.5009999999988</v>
      </c>
      <c r="S18" s="18">
        <v>-3131.1609999999996</v>
      </c>
      <c r="T18" s="18">
        <v>-1287.1951557509092</v>
      </c>
      <c r="U18" s="18">
        <v>4851.2953636430293</v>
      </c>
      <c r="V18" s="18">
        <v>-2332.9278446903027</v>
      </c>
      <c r="W18" s="18">
        <f t="shared" ref="W18:AK18" si="19">SUM(W19:W29)</f>
        <v>150888.47</v>
      </c>
      <c r="X18" s="18">
        <f t="shared" si="19"/>
        <v>662.4707665763633</v>
      </c>
      <c r="Y18" s="18">
        <f t="shared" si="19"/>
        <v>626.01248887636348</v>
      </c>
      <c r="Z18" s="18">
        <f t="shared" si="19"/>
        <v>1883.3975445096971</v>
      </c>
      <c r="AA18" s="18">
        <f t="shared" si="19"/>
        <v>-10186.559510890303</v>
      </c>
      <c r="AB18" s="18">
        <f t="shared" si="19"/>
        <v>-3024.2032885903027</v>
      </c>
      <c r="AC18" s="18">
        <f t="shared" si="19"/>
        <v>289556.94793370971</v>
      </c>
      <c r="AD18" s="18">
        <f t="shared" si="19"/>
        <v>-5380.7007883569695</v>
      </c>
      <c r="AE18" s="18">
        <f t="shared" si="19"/>
        <v>-5019.299621690303</v>
      </c>
      <c r="AF18" s="18">
        <f t="shared" si="19"/>
        <v>-4958.5984550236362</v>
      </c>
      <c r="AG18" s="18">
        <f t="shared" si="19"/>
        <v>-4897.8972883569695</v>
      </c>
      <c r="AH18" s="18">
        <f t="shared" si="19"/>
        <v>-2375.7377883569698</v>
      </c>
      <c r="AI18" s="18">
        <f t="shared" si="19"/>
        <v>-2353.57828835697</v>
      </c>
      <c r="AJ18" s="18">
        <f t="shared" si="19"/>
        <v>-2314.1516766236364</v>
      </c>
      <c r="AK18" s="18">
        <f t="shared" si="19"/>
        <v>-2291.9921766236366</v>
      </c>
      <c r="AL18" s="18">
        <f t="shared" ref="AL18:BJ18" si="20">SUM(AL19:AL29)</f>
        <v>-2269.8326766236364</v>
      </c>
      <c r="AM18" s="18">
        <f t="shared" si="20"/>
        <v>-3677.6278988458589</v>
      </c>
      <c r="AN18" s="18">
        <f t="shared" si="20"/>
        <v>-3636.7564544014144</v>
      </c>
      <c r="AO18" s="18">
        <f t="shared" si="20"/>
        <v>-3595.88500995697</v>
      </c>
      <c r="AP18" s="18">
        <f t="shared" si="20"/>
        <v>-3555.0135655125255</v>
      </c>
      <c r="AQ18" s="18">
        <f t="shared" si="20"/>
        <v>-3514.142121068081</v>
      </c>
      <c r="AR18" s="18">
        <f t="shared" si="20"/>
        <v>-3473.270676623637</v>
      </c>
      <c r="AS18" s="18">
        <f t="shared" si="20"/>
        <v>-2002.4445099569698</v>
      </c>
      <c r="AT18" s="18">
        <f t="shared" si="20"/>
        <v>-1980.2850099569698</v>
      </c>
      <c r="AU18" s="18">
        <f t="shared" si="20"/>
        <v>-1958.1255099569698</v>
      </c>
      <c r="AV18" s="18">
        <f t="shared" si="20"/>
        <v>-6449.9277214267886</v>
      </c>
      <c r="AW18" s="18">
        <f t="shared" si="20"/>
        <v>-6336.821275442062</v>
      </c>
      <c r="AX18" s="18">
        <f t="shared" si="20"/>
        <v>-6223.7148294573344</v>
      </c>
      <c r="AY18" s="18">
        <f t="shared" si="20"/>
        <v>-6110.6083834726069</v>
      </c>
      <c r="AZ18" s="18">
        <f t="shared" si="20"/>
        <v>-73276.20289344748</v>
      </c>
      <c r="BA18" s="18">
        <f t="shared" si="20"/>
        <v>-270.59328003333337</v>
      </c>
      <c r="BB18" s="18">
        <f t="shared" si="20"/>
        <v>-270.59328003333337</v>
      </c>
      <c r="BC18" s="18">
        <f t="shared" si="20"/>
        <v>-270.59328003333337</v>
      </c>
      <c r="BD18" s="18">
        <f t="shared" si="20"/>
        <v>-270.59328003333337</v>
      </c>
      <c r="BE18" s="18">
        <f t="shared" si="20"/>
        <v>-270.59328003333337</v>
      </c>
      <c r="BF18" s="18">
        <f t="shared" si="20"/>
        <v>-270.59328003333337</v>
      </c>
      <c r="BG18" s="18">
        <f t="shared" si="20"/>
        <v>-67549.294235992944</v>
      </c>
      <c r="BH18" s="18">
        <f t="shared" si="20"/>
        <v>-270.59328003333337</v>
      </c>
      <c r="BI18" s="18">
        <f t="shared" si="20"/>
        <v>-270.59328003333337</v>
      </c>
      <c r="BJ18" s="18">
        <f t="shared" si="20"/>
        <v>-270.59328003333337</v>
      </c>
      <c r="BK18" s="18">
        <f t="shared" ref="BK18:CE18" si="21">SUM(BK19:BK29)</f>
        <v>-270.59328003333337</v>
      </c>
      <c r="BL18" s="18">
        <f t="shared" si="21"/>
        <v>-86573.24372536107</v>
      </c>
      <c r="BM18" s="18">
        <f t="shared" si="21"/>
        <v>-270.59328003333337</v>
      </c>
      <c r="BN18" s="18">
        <f t="shared" si="21"/>
        <v>-270.59328003333337</v>
      </c>
      <c r="BO18" s="18">
        <f t="shared" si="21"/>
        <v>-270.59328003333337</v>
      </c>
      <c r="BP18" s="18">
        <f t="shared" si="21"/>
        <v>-270.59328003333337</v>
      </c>
      <c r="BQ18" s="18">
        <f t="shared" si="21"/>
        <v>-270.59328003333337</v>
      </c>
      <c r="BR18" s="18">
        <f t="shared" si="21"/>
        <v>-270.59328003333337</v>
      </c>
      <c r="BS18" s="18">
        <f t="shared" si="21"/>
        <v>-86573.24372536107</v>
      </c>
      <c r="BT18" s="18">
        <f t="shared" si="21"/>
        <v>-270.59328003333337</v>
      </c>
      <c r="BU18" s="18">
        <f t="shared" si="21"/>
        <v>-270.59328003333337</v>
      </c>
      <c r="BV18" s="18">
        <f t="shared" si="21"/>
        <v>-270.59328003333337</v>
      </c>
      <c r="BW18" s="18">
        <f t="shared" si="21"/>
        <v>-270.59328003333337</v>
      </c>
      <c r="BX18" s="18">
        <f t="shared" si="21"/>
        <v>-109555.82284688838</v>
      </c>
      <c r="BY18" s="18">
        <f t="shared" si="21"/>
        <v>-270.59328003333337</v>
      </c>
      <c r="BZ18" s="18">
        <f t="shared" si="21"/>
        <v>-270.59328003333337</v>
      </c>
      <c r="CA18" s="18">
        <f t="shared" si="21"/>
        <v>-270.59328003333337</v>
      </c>
      <c r="CB18" s="18">
        <f t="shared" si="21"/>
        <v>-270.59328003333337</v>
      </c>
      <c r="CC18" s="18">
        <f t="shared" si="21"/>
        <v>-270.59328003333337</v>
      </c>
      <c r="CD18" s="18">
        <f t="shared" si="21"/>
        <v>-270.59328003333337</v>
      </c>
      <c r="CE18" s="18">
        <f t="shared" si="21"/>
        <v>-109555.82284688838</v>
      </c>
      <c r="CG18" s="18">
        <f t="shared" ref="CG18:CN18" si="22">SUM(CG19:CG29)</f>
        <v>-29706</v>
      </c>
      <c r="CH18" s="18">
        <f t="shared" si="22"/>
        <v>-61500</v>
      </c>
      <c r="CI18" s="18">
        <f t="shared" si="22"/>
        <v>-1562.5709300000012</v>
      </c>
      <c r="CJ18" s="18">
        <f t="shared" si="22"/>
        <v>178914.14936320181</v>
      </c>
      <c r="CK18" s="18">
        <f t="shared" si="22"/>
        <v>254532.25370404968</v>
      </c>
      <c r="CL18" s="18">
        <f t="shared" si="22"/>
        <v>-34269.527286150304</v>
      </c>
      <c r="CM18" s="18">
        <f t="shared" si="22"/>
        <v>-167570.12901943922</v>
      </c>
      <c r="CN18" s="18">
        <f t="shared" si="22"/>
        <v>-175852.42025105548</v>
      </c>
    </row>
    <row r="19" spans="2:92" x14ac:dyDescent="0.2">
      <c r="B19" s="90" t="s">
        <v>81</v>
      </c>
      <c r="C19" s="91" t="s">
        <v>4</v>
      </c>
      <c r="F19" s="248">
        <v>1088.665</v>
      </c>
      <c r="I19" s="248">
        <v>5003.2489999999998</v>
      </c>
      <c r="J19" s="248">
        <v>4758.2929999999997</v>
      </c>
      <c r="K19" s="248">
        <v>58.658000000000001</v>
      </c>
      <c r="L19" s="248">
        <v>0</v>
      </c>
      <c r="M19" s="248">
        <v>0</v>
      </c>
      <c r="N19" s="248">
        <v>0</v>
      </c>
      <c r="O19" s="248">
        <v>0</v>
      </c>
      <c r="P19" s="248">
        <v>2619.7179999999998</v>
      </c>
      <c r="Q19" s="248">
        <v>48750.904000000002</v>
      </c>
      <c r="R19" s="10">
        <v>14732.578</v>
      </c>
      <c r="S19" s="10">
        <v>6381</v>
      </c>
      <c r="T19" s="10">
        <v>7122</v>
      </c>
      <c r="U19" s="10">
        <v>9896</v>
      </c>
      <c r="V19" s="10">
        <v>5000</v>
      </c>
      <c r="W19" s="10">
        <f>Свод_ОФР!AC136</f>
        <v>6044</v>
      </c>
      <c r="X19" s="10">
        <f>Свод_ОФР!AD136</f>
        <v>5000</v>
      </c>
      <c r="Y19" s="10">
        <f>Свод_ОФР!AE136</f>
        <v>5000</v>
      </c>
      <c r="Z19" s="10">
        <f>Свод_ОФР!AF136</f>
        <v>8796</v>
      </c>
      <c r="AA19" s="10">
        <f>Свод_ОФР!AG136</f>
        <v>2500</v>
      </c>
      <c r="AB19" s="10">
        <f>Свод_ОФР!AH136</f>
        <v>2500</v>
      </c>
      <c r="AC19" s="10">
        <f>Свод_ОФР!AI136</f>
        <v>0</v>
      </c>
      <c r="AD19" s="10">
        <f>Свод_ОФР!AJ136</f>
        <v>0</v>
      </c>
      <c r="AE19" s="10">
        <f>Свод_ОФР!AK136</f>
        <v>0</v>
      </c>
      <c r="AF19" s="10">
        <f>Свод_ОФР!AL136</f>
        <v>0</v>
      </c>
      <c r="AG19" s="10">
        <f>Свод_ОФР!AM136</f>
        <v>0</v>
      </c>
      <c r="AH19" s="10">
        <f>Свод_ОФР!AN136</f>
        <v>0</v>
      </c>
      <c r="AI19" s="10">
        <f>Свод_ОФР!AO136</f>
        <v>0</v>
      </c>
      <c r="AJ19" s="10">
        <f>Свод_ОФР!AP136</f>
        <v>0</v>
      </c>
      <c r="AK19" s="10">
        <f>Свод_ОФР!AQ136</f>
        <v>0</v>
      </c>
      <c r="AL19" s="10">
        <f>Свод_ОФР!AR136</f>
        <v>0</v>
      </c>
      <c r="AM19" s="10">
        <f>Свод_ОФР!AS136</f>
        <v>0</v>
      </c>
      <c r="AN19" s="10">
        <f>Свод_ОФР!AT136</f>
        <v>0</v>
      </c>
      <c r="AO19" s="10">
        <f>Свод_ОФР!AU136</f>
        <v>0</v>
      </c>
      <c r="AP19" s="10">
        <f>Свод_ОФР!AV136</f>
        <v>0</v>
      </c>
      <c r="AQ19" s="10">
        <f>Свод_ОФР!AW136</f>
        <v>0</v>
      </c>
      <c r="AR19" s="10">
        <f>Свод_ОФР!AX136</f>
        <v>0</v>
      </c>
      <c r="AS19" s="10">
        <f>Свод_ОФР!AY136</f>
        <v>0</v>
      </c>
      <c r="AT19" s="10">
        <f>Свод_ОФР!AZ136</f>
        <v>0</v>
      </c>
      <c r="AU19" s="10">
        <f>Свод_ОФР!BA136</f>
        <v>0</v>
      </c>
      <c r="AV19" s="10">
        <f>Свод_ОФР!BB136</f>
        <v>0</v>
      </c>
      <c r="AW19" s="10">
        <f>Свод_ОФР!BC136</f>
        <v>0</v>
      </c>
      <c r="AX19" s="10">
        <f>Свод_ОФР!BD136</f>
        <v>0</v>
      </c>
      <c r="AY19" s="10">
        <f>Свод_ОФР!BE136</f>
        <v>0</v>
      </c>
      <c r="AZ19" s="10">
        <f>Свод_ОФР!BF136</f>
        <v>0</v>
      </c>
      <c r="BA19" s="10">
        <f>Свод_ОФР!BG136</f>
        <v>0</v>
      </c>
      <c r="BB19" s="10">
        <f>Свод_ОФР!BH136</f>
        <v>0</v>
      </c>
      <c r="BC19" s="10">
        <f>Свод_ОФР!BI136</f>
        <v>0</v>
      </c>
      <c r="BD19" s="10">
        <f>Свод_ОФР!BJ136</f>
        <v>0</v>
      </c>
      <c r="BE19" s="10">
        <f>Свод_ОФР!BK136</f>
        <v>0</v>
      </c>
      <c r="BF19" s="10">
        <f>Свод_ОФР!BL136</f>
        <v>0</v>
      </c>
      <c r="BG19" s="10">
        <f>Свод_ОФР!BM136</f>
        <v>0</v>
      </c>
      <c r="BH19" s="10">
        <f>Свод_ОФР!BN136</f>
        <v>0</v>
      </c>
      <c r="BI19" s="10">
        <f>Свод_ОФР!BO136</f>
        <v>0</v>
      </c>
      <c r="BJ19" s="10">
        <f>Свод_ОФР!BP136</f>
        <v>0</v>
      </c>
      <c r="BK19" s="10">
        <f>Свод_ОФР!BQ136</f>
        <v>0</v>
      </c>
      <c r="BL19" s="10">
        <f>Свод_ОФР!BR136</f>
        <v>0</v>
      </c>
      <c r="BM19" s="10">
        <f>Свод_ОФР!BS136</f>
        <v>0</v>
      </c>
      <c r="BN19" s="10">
        <f>Свод_ОФР!BT136</f>
        <v>0</v>
      </c>
      <c r="BO19" s="10">
        <f>Свод_ОФР!BU136</f>
        <v>0</v>
      </c>
      <c r="BP19" s="10">
        <f>Свод_ОФР!BV136</f>
        <v>0</v>
      </c>
      <c r="BQ19" s="10">
        <f>Свод_ОФР!BW136</f>
        <v>0</v>
      </c>
      <c r="BR19" s="10">
        <f>Свод_ОФР!BX136</f>
        <v>0</v>
      </c>
      <c r="BS19" s="10">
        <f>Свод_ОФР!BY136</f>
        <v>0</v>
      </c>
      <c r="BT19" s="10">
        <f>Свод_ОФР!BZ136</f>
        <v>0</v>
      </c>
      <c r="BU19" s="10">
        <f>Свод_ОФР!CA136</f>
        <v>0</v>
      </c>
      <c r="BV19" s="10">
        <f>Свод_ОФР!CB136</f>
        <v>0</v>
      </c>
      <c r="BW19" s="10">
        <f>Свод_ОФР!CC136</f>
        <v>0</v>
      </c>
      <c r="BX19" s="10">
        <f>Свод_ОФР!CD136</f>
        <v>0</v>
      </c>
      <c r="BY19" s="10">
        <f>Свод_ОФР!CE136</f>
        <v>0</v>
      </c>
      <c r="BZ19" s="10">
        <f>Свод_ОФР!CF136</f>
        <v>0</v>
      </c>
      <c r="CA19" s="10">
        <f>Свод_ОФР!CG136</f>
        <v>0</v>
      </c>
      <c r="CB19" s="10">
        <f>Свод_ОФР!CH136</f>
        <v>0</v>
      </c>
      <c r="CC19" s="10">
        <f>Свод_ОФР!CI136</f>
        <v>0</v>
      </c>
      <c r="CD19" s="10">
        <f>Свод_ОФР!CJ136</f>
        <v>0</v>
      </c>
      <c r="CE19" s="10">
        <f>Свод_ОФР!CK136</f>
        <v>0</v>
      </c>
      <c r="CG19" s="11"/>
      <c r="CH19" s="11">
        <v>132466</v>
      </c>
      <c r="CI19" s="11">
        <f t="shared" ref="CI19:CN21" si="23">SUMIF($F$2:$CE$2,CI$3,$F19:$CE19)</f>
        <v>10908.864999999998</v>
      </c>
      <c r="CJ19" s="11">
        <f t="shared" si="23"/>
        <v>100546.2</v>
      </c>
      <c r="CK19" s="11">
        <f t="shared" si="23"/>
        <v>23796</v>
      </c>
      <c r="CL19" s="11">
        <f t="shared" si="23"/>
        <v>0</v>
      </c>
      <c r="CM19" s="11">
        <f t="shared" si="23"/>
        <v>0</v>
      </c>
      <c r="CN19" s="11">
        <f t="shared" si="23"/>
        <v>0</v>
      </c>
    </row>
    <row r="20" spans="2:92" x14ac:dyDescent="0.2">
      <c r="B20" s="90" t="s">
        <v>164</v>
      </c>
      <c r="C20" s="91" t="s">
        <v>4</v>
      </c>
      <c r="F20" s="11">
        <v>-1401.1619999999998</v>
      </c>
      <c r="G20" s="11">
        <v>-1410.328</v>
      </c>
      <c r="H20" s="11">
        <v>-2245.32107</v>
      </c>
      <c r="I20" s="11">
        <v>-1377.0619999999999</v>
      </c>
      <c r="J20" s="11">
        <v>-1377.0619999999999</v>
      </c>
      <c r="K20" s="11">
        <v>-1377.0619999999999</v>
      </c>
      <c r="L20" s="11">
        <v>-985.14199999999983</v>
      </c>
      <c r="M20" s="11">
        <v>-48.603000000000065</v>
      </c>
      <c r="N20" s="11">
        <v>-1577.0520000000015</v>
      </c>
      <c r="O20" s="11">
        <v>104.95699999999852</v>
      </c>
      <c r="P20" s="11">
        <v>-623.96199999999953</v>
      </c>
      <c r="Q20" s="11">
        <v>-20336.962</v>
      </c>
      <c r="R20" s="11">
        <v>-9229.3070000000007</v>
      </c>
      <c r="S20" s="11">
        <v>-7925.6539999999995</v>
      </c>
      <c r="T20" s="11">
        <v>-6531.5626027272729</v>
      </c>
      <c r="U20" s="11">
        <v>-2718.53</v>
      </c>
      <c r="V20" s="11">
        <v>-5563.03</v>
      </c>
      <c r="W20" s="11">
        <f>-Свод_ОФР!AC151-Свод_ОФР!AC167</f>
        <v>-9899.5300000000007</v>
      </c>
      <c r="X20" s="11">
        <f>-Свод_ОФР!AD151-Свод_ОФР!AD167</f>
        <v>-2613.5300000000002</v>
      </c>
      <c r="Y20" s="11">
        <f>-Свод_ОФР!AE151-Свод_ОФР!AE167</f>
        <v>-2613.5300000000002</v>
      </c>
      <c r="Z20" s="11">
        <f>-Свод_ОФР!AF151-Свод_ОФР!AF167</f>
        <v>-5113.53</v>
      </c>
      <c r="AA20" s="11">
        <f>-Свод_ОФР!AG151-Свод_ОФР!AG167</f>
        <v>-11055.53</v>
      </c>
      <c r="AB20" s="11">
        <f>-Свод_ОФР!AH151-Свод_ОФР!AH167</f>
        <v>-3922.7</v>
      </c>
      <c r="AC20" s="11">
        <f>-Свод_ОФР!AI151-Свод_ОФР!AI167</f>
        <v>-3922.7</v>
      </c>
      <c r="AD20" s="11">
        <f>-Свод_ОФР!AJ151-Свод_ОФР!AJ167</f>
        <v>-3922.7</v>
      </c>
      <c r="AE20" s="11">
        <f>-Свод_ОФР!AK151-Свод_ОФР!AK167</f>
        <v>-3622</v>
      </c>
      <c r="AF20" s="11">
        <f>-Свод_ОФР!AL151-Свод_ОФР!AL167</f>
        <v>-3622</v>
      </c>
      <c r="AG20" s="11">
        <f>-Свод_ОФР!AM151-Свод_ОФР!AM167</f>
        <v>-3622</v>
      </c>
      <c r="AH20" s="11">
        <f>-Свод_ОФР!AN151-Свод_ОФР!AN167</f>
        <v>-1122</v>
      </c>
      <c r="AI20" s="11">
        <f>-Свод_ОФР!AO151-Свод_ОФР!AO167</f>
        <v>-1122</v>
      </c>
      <c r="AJ20" s="11">
        <f>-Свод_ОФР!AP151-Свод_ОФР!AP167</f>
        <v>-1122</v>
      </c>
      <c r="AK20" s="11">
        <f>-Свод_ОФР!AQ151-Свод_ОФР!AQ167</f>
        <v>-1122</v>
      </c>
      <c r="AL20" s="11">
        <f>-Свод_ОФР!AR151-Свод_ОФР!AR167</f>
        <v>-1122</v>
      </c>
      <c r="AM20" s="11">
        <f>-Свод_ОФР!AS151-Свод_ОФР!AS167</f>
        <v>-2570.666666666667</v>
      </c>
      <c r="AN20" s="11">
        <f>-Свод_ОФР!AT151-Свод_ОФР!AT167</f>
        <v>-2570.666666666667</v>
      </c>
      <c r="AO20" s="11">
        <f>-Свод_ОФР!AU151-Свод_ОФР!AU167</f>
        <v>-2570.666666666667</v>
      </c>
      <c r="AP20" s="11">
        <f>-Свод_ОФР!AV151-Свод_ОФР!AV167</f>
        <v>-2570.666666666667</v>
      </c>
      <c r="AQ20" s="11">
        <f>-Свод_ОФР!AW151-Свод_ОФР!AW167</f>
        <v>-2570.666666666667</v>
      </c>
      <c r="AR20" s="11">
        <f>-Свод_ОФР!AX151-Свод_ОФР!AX167</f>
        <v>-2570.666666666667</v>
      </c>
      <c r="AS20" s="11">
        <f>-Свод_ОФР!AY151-Свод_ОФР!AY167</f>
        <v>-1122</v>
      </c>
      <c r="AT20" s="11">
        <f>-Свод_ОФР!AZ151-Свод_ОФР!AZ167</f>
        <v>-1122</v>
      </c>
      <c r="AU20" s="11">
        <f>-Свод_ОФР!BA151-Свод_ОФР!BA167</f>
        <v>-1122</v>
      </c>
      <c r="AV20" s="11">
        <f>-Свод_ОФР!BB151-Свод_ОФР!BB167</f>
        <v>-5726.9086574545463</v>
      </c>
      <c r="AW20" s="11">
        <f>-Свод_ОФР!BC151-Свод_ОФР!BC167</f>
        <v>-5726.9086574545463</v>
      </c>
      <c r="AX20" s="11">
        <f>-Свод_ОФР!BD151-Свод_ОФР!BD167</f>
        <v>-5726.9086574545463</v>
      </c>
      <c r="AY20" s="11">
        <f>-Свод_ОФР!BE151-Свод_ОФР!BE167</f>
        <v>-5726.9086574545463</v>
      </c>
      <c r="AZ20" s="11">
        <f>-Свод_ОФР!BF151-Свод_ОФР!BF167</f>
        <v>-5726.9086574545463</v>
      </c>
      <c r="BA20" s="11">
        <f>-Свод_ОФР!BG151-Свод_ОФР!BG167</f>
        <v>0</v>
      </c>
      <c r="BB20" s="11">
        <f>-Свод_ОФР!BH151-Свод_ОФР!BH167</f>
        <v>0</v>
      </c>
      <c r="BC20" s="11">
        <f>-Свод_ОФР!BI151-Свод_ОФР!BI167</f>
        <v>0</v>
      </c>
      <c r="BD20" s="11">
        <f>-Свод_ОФР!BJ151-Свод_ОФР!BJ167</f>
        <v>0</v>
      </c>
      <c r="BE20" s="11">
        <f>-Свод_ОФР!BK151-Свод_ОФР!BK167</f>
        <v>0</v>
      </c>
      <c r="BF20" s="11">
        <f>-Свод_ОФР!BL151-Свод_ОФР!BL167</f>
        <v>0</v>
      </c>
      <c r="BG20" s="11">
        <f>-Свод_ОФР!BM151-Свод_ОФР!BM167</f>
        <v>0</v>
      </c>
      <c r="BH20" s="11">
        <f>-Свод_ОФР!BN151-Свод_ОФР!BN167</f>
        <v>0</v>
      </c>
      <c r="BI20" s="11">
        <f>-Свод_ОФР!BO151-Свод_ОФР!BO167</f>
        <v>0</v>
      </c>
      <c r="BJ20" s="11">
        <f>-Свод_ОФР!BP151-Свод_ОФР!BP167</f>
        <v>0</v>
      </c>
      <c r="BK20" s="11">
        <f>-Свод_ОФР!BQ151-Свод_ОФР!BQ167</f>
        <v>0</v>
      </c>
      <c r="BL20" s="11">
        <f>-Свод_ОФР!BR151-Свод_ОФР!BR167</f>
        <v>0</v>
      </c>
      <c r="BM20" s="11">
        <f>-Свод_ОФР!BS151-Свод_ОФР!BS167</f>
        <v>0</v>
      </c>
      <c r="BN20" s="11">
        <f>-Свод_ОФР!BT151-Свод_ОФР!BT167</f>
        <v>0</v>
      </c>
      <c r="BO20" s="11">
        <f>-Свод_ОФР!BU151-Свод_ОФР!BU167</f>
        <v>0</v>
      </c>
      <c r="BP20" s="11">
        <f>-Свод_ОФР!BV151-Свод_ОФР!BV167</f>
        <v>0</v>
      </c>
      <c r="BQ20" s="11">
        <f>-Свод_ОФР!BW151-Свод_ОФР!BW167</f>
        <v>0</v>
      </c>
      <c r="BR20" s="11">
        <f>-Свод_ОФР!BX151-Свод_ОФР!BX167</f>
        <v>0</v>
      </c>
      <c r="BS20" s="11">
        <f>-Свод_ОФР!BY151-Свод_ОФР!BY167</f>
        <v>0</v>
      </c>
      <c r="BT20" s="11">
        <f>-Свод_ОФР!BZ151-Свод_ОФР!BZ167</f>
        <v>0</v>
      </c>
      <c r="BU20" s="11">
        <f>-Свод_ОФР!CA151-Свод_ОФР!CA167</f>
        <v>0</v>
      </c>
      <c r="BV20" s="11">
        <f>-Свод_ОФР!CB151-Свод_ОФР!CB167</f>
        <v>0</v>
      </c>
      <c r="BW20" s="11">
        <f>-Свод_ОФР!CC151-Свод_ОФР!CC167</f>
        <v>0</v>
      </c>
      <c r="BX20" s="11">
        <f>-Свод_ОФР!CD151-Свод_ОФР!CD167</f>
        <v>0</v>
      </c>
      <c r="BY20" s="11">
        <f>-Свод_ОФР!CE151-Свод_ОФР!CE167</f>
        <v>0</v>
      </c>
      <c r="BZ20" s="11">
        <f>-Свод_ОФР!CF151-Свод_ОФР!CF167</f>
        <v>0</v>
      </c>
      <c r="CA20" s="11">
        <f>-Свод_ОФР!CG151-Свод_ОФР!CG167</f>
        <v>0</v>
      </c>
      <c r="CB20" s="11">
        <f>-Свод_ОФР!CH151-Свод_ОФР!CH167</f>
        <v>0</v>
      </c>
      <c r="CC20" s="11">
        <f>-Свод_ОФР!CI151-Свод_ОФР!CI167</f>
        <v>0</v>
      </c>
      <c r="CD20" s="11">
        <f>-Свод_ОФР!CJ151-Свод_ОФР!CJ167</f>
        <v>0</v>
      </c>
      <c r="CE20" s="11">
        <f>-Свод_ОФР!CK151-Свод_ОФР!CK167</f>
        <v>0</v>
      </c>
      <c r="CG20" s="11">
        <f>-13129</f>
        <v>-13129</v>
      </c>
      <c r="CH20" s="11">
        <f>-96983</f>
        <v>-96983</v>
      </c>
      <c r="CI20" s="11">
        <f t="shared" si="23"/>
        <v>-9187.9970699999994</v>
      </c>
      <c r="CJ20" s="11">
        <f t="shared" si="23"/>
        <v>-65334.377602727276</v>
      </c>
      <c r="CK20" s="11">
        <f t="shared" si="23"/>
        <v>-46274.22</v>
      </c>
      <c r="CL20" s="11">
        <f t="shared" si="23"/>
        <v>-22156.000000000004</v>
      </c>
      <c r="CM20" s="11">
        <f t="shared" si="23"/>
        <v>-28634.543287272732</v>
      </c>
      <c r="CN20" s="11">
        <f t="shared" si="23"/>
        <v>0</v>
      </c>
    </row>
    <row r="21" spans="2:92" x14ac:dyDescent="0.2">
      <c r="B21" s="90" t="s">
        <v>76</v>
      </c>
      <c r="C21" s="91" t="s">
        <v>4</v>
      </c>
      <c r="F21" s="11">
        <v>-459.42226999999997</v>
      </c>
      <c r="G21" s="11">
        <v>-495.29108999999994</v>
      </c>
      <c r="H21" s="11">
        <v>-503.63000000000005</v>
      </c>
      <c r="I21" s="11">
        <v>-507.21240999999998</v>
      </c>
      <c r="J21" s="11">
        <v>-625.54854999999998</v>
      </c>
      <c r="K21" s="11">
        <v>-692.33453999999995</v>
      </c>
      <c r="L21" s="11">
        <v>-469.702</v>
      </c>
      <c r="M21" s="11">
        <v>-466.291</v>
      </c>
      <c r="N21" s="11">
        <v>-291.62900000000002</v>
      </c>
      <c r="O21" s="11">
        <v>-289.25400000000002</v>
      </c>
      <c r="P21" s="11">
        <v>-286.68200000000002</v>
      </c>
      <c r="Q21" s="11">
        <v>-927.13300000000004</v>
      </c>
      <c r="R21" s="11">
        <v>-1548.77</v>
      </c>
      <c r="S21" s="11">
        <v>-1586.5070000000001</v>
      </c>
      <c r="T21" s="11">
        <v>-1877.6325530236363</v>
      </c>
      <c r="U21" s="11">
        <v>-1776.1746363569698</v>
      </c>
      <c r="V21" s="11">
        <v>-1766.8978446903031</v>
      </c>
      <c r="W21" s="11"/>
      <c r="X21" s="11">
        <f>Свод_ОФР!AD22+Свод_ОФР!AD23</f>
        <v>-1723.9992334236365</v>
      </c>
      <c r="Y21" s="11">
        <f>Свод_ОФР!AE22+Свод_ОФР!AE23</f>
        <v>-1760.4575111236363</v>
      </c>
      <c r="Z21" s="11">
        <f>Свод_ОФР!AF22+Свод_ОФР!AF23</f>
        <v>-1799.0724554903031</v>
      </c>
      <c r="AA21" s="11">
        <f>Свод_ОФР!AG22+Свод_ОФР!AG23</f>
        <v>-1631.0295108903031</v>
      </c>
      <c r="AB21" s="11">
        <f>Свод_ОФР!AH22+Свод_ОФР!AH23</f>
        <v>-1601.5032885903031</v>
      </c>
      <c r="AC21" s="11">
        <f>Свод_ОФР!AI22+Свод_ОФР!AI23</f>
        <v>-1531.3520662903031</v>
      </c>
      <c r="AD21" s="11">
        <f>Свод_ОФР!AJ22+Свод_ОФР!AJ23</f>
        <v>-1458.0007883569697</v>
      </c>
      <c r="AE21" s="11">
        <f>Свод_ОФР!AK22+Свод_ОФР!AK23</f>
        <v>-1397.2996216903032</v>
      </c>
      <c r="AF21" s="11">
        <f>Свод_ОФР!AL22+Свод_ОФР!AL23</f>
        <v>-1336.5984550236365</v>
      </c>
      <c r="AG21" s="11">
        <f>Свод_ОФР!AM22+Свод_ОФР!AM23</f>
        <v>-1275.8972883569697</v>
      </c>
      <c r="AH21" s="11">
        <f>Свод_ОФР!AN22+Свод_ОФР!AN23</f>
        <v>-1253.7377883569698</v>
      </c>
      <c r="AI21" s="11">
        <f>Свод_ОФР!AO22+Свод_ОФР!AO23</f>
        <v>-1231.5782883569698</v>
      </c>
      <c r="AJ21" s="11">
        <f>Свод_ОФР!AP22+Свод_ОФР!AP23</f>
        <v>-1192.1516766236364</v>
      </c>
      <c r="AK21" s="11">
        <f>Свод_ОФР!AQ22+Свод_ОФР!AQ23</f>
        <v>-1169.9921766236366</v>
      </c>
      <c r="AL21" s="11">
        <f>Свод_ОФР!AR22+Свод_ОФР!AR23</f>
        <v>-1147.8326766236364</v>
      </c>
      <c r="AM21" s="11">
        <f>Свод_ОФР!AS22+Свод_ОФР!AS23</f>
        <v>-1106.9612321791922</v>
      </c>
      <c r="AN21" s="11">
        <f>Свод_ОФР!AT22+Свод_ОФР!AT23</f>
        <v>-1066.0897877347475</v>
      </c>
      <c r="AO21" s="11">
        <f>Свод_ОФР!AU22+Свод_ОФР!AU23</f>
        <v>-1025.218343290303</v>
      </c>
      <c r="AP21" s="11">
        <f>Свод_ОФР!AV22+Свод_ОФР!AV23</f>
        <v>-984.34689884585862</v>
      </c>
      <c r="AQ21" s="11">
        <f>Свод_ОФР!AW22+Свод_ОФР!AW23</f>
        <v>-943.47545440141425</v>
      </c>
      <c r="AR21" s="11">
        <f>Свод_ОФР!AX22+Свод_ОФР!AX23</f>
        <v>-902.60400995696978</v>
      </c>
      <c r="AS21" s="11">
        <f>Свод_ОФР!AY22+Свод_ОФР!AY23</f>
        <v>-880.4445099569698</v>
      </c>
      <c r="AT21" s="11">
        <f>Свод_ОФР!AZ22+Свод_ОФР!AZ23</f>
        <v>-858.28500995696982</v>
      </c>
      <c r="AU21" s="11">
        <f>Свод_ОФР!BA22+Свод_ОФР!BA23</f>
        <v>-836.12550995696984</v>
      </c>
      <c r="AV21" s="11">
        <f>Свод_ОФР!BB22+Свод_ОФР!BB23</f>
        <v>-723.01906397224252</v>
      </c>
      <c r="AW21" s="11">
        <f>Свод_ОФР!BC22+Свод_ОФР!BC23</f>
        <v>-609.9126179875152</v>
      </c>
      <c r="AX21" s="11">
        <f>Свод_ОФР!BD22+Свод_ОФР!BD23</f>
        <v>-496.80617200278789</v>
      </c>
      <c r="AY21" s="11">
        <f>Свод_ОФР!BE22+Свод_ОФР!BE23</f>
        <v>-383.69972601806063</v>
      </c>
      <c r="AZ21" s="11">
        <f>Свод_ОФР!BF22+Свод_ОФР!BF23</f>
        <v>-270.59328003333337</v>
      </c>
      <c r="BA21" s="11">
        <f>Свод_ОФР!BG22+Свод_ОФР!BG23</f>
        <v>-270.59328003333337</v>
      </c>
      <c r="BB21" s="11">
        <f>Свод_ОФР!BH22+Свод_ОФР!BH23</f>
        <v>-270.59328003333337</v>
      </c>
      <c r="BC21" s="11">
        <f>Свод_ОФР!BI22+Свод_ОФР!BI23</f>
        <v>-270.59328003333337</v>
      </c>
      <c r="BD21" s="11">
        <f>Свод_ОФР!BJ22+Свод_ОФР!BJ23</f>
        <v>-270.59328003333337</v>
      </c>
      <c r="BE21" s="11">
        <f>Свод_ОФР!BK22+Свод_ОФР!BK23</f>
        <v>-270.59328003333337</v>
      </c>
      <c r="BF21" s="11">
        <f>Свод_ОФР!BL22+Свод_ОФР!BL23</f>
        <v>-270.59328003333337</v>
      </c>
      <c r="BG21" s="11">
        <f>Свод_ОФР!BM22+Свод_ОФР!BM23</f>
        <v>-270.59328003333337</v>
      </c>
      <c r="BH21" s="11">
        <f>Свод_ОФР!BN22+Свод_ОФР!BN23</f>
        <v>-270.59328003333337</v>
      </c>
      <c r="BI21" s="11">
        <f>Свод_ОФР!BO22+Свод_ОФР!BO23</f>
        <v>-270.59328003333337</v>
      </c>
      <c r="BJ21" s="11">
        <f>Свод_ОФР!BP22+Свод_ОФР!BP23</f>
        <v>-270.59328003333337</v>
      </c>
      <c r="BK21" s="11">
        <f>Свод_ОФР!BQ22+Свод_ОФР!BQ23</f>
        <v>-270.59328003333337</v>
      </c>
      <c r="BL21" s="11">
        <f>Свод_ОФР!BR22+Свод_ОФР!BR23</f>
        <v>-270.59328003333337</v>
      </c>
      <c r="BM21" s="11">
        <f>Свод_ОФР!BS22+Свод_ОФР!BS23</f>
        <v>-270.59328003333337</v>
      </c>
      <c r="BN21" s="11">
        <f>Свод_ОФР!BT22+Свод_ОФР!BT23</f>
        <v>-270.59328003333337</v>
      </c>
      <c r="BO21" s="11">
        <f>Свод_ОФР!BU22+Свод_ОФР!BU23</f>
        <v>-270.59328003333337</v>
      </c>
      <c r="BP21" s="11">
        <f>Свод_ОФР!BV22+Свод_ОФР!BV23</f>
        <v>-270.59328003333337</v>
      </c>
      <c r="BQ21" s="11">
        <f>Свод_ОФР!BW22+Свод_ОФР!BW23</f>
        <v>-270.59328003333337</v>
      </c>
      <c r="BR21" s="11">
        <f>Свод_ОФР!BX22+Свод_ОФР!BX23</f>
        <v>-270.59328003333337</v>
      </c>
      <c r="BS21" s="11">
        <f>Свод_ОФР!BY22+Свод_ОФР!BY23</f>
        <v>-270.59328003333337</v>
      </c>
      <c r="BT21" s="11">
        <f>Свод_ОФР!BZ22+Свод_ОФР!BZ23</f>
        <v>-270.59328003333337</v>
      </c>
      <c r="BU21" s="11">
        <f>Свод_ОФР!CA22+Свод_ОФР!CA23</f>
        <v>-270.59328003333337</v>
      </c>
      <c r="BV21" s="11">
        <f>Свод_ОФР!CB22+Свод_ОФР!CB23</f>
        <v>-270.59328003333337</v>
      </c>
      <c r="BW21" s="11">
        <f>Свод_ОФР!CC22+Свод_ОФР!CC23</f>
        <v>-270.59328003333337</v>
      </c>
      <c r="BX21" s="11">
        <f>Свод_ОФР!CD22+Свод_ОФР!CD23</f>
        <v>-270.59328003333337</v>
      </c>
      <c r="BY21" s="11">
        <f>Свод_ОФР!CE22+Свод_ОФР!CE23</f>
        <v>-270.59328003333337</v>
      </c>
      <c r="BZ21" s="11">
        <f>Свод_ОФР!CF22+Свод_ОФР!CF23</f>
        <v>-270.59328003333337</v>
      </c>
      <c r="CA21" s="11">
        <f>Свод_ОФР!CG22+Свод_ОФР!CG23</f>
        <v>-270.59328003333337</v>
      </c>
      <c r="CB21" s="11">
        <f>Свод_ОФР!CH22+Свод_ОФР!CH23</f>
        <v>-270.59328003333337</v>
      </c>
      <c r="CC21" s="11">
        <f>Свод_ОФР!CI22+Свод_ОФР!CI23</f>
        <v>-270.59328003333337</v>
      </c>
      <c r="CD21" s="11">
        <f>Свод_ОФР!CJ22+Свод_ОФР!CJ23</f>
        <v>-270.59328003333337</v>
      </c>
      <c r="CE21" s="11">
        <f>Свод_ОФР!CK22+Свод_ОФР!CK23</f>
        <v>-270.59328003333337</v>
      </c>
      <c r="CG21" s="11">
        <f>-13129</f>
        <v>-13129</v>
      </c>
      <c r="CH21" s="11">
        <f>-96983</f>
        <v>-96983</v>
      </c>
      <c r="CI21" s="11">
        <f t="shared" si="23"/>
        <v>-3283.4388599999997</v>
      </c>
      <c r="CJ21" s="11">
        <f t="shared" si="23"/>
        <v>-11286.673034070909</v>
      </c>
      <c r="CK21" s="11">
        <f t="shared" si="23"/>
        <v>-18000.526295950302</v>
      </c>
      <c r="CL21" s="11">
        <f t="shared" si="23"/>
        <v>-12113.527286150304</v>
      </c>
      <c r="CM21" s="11">
        <f t="shared" si="23"/>
        <v>-4378.1838202472736</v>
      </c>
      <c r="CN21" s="11">
        <f t="shared" si="23"/>
        <v>-3247.1193604000014</v>
      </c>
    </row>
    <row r="22" spans="2:92" x14ac:dyDescent="0.2">
      <c r="B22" s="90" t="s">
        <v>414</v>
      </c>
      <c r="C22" s="91"/>
      <c r="F22" s="11"/>
      <c r="G22" s="11"/>
      <c r="H22" s="11"/>
      <c r="I22" s="11"/>
      <c r="J22" s="11"/>
      <c r="K22" s="11"/>
      <c r="L22" s="11"/>
      <c r="M22" s="11"/>
      <c r="N22" s="11"/>
      <c r="O22" s="11"/>
      <c r="P22" s="11"/>
      <c r="Q22" s="11"/>
      <c r="R22" s="11"/>
      <c r="S22" s="11"/>
      <c r="T22" s="11"/>
      <c r="U22" s="11">
        <v>-550</v>
      </c>
      <c r="V22" s="11">
        <v>-553</v>
      </c>
      <c r="W22" s="11">
        <f>-245</f>
        <v>-245</v>
      </c>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G22" s="11"/>
      <c r="CH22" s="11"/>
      <c r="CI22" s="11"/>
      <c r="CJ22" s="11"/>
      <c r="CK22" s="11"/>
      <c r="CL22" s="11"/>
      <c r="CM22" s="11"/>
      <c r="CN22" s="11"/>
    </row>
    <row r="23" spans="2:92" x14ac:dyDescent="0.2">
      <c r="B23" s="90" t="s">
        <v>451</v>
      </c>
      <c r="C23" s="91"/>
      <c r="F23" s="11"/>
      <c r="G23" s="11"/>
      <c r="H23" s="11"/>
      <c r="I23" s="11"/>
      <c r="J23" s="11"/>
      <c r="K23" s="11"/>
      <c r="L23" s="11"/>
      <c r="M23" s="11"/>
      <c r="N23" s="11"/>
      <c r="O23" s="11"/>
      <c r="P23" s="11"/>
      <c r="Q23" s="11"/>
      <c r="R23" s="11"/>
      <c r="S23" s="11"/>
      <c r="T23" s="11"/>
      <c r="U23" s="11"/>
      <c r="V23" s="11">
        <v>550</v>
      </c>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G23" s="11"/>
      <c r="CH23" s="11"/>
      <c r="CI23" s="11"/>
      <c r="CJ23" s="11"/>
      <c r="CK23" s="11"/>
      <c r="CL23" s="11"/>
      <c r="CM23" s="11"/>
      <c r="CN23" s="11"/>
    </row>
    <row r="24" spans="2:92" x14ac:dyDescent="0.2">
      <c r="B24" s="90" t="s">
        <v>301</v>
      </c>
      <c r="C24" s="91" t="s">
        <v>4</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G24" s="11"/>
      <c r="CH24" s="11"/>
      <c r="CI24" s="11"/>
      <c r="CJ24" s="11"/>
      <c r="CK24" s="11"/>
      <c r="CL24" s="11"/>
      <c r="CM24" s="11"/>
      <c r="CN24" s="11"/>
    </row>
    <row r="25" spans="2:92" x14ac:dyDescent="0.2">
      <c r="B25" s="90" t="s">
        <v>385</v>
      </c>
      <c r="C25" s="91" t="s">
        <v>4</v>
      </c>
      <c r="F25" s="11"/>
      <c r="G25" s="11"/>
      <c r="H25" s="11"/>
      <c r="I25" s="11"/>
      <c r="J25" s="11"/>
      <c r="K25" s="11"/>
      <c r="L25" s="11">
        <v>-1900</v>
      </c>
      <c r="M25" s="11">
        <v>-920</v>
      </c>
      <c r="N25" s="11">
        <v>-1070</v>
      </c>
      <c r="O25" s="11">
        <v>-790</v>
      </c>
      <c r="P25" s="11">
        <v>-980</v>
      </c>
      <c r="Q25" s="11">
        <v>-4015</v>
      </c>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G25" s="11"/>
      <c r="CH25" s="11"/>
      <c r="CI25" s="11"/>
      <c r="CJ25" s="11"/>
      <c r="CK25" s="11"/>
      <c r="CL25" s="11"/>
      <c r="CM25" s="11"/>
      <c r="CN25" s="11"/>
    </row>
    <row r="26" spans="2:92" x14ac:dyDescent="0.2">
      <c r="B26" s="90" t="s">
        <v>297</v>
      </c>
      <c r="C26" s="91" t="s">
        <v>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G26" s="11"/>
      <c r="CH26" s="11"/>
      <c r="CI26" s="11">
        <f t="shared" ref="CI26:CN31" si="24">SUMIF($F$2:$CE$2,CI$3,$F26:$CE26)</f>
        <v>0</v>
      </c>
      <c r="CJ26" s="11">
        <f t="shared" si="24"/>
        <v>0</v>
      </c>
      <c r="CK26" s="11">
        <f t="shared" si="24"/>
        <v>0</v>
      </c>
      <c r="CL26" s="11">
        <f t="shared" si="24"/>
        <v>0</v>
      </c>
      <c r="CM26" s="11">
        <f t="shared" si="24"/>
        <v>0</v>
      </c>
      <c r="CN26" s="11">
        <f t="shared" si="24"/>
        <v>0</v>
      </c>
    </row>
    <row r="27" spans="2:92" x14ac:dyDescent="0.2">
      <c r="B27" s="90" t="s">
        <v>82</v>
      </c>
      <c r="C27" s="91" t="s">
        <v>4</v>
      </c>
      <c r="F27" s="10"/>
      <c r="G27" s="10"/>
      <c r="H27" s="10"/>
      <c r="I27" s="10"/>
      <c r="J27" s="10"/>
      <c r="K27" s="10"/>
      <c r="L27" s="249"/>
      <c r="M27" s="10"/>
      <c r="N27" s="10"/>
      <c r="O27" s="10"/>
      <c r="P27" s="10"/>
      <c r="Q27" s="10"/>
      <c r="R27" s="10"/>
      <c r="S27" s="10"/>
      <c r="T27" s="10"/>
      <c r="U27" s="10"/>
      <c r="V27" s="10"/>
      <c r="W27" s="10">
        <v>154989</v>
      </c>
      <c r="X27" s="10"/>
      <c r="Y27" s="10"/>
      <c r="Z27" s="10"/>
      <c r="AA27" s="10"/>
      <c r="AB27" s="10"/>
      <c r="AC27" s="10">
        <f>450000-W27</f>
        <v>295011</v>
      </c>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G27" s="11"/>
      <c r="CH27" s="11"/>
      <c r="CI27" s="11">
        <f t="shared" si="24"/>
        <v>0</v>
      </c>
      <c r="CJ27" s="11">
        <f t="shared" si="24"/>
        <v>154989</v>
      </c>
      <c r="CK27" s="11">
        <f t="shared" si="24"/>
        <v>295011</v>
      </c>
      <c r="CL27" s="11">
        <f t="shared" si="24"/>
        <v>0</v>
      </c>
      <c r="CM27" s="11">
        <f t="shared" si="24"/>
        <v>0</v>
      </c>
      <c r="CN27" s="11">
        <f t="shared" si="24"/>
        <v>0</v>
      </c>
    </row>
    <row r="28" spans="2:92" x14ac:dyDescent="0.2">
      <c r="B28" s="90" t="s">
        <v>83</v>
      </c>
      <c r="C28" s="91" t="s">
        <v>4</v>
      </c>
      <c r="CG28" s="11"/>
      <c r="CH28" s="11"/>
      <c r="CI28" s="11">
        <f t="shared" si="24"/>
        <v>0</v>
      </c>
      <c r="CJ28" s="11">
        <f t="shared" si="24"/>
        <v>0</v>
      </c>
      <c r="CK28" s="11">
        <f t="shared" si="24"/>
        <v>0</v>
      </c>
      <c r="CL28" s="11">
        <f t="shared" si="24"/>
        <v>0</v>
      </c>
      <c r="CM28" s="11">
        <f t="shared" si="24"/>
        <v>0</v>
      </c>
      <c r="CN28" s="11">
        <f t="shared" si="24"/>
        <v>0</v>
      </c>
    </row>
    <row r="29" spans="2:92" x14ac:dyDescent="0.2">
      <c r="B29" s="90" t="s">
        <v>84</v>
      </c>
      <c r="C29" s="91" t="s">
        <v>4</v>
      </c>
      <c r="F29" s="11">
        <f>-Свод_ОФР!L32</f>
        <v>0</v>
      </c>
      <c r="G29" s="11">
        <f>-Свод_ОФР!M32</f>
        <v>0</v>
      </c>
      <c r="H29" s="11">
        <f>-Свод_ОФР!N32</f>
        <v>0</v>
      </c>
      <c r="I29" s="11">
        <f>-Свод_ОФР!O32</f>
        <v>0</v>
      </c>
      <c r="J29" s="11">
        <f>-Свод_ОФР!P32</f>
        <v>0</v>
      </c>
      <c r="K29" s="11">
        <f>-Свод_ОФР!Q32</f>
        <v>0</v>
      </c>
      <c r="L29" s="11">
        <f>-Свод_ОФР!R32</f>
        <v>0</v>
      </c>
      <c r="M29" s="11">
        <f>-Свод_ОФР!S32</f>
        <v>0</v>
      </c>
      <c r="N29" s="11">
        <f>-Свод_ОФР!T32</f>
        <v>0</v>
      </c>
      <c r="O29" s="11">
        <f>-Свод_ОФР!U32</f>
        <v>0</v>
      </c>
      <c r="P29" s="11">
        <f>-Свод_ОФР!V32</f>
        <v>0</v>
      </c>
      <c r="Q29" s="11">
        <f>-Свод_ОФР!W32</f>
        <v>0</v>
      </c>
      <c r="R29" s="11">
        <f>-Свод_ОФР!X32</f>
        <v>0</v>
      </c>
      <c r="S29" s="11">
        <f>-Свод_ОФР!Y32</f>
        <v>0</v>
      </c>
      <c r="T29" s="11">
        <f>-Свод_ОФР!Z32</f>
        <v>0</v>
      </c>
      <c r="U29" s="11">
        <f>-Свод_ОФР!AA32</f>
        <v>0</v>
      </c>
      <c r="V29" s="11">
        <f>-Свод_ОФР!AB32</f>
        <v>0</v>
      </c>
      <c r="W29" s="11">
        <f>-Свод_ОФР!AC32</f>
        <v>0</v>
      </c>
      <c r="X29" s="11">
        <f>-Свод_ОФР!AD32</f>
        <v>0</v>
      </c>
      <c r="Y29" s="11">
        <f>-Свод_ОФР!AE32</f>
        <v>0</v>
      </c>
      <c r="Z29" s="11">
        <f>-Свод_ОФР!AF32</f>
        <v>0</v>
      </c>
      <c r="AA29" s="11">
        <f>-Свод_ОФР!AG32</f>
        <v>0</v>
      </c>
      <c r="AB29" s="11">
        <f>-Свод_ОФР!AH32</f>
        <v>0</v>
      </c>
      <c r="AC29" s="11">
        <f>-Свод_ОФР!AI32</f>
        <v>0</v>
      </c>
      <c r="AD29" s="11">
        <f>-Свод_ОФР!AJ32</f>
        <v>0</v>
      </c>
      <c r="AE29" s="11">
        <f>-Свод_ОФР!AK32</f>
        <v>0</v>
      </c>
      <c r="AF29" s="11">
        <f>-Свод_ОФР!AL32</f>
        <v>0</v>
      </c>
      <c r="AG29" s="11">
        <f>-Свод_ОФР!AM32</f>
        <v>0</v>
      </c>
      <c r="AH29" s="11">
        <f>-Свод_ОФР!AN32</f>
        <v>0</v>
      </c>
      <c r="AI29" s="11">
        <f>-Свод_ОФР!AO32</f>
        <v>0</v>
      </c>
      <c r="AJ29" s="11">
        <f>-Свод_ОФР!AP32</f>
        <v>0</v>
      </c>
      <c r="AK29" s="11">
        <f>-Свод_ОФР!AQ32</f>
        <v>0</v>
      </c>
      <c r="AL29" s="11">
        <f>-Свод_ОФР!AR32</f>
        <v>0</v>
      </c>
      <c r="AM29" s="11">
        <f>-Свод_ОФР!AS32</f>
        <v>0</v>
      </c>
      <c r="AN29" s="11">
        <f>-Свод_ОФР!AT32</f>
        <v>0</v>
      </c>
      <c r="AO29" s="11">
        <f>-Свод_ОФР!AU32</f>
        <v>0</v>
      </c>
      <c r="AP29" s="11">
        <f>-Свод_ОФР!AV32</f>
        <v>0</v>
      </c>
      <c r="AQ29" s="11">
        <f>-Свод_ОФР!AW32</f>
        <v>0</v>
      </c>
      <c r="AR29" s="11">
        <f>-Свод_ОФР!AX32</f>
        <v>0</v>
      </c>
      <c r="AS29" s="11">
        <f>-Свод_ОФР!AY32</f>
        <v>0</v>
      </c>
      <c r="AT29" s="11">
        <f>-Свод_ОФР!AZ32</f>
        <v>0</v>
      </c>
      <c r="AU29" s="11">
        <f>-Свод_ОФР!BA32</f>
        <v>0</v>
      </c>
      <c r="AV29" s="11">
        <f>-Свод_ОФР!BB32</f>
        <v>0</v>
      </c>
      <c r="AW29" s="11">
        <f>-Свод_ОФР!BC32</f>
        <v>0</v>
      </c>
      <c r="AX29" s="11">
        <f>-Свод_ОФР!BD32</f>
        <v>0</v>
      </c>
      <c r="AY29" s="11">
        <f>-Свод_ОФР!BE32</f>
        <v>0</v>
      </c>
      <c r="AZ29" s="11">
        <f>-Свод_ОФР!BF32</f>
        <v>-67278.700955959604</v>
      </c>
      <c r="BA29" s="11">
        <f>-Свод_ОФР!BG32</f>
        <v>0</v>
      </c>
      <c r="BB29" s="11">
        <f>-Свод_ОФР!BH32</f>
        <v>0</v>
      </c>
      <c r="BC29" s="11">
        <f>-Свод_ОФР!BI32</f>
        <v>0</v>
      </c>
      <c r="BD29" s="11">
        <f>-Свод_ОФР!BJ32</f>
        <v>0</v>
      </c>
      <c r="BE29" s="11">
        <f>-Свод_ОФР!BK32</f>
        <v>0</v>
      </c>
      <c r="BF29" s="11">
        <f>-Свод_ОФР!BL32</f>
        <v>0</v>
      </c>
      <c r="BG29" s="11">
        <f>-Свод_ОФР!BM32</f>
        <v>-67278.700955959604</v>
      </c>
      <c r="BH29" s="11">
        <f>-Свод_ОФР!BN32</f>
        <v>0</v>
      </c>
      <c r="BI29" s="11">
        <f>-Свод_ОФР!BO32</f>
        <v>0</v>
      </c>
      <c r="BJ29" s="11">
        <f>-Свод_ОФР!BP32</f>
        <v>0</v>
      </c>
      <c r="BK29" s="11">
        <f>-Свод_ОФР!BQ32</f>
        <v>0</v>
      </c>
      <c r="BL29" s="11">
        <f>-Свод_ОФР!BR32</f>
        <v>-86302.65044532773</v>
      </c>
      <c r="BM29" s="11">
        <f>-Свод_ОФР!BS32</f>
        <v>0</v>
      </c>
      <c r="BN29" s="11">
        <f>-Свод_ОФР!BT32</f>
        <v>0</v>
      </c>
      <c r="BO29" s="11">
        <f>-Свод_ОФР!BU32</f>
        <v>0</v>
      </c>
      <c r="BP29" s="11">
        <f>-Свод_ОФР!BV32</f>
        <v>0</v>
      </c>
      <c r="BQ29" s="11">
        <f>-Свод_ОФР!BW32</f>
        <v>0</v>
      </c>
      <c r="BR29" s="11">
        <f>-Свод_ОФР!BX32</f>
        <v>0</v>
      </c>
      <c r="BS29" s="11">
        <f>-Свод_ОФР!BY32</f>
        <v>-86302.65044532773</v>
      </c>
      <c r="BT29" s="11">
        <f>-Свод_ОФР!BZ32</f>
        <v>0</v>
      </c>
      <c r="BU29" s="11">
        <f>-Свод_ОФР!CA32</f>
        <v>0</v>
      </c>
      <c r="BV29" s="11">
        <f>-Свод_ОФР!CB32</f>
        <v>0</v>
      </c>
      <c r="BW29" s="11">
        <f>-Свод_ОФР!CC32</f>
        <v>0</v>
      </c>
      <c r="BX29" s="11">
        <f>-Свод_ОФР!CD32</f>
        <v>-109285.22956685504</v>
      </c>
      <c r="BY29" s="11">
        <f>-Свод_ОФР!CE32</f>
        <v>0</v>
      </c>
      <c r="BZ29" s="11">
        <f>-Свод_ОФР!CF32</f>
        <v>0</v>
      </c>
      <c r="CA29" s="11">
        <f>-Свод_ОФР!CG32</f>
        <v>0</v>
      </c>
      <c r="CB29" s="11">
        <f>-Свод_ОФР!CH32</f>
        <v>0</v>
      </c>
      <c r="CC29" s="11">
        <f>-Свод_ОФР!CI32</f>
        <v>0</v>
      </c>
      <c r="CD29" s="11">
        <f>-Свод_ОФР!CJ32</f>
        <v>0</v>
      </c>
      <c r="CE29" s="11">
        <f>-Свод_ОФР!CK32</f>
        <v>-109285.22956685504</v>
      </c>
      <c r="CG29" s="11">
        <f>-3448</f>
        <v>-3448</v>
      </c>
      <c r="CH29" s="11"/>
      <c r="CI29" s="11">
        <f t="shared" si="24"/>
        <v>0</v>
      </c>
      <c r="CJ29" s="11">
        <f t="shared" si="24"/>
        <v>0</v>
      </c>
      <c r="CK29" s="11">
        <f t="shared" si="24"/>
        <v>0</v>
      </c>
      <c r="CL29" s="11">
        <f t="shared" si="24"/>
        <v>0</v>
      </c>
      <c r="CM29" s="11">
        <f t="shared" si="24"/>
        <v>-134557.40191191921</v>
      </c>
      <c r="CN29" s="11">
        <f t="shared" si="24"/>
        <v>-172605.30089065546</v>
      </c>
    </row>
    <row r="30" spans="2:92" x14ac:dyDescent="0.2">
      <c r="B30" s="92"/>
      <c r="C30" s="92"/>
      <c r="CH30" s="11"/>
      <c r="CI30" s="11">
        <f t="shared" si="24"/>
        <v>0</v>
      </c>
      <c r="CJ30" s="11">
        <f t="shared" si="24"/>
        <v>0</v>
      </c>
      <c r="CK30" s="11">
        <f t="shared" si="24"/>
        <v>0</v>
      </c>
      <c r="CL30" s="11">
        <f t="shared" si="24"/>
        <v>0</v>
      </c>
      <c r="CM30" s="11">
        <f t="shared" si="24"/>
        <v>0</v>
      </c>
      <c r="CN30" s="11">
        <f t="shared" si="24"/>
        <v>0</v>
      </c>
    </row>
    <row r="31" spans="2:92" s="12" customFormat="1" x14ac:dyDescent="0.2">
      <c r="B31" s="88" t="s">
        <v>85</v>
      </c>
      <c r="C31" s="91" t="s">
        <v>4</v>
      </c>
      <c r="F31" s="93">
        <f t="shared" ref="F31:AK31" si="25">F4+F12+F18</f>
        <v>0.18712187979417649</v>
      </c>
      <c r="G31" s="93">
        <f t="shared" si="25"/>
        <v>5540.8807231204764</v>
      </c>
      <c r="H31" s="93">
        <f t="shared" si="25"/>
        <v>-4464.9039049704716</v>
      </c>
      <c r="I31" s="93">
        <f t="shared" si="25"/>
        <v>-945.97972537915393</v>
      </c>
      <c r="J31" s="93">
        <f t="shared" si="25"/>
        <v>-457.24458199892933</v>
      </c>
      <c r="K31" s="93">
        <f t="shared" si="25"/>
        <v>592.54369639610059</v>
      </c>
      <c r="L31" s="93">
        <f t="shared" si="25"/>
        <v>-367.44699999999466</v>
      </c>
      <c r="M31" s="93">
        <f t="shared" si="25"/>
        <v>123.50454000000059</v>
      </c>
      <c r="N31" s="93">
        <f t="shared" si="25"/>
        <v>-139.64309000000776</v>
      </c>
      <c r="O31" s="93">
        <f t="shared" si="25"/>
        <v>10.384999999997149</v>
      </c>
      <c r="P31" s="93">
        <f t="shared" si="25"/>
        <v>-20.513000000001057</v>
      </c>
      <c r="Q31" s="93">
        <f t="shared" si="25"/>
        <v>1013.6350000000057</v>
      </c>
      <c r="R31" s="93">
        <f t="shared" si="25"/>
        <v>-631.65199999999777</v>
      </c>
      <c r="S31" s="93">
        <f t="shared" si="25"/>
        <v>-247.48899999999912</v>
      </c>
      <c r="T31" s="93">
        <f t="shared" si="25"/>
        <v>-39.992155750903521</v>
      </c>
      <c r="U31" s="93">
        <f t="shared" si="25"/>
        <v>70.993622600599338</v>
      </c>
      <c r="V31" s="93">
        <f t="shared" si="25"/>
        <v>-51.635879714543535</v>
      </c>
      <c r="W31" s="93">
        <f t="shared" si="25"/>
        <v>115977.47409398424</v>
      </c>
      <c r="X31" s="93">
        <f t="shared" si="25"/>
        <v>19756.537475645669</v>
      </c>
      <c r="Y31" s="93">
        <f t="shared" si="25"/>
        <v>-9077.9227288549573</v>
      </c>
      <c r="Z31" s="93">
        <f t="shared" si="25"/>
        <v>-3350.5992138942133</v>
      </c>
      <c r="AA31" s="93">
        <f t="shared" si="25"/>
        <v>-25248.90892154846</v>
      </c>
      <c r="AB31" s="93">
        <f t="shared" si="25"/>
        <v>-14337.563248726821</v>
      </c>
      <c r="AC31" s="93">
        <f t="shared" si="25"/>
        <v>-42347.382239247032</v>
      </c>
      <c r="AD31" s="93">
        <f t="shared" si="25"/>
        <v>-21317.324697178803</v>
      </c>
      <c r="AE31" s="93">
        <f t="shared" si="25"/>
        <v>-17586.907828587915</v>
      </c>
      <c r="AF31" s="93">
        <f t="shared" si="25"/>
        <v>-1657.3812568864601</v>
      </c>
      <c r="AG31" s="93">
        <f t="shared" si="25"/>
        <v>6598.3668913255297</v>
      </c>
      <c r="AH31" s="93">
        <f t="shared" si="25"/>
        <v>-4537.2684624411577</v>
      </c>
      <c r="AI31" s="93">
        <f t="shared" si="25"/>
        <v>15282.673082848036</v>
      </c>
      <c r="AJ31" s="93">
        <f t="shared" si="25"/>
        <v>15814.757232104696</v>
      </c>
      <c r="AK31" s="93">
        <f t="shared" si="25"/>
        <v>-19527.114479245836</v>
      </c>
      <c r="AL31" s="93">
        <f t="shared" ref="AL31:BJ31" si="26">AL4+AL12+AL18</f>
        <v>5374.5532636062726</v>
      </c>
      <c r="AM31" s="93">
        <f t="shared" si="26"/>
        <v>5964.619655069816</v>
      </c>
      <c r="AN31" s="93">
        <f t="shared" si="26"/>
        <v>20158.798936451665</v>
      </c>
      <c r="AO31" s="93">
        <f t="shared" si="26"/>
        <v>14100.472225551077</v>
      </c>
      <c r="AP31" s="93">
        <f t="shared" si="26"/>
        <v>30426.078695032949</v>
      </c>
      <c r="AQ31" s="93">
        <f t="shared" si="26"/>
        <v>32128.695312725857</v>
      </c>
      <c r="AR31" s="93">
        <f t="shared" si="26"/>
        <v>24635.05883362173</v>
      </c>
      <c r="AS31" s="93">
        <f t="shared" si="26"/>
        <v>34149.850045906547</v>
      </c>
      <c r="AT31" s="93">
        <f t="shared" si="26"/>
        <v>-4589.3518215557797</v>
      </c>
      <c r="AU31" s="93">
        <f t="shared" si="26"/>
        <v>48145.734004665966</v>
      </c>
      <c r="AV31" s="93">
        <f t="shared" si="26"/>
        <v>54220.830493110203</v>
      </c>
      <c r="AW31" s="93">
        <f t="shared" si="26"/>
        <v>-25515.20265180221</v>
      </c>
      <c r="AX31" s="93">
        <f t="shared" si="26"/>
        <v>2705.5332937236963</v>
      </c>
      <c r="AY31" s="93">
        <f t="shared" si="26"/>
        <v>5670.2599330534922</v>
      </c>
      <c r="AZ31" s="93">
        <f t="shared" si="26"/>
        <v>-44682.697661738814</v>
      </c>
      <c r="BA31" s="93">
        <f t="shared" si="26"/>
        <v>22905.902947313582</v>
      </c>
      <c r="BB31" s="93">
        <f t="shared" si="26"/>
        <v>41832.347055525301</v>
      </c>
      <c r="BC31" s="93">
        <f t="shared" si="26"/>
        <v>41973.45353215919</v>
      </c>
      <c r="BD31" s="93">
        <f t="shared" si="26"/>
        <v>33058.782623286512</v>
      </c>
      <c r="BE31" s="93">
        <f t="shared" si="26"/>
        <v>41175.324763221586</v>
      </c>
      <c r="BF31" s="93">
        <f t="shared" si="26"/>
        <v>-3028.1631391515921</v>
      </c>
      <c r="BG31" s="93">
        <f t="shared" si="26"/>
        <v>-8766.7433569111381</v>
      </c>
      <c r="BH31" s="93">
        <f t="shared" si="26"/>
        <v>68909.7569884205</v>
      </c>
      <c r="BI31" s="93">
        <f t="shared" si="26"/>
        <v>-24017.718395326468</v>
      </c>
      <c r="BJ31" s="93">
        <f t="shared" si="26"/>
        <v>9723.98986647727</v>
      </c>
      <c r="BK31" s="93">
        <f t="shared" ref="BK31:CE31" si="27">BK4+BK12+BK18</f>
        <v>12774.364222142303</v>
      </c>
      <c r="BL31" s="93">
        <f t="shared" si="27"/>
        <v>-54171.789957563371</v>
      </c>
      <c r="BM31" s="93">
        <f t="shared" si="27"/>
        <v>25726.064555979585</v>
      </c>
      <c r="BN31" s="93">
        <f t="shared" si="27"/>
        <v>47627.135131531722</v>
      </c>
      <c r="BO31" s="93">
        <f t="shared" si="27"/>
        <v>47931.264035591681</v>
      </c>
      <c r="BP31" s="93">
        <f t="shared" si="27"/>
        <v>36453.993102796252</v>
      </c>
      <c r="BQ31" s="93">
        <f t="shared" si="27"/>
        <v>47540.415716566597</v>
      </c>
      <c r="BR31" s="93">
        <f t="shared" si="27"/>
        <v>-1966.0583807968537</v>
      </c>
      <c r="BS31" s="93">
        <f t="shared" si="27"/>
        <v>-14019.573445623086</v>
      </c>
      <c r="BT31" s="93">
        <f t="shared" si="27"/>
        <v>83076.710843768233</v>
      </c>
      <c r="BU31" s="93">
        <f t="shared" si="27"/>
        <v>-27414.650979031238</v>
      </c>
      <c r="BV31" s="93">
        <f t="shared" si="27"/>
        <v>12888.214824814269</v>
      </c>
      <c r="BW31" s="93">
        <f t="shared" si="27"/>
        <v>16503.032999080642</v>
      </c>
      <c r="BX31" s="93">
        <f t="shared" si="27"/>
        <v>-70569.872559801486</v>
      </c>
      <c r="BY31" s="93">
        <f t="shared" si="27"/>
        <v>31367.454994136569</v>
      </c>
      <c r="BZ31" s="93">
        <f t="shared" si="27"/>
        <v>56490.164497284946</v>
      </c>
      <c r="CA31" s="93">
        <f t="shared" si="27"/>
        <v>55347.750133192145</v>
      </c>
      <c r="CB31" s="93">
        <f t="shared" si="27"/>
        <v>43933.360874556958</v>
      </c>
      <c r="CC31" s="93">
        <f t="shared" si="27"/>
        <v>58959.395986665055</v>
      </c>
      <c r="CD31" s="93">
        <f t="shared" si="27"/>
        <v>-190.76622490005718</v>
      </c>
      <c r="CE31" s="93">
        <f t="shared" si="27"/>
        <v>25173.506782483237</v>
      </c>
      <c r="CG31" s="93">
        <f>CG4+CG12+CG18</f>
        <v>-11494.723999999973</v>
      </c>
      <c r="CH31" s="93">
        <f>CH4+CH12+CH18</f>
        <v>-95621</v>
      </c>
      <c r="CI31" s="93">
        <f t="shared" si="24"/>
        <v>265.48332904781637</v>
      </c>
      <c r="CJ31" s="93">
        <f t="shared" si="24"/>
        <v>115697.6201311194</v>
      </c>
      <c r="CK31" s="93">
        <f t="shared" si="24"/>
        <v>-97823.681147546595</v>
      </c>
      <c r="CL31" s="93">
        <f t="shared" si="24"/>
        <v>206782.15190393495</v>
      </c>
      <c r="CM31" s="93">
        <f t="shared" si="24"/>
        <v>161549.62783178981</v>
      </c>
      <c r="CN31" s="93">
        <f t="shared" si="24"/>
        <v>202511.84344019613</v>
      </c>
    </row>
    <row r="33" spans="2:83" x14ac:dyDescent="0.2">
      <c r="B33" s="8" t="s">
        <v>86</v>
      </c>
      <c r="C33" s="9" t="s">
        <v>4</v>
      </c>
      <c r="F33" s="17">
        <v>567</v>
      </c>
      <c r="G33" s="11">
        <f>F34</f>
        <v>567.18712187979418</v>
      </c>
      <c r="H33" s="11">
        <f t="shared" ref="H33:AQ33" si="28">G34</f>
        <v>6108.0678450002706</v>
      </c>
      <c r="I33" s="11">
        <f t="shared" si="28"/>
        <v>1643.1639400297991</v>
      </c>
      <c r="J33" s="11">
        <f t="shared" si="28"/>
        <v>697.18421465064512</v>
      </c>
      <c r="K33" s="11">
        <f t="shared" si="28"/>
        <v>239.93963265171578</v>
      </c>
      <c r="L33" s="11">
        <f t="shared" si="28"/>
        <v>832.48332904781637</v>
      </c>
      <c r="M33" s="11">
        <f t="shared" si="28"/>
        <v>465.03632904782171</v>
      </c>
      <c r="N33" s="11">
        <f t="shared" si="28"/>
        <v>588.5408690478223</v>
      </c>
      <c r="O33" s="11">
        <f t="shared" si="28"/>
        <v>448.89777904781454</v>
      </c>
      <c r="P33" s="11">
        <f t="shared" si="28"/>
        <v>459.28277904781169</v>
      </c>
      <c r="Q33" s="11">
        <f t="shared" si="28"/>
        <v>438.76977904781063</v>
      </c>
      <c r="R33" s="11">
        <f t="shared" si="28"/>
        <v>1452.4047790478162</v>
      </c>
      <c r="S33" s="11">
        <f t="shared" si="28"/>
        <v>820.75277904781842</v>
      </c>
      <c r="T33" s="11">
        <f t="shared" si="28"/>
        <v>573.2637790478193</v>
      </c>
      <c r="U33" s="11">
        <f t="shared" si="28"/>
        <v>533.27162329691578</v>
      </c>
      <c r="V33" s="11">
        <f t="shared" si="28"/>
        <v>604.26524589751511</v>
      </c>
      <c r="W33" s="11">
        <f t="shared" si="28"/>
        <v>552.62936618297158</v>
      </c>
      <c r="X33" s="11">
        <f t="shared" si="28"/>
        <v>116530.10346016721</v>
      </c>
      <c r="Y33" s="11">
        <f t="shared" si="28"/>
        <v>136286.64093581287</v>
      </c>
      <c r="Z33" s="11">
        <f t="shared" si="28"/>
        <v>127208.71820695791</v>
      </c>
      <c r="AA33" s="11">
        <f t="shared" si="28"/>
        <v>123858.1189930637</v>
      </c>
      <c r="AB33" s="11">
        <f t="shared" si="28"/>
        <v>98609.210071515248</v>
      </c>
      <c r="AC33" s="11">
        <f t="shared" si="28"/>
        <v>84271.646822788432</v>
      </c>
      <c r="AD33" s="11">
        <f t="shared" si="28"/>
        <v>41924.2645835414</v>
      </c>
      <c r="AE33" s="11">
        <f t="shared" si="28"/>
        <v>20606.939886362597</v>
      </c>
      <c r="AF33" s="11">
        <f t="shared" si="28"/>
        <v>3020.0320577746825</v>
      </c>
      <c r="AG33" s="11">
        <f t="shared" si="28"/>
        <v>1362.6508008882224</v>
      </c>
      <c r="AH33" s="11">
        <f t="shared" si="28"/>
        <v>7961.0176922137525</v>
      </c>
      <c r="AI33" s="11">
        <f t="shared" si="28"/>
        <v>3423.7492297725948</v>
      </c>
      <c r="AJ33" s="11">
        <f t="shared" si="28"/>
        <v>18706.422312620631</v>
      </c>
      <c r="AK33" s="11">
        <f t="shared" si="28"/>
        <v>34521.179544725324</v>
      </c>
      <c r="AL33" s="11">
        <f t="shared" si="28"/>
        <v>14994.065065479488</v>
      </c>
      <c r="AM33" s="11">
        <f t="shared" si="28"/>
        <v>20368.618329085759</v>
      </c>
      <c r="AN33" s="11">
        <f t="shared" si="28"/>
        <v>26333.237984155574</v>
      </c>
      <c r="AO33" s="11">
        <f t="shared" si="28"/>
        <v>46492.036920607236</v>
      </c>
      <c r="AP33" s="11">
        <f t="shared" si="28"/>
        <v>60592.509146158314</v>
      </c>
      <c r="AQ33" s="11">
        <f t="shared" si="28"/>
        <v>91018.587841191271</v>
      </c>
      <c r="AR33" s="11">
        <f t="shared" ref="AR33" si="29">AQ34</f>
        <v>123147.28315391713</v>
      </c>
      <c r="AS33" s="11">
        <f t="shared" ref="AS33" si="30">AR34</f>
        <v>147782.34198753885</v>
      </c>
      <c r="AT33" s="11">
        <f t="shared" ref="AT33" si="31">AS34</f>
        <v>181932.1920334454</v>
      </c>
      <c r="AU33" s="11">
        <f t="shared" ref="AU33" si="32">AT34</f>
        <v>177342.84021188962</v>
      </c>
      <c r="AV33" s="11">
        <f t="shared" ref="AV33" si="33">AU34</f>
        <v>225488.57421655557</v>
      </c>
      <c r="AW33" s="11">
        <f t="shared" ref="AW33" si="34">AV34</f>
        <v>279709.4047096658</v>
      </c>
      <c r="AX33" s="11">
        <f t="shared" ref="AX33" si="35">AW34</f>
        <v>254194.20205786359</v>
      </c>
      <c r="AY33" s="11">
        <f t="shared" ref="AY33" si="36">AX34</f>
        <v>256899.7353515873</v>
      </c>
      <c r="AZ33" s="11">
        <f t="shared" ref="AZ33" si="37">AY34</f>
        <v>262569.99528464081</v>
      </c>
      <c r="BA33" s="11">
        <f t="shared" ref="BA33" si="38">AZ34</f>
        <v>217887.297622902</v>
      </c>
      <c r="BB33" s="11">
        <f t="shared" ref="BB33" si="39">BA34</f>
        <v>240793.20057021559</v>
      </c>
      <c r="BC33" s="11">
        <f t="shared" ref="BC33" si="40">BB34</f>
        <v>282625.54762574087</v>
      </c>
      <c r="BD33" s="11">
        <f t="shared" ref="BD33" si="41">BC34</f>
        <v>324599.00115790009</v>
      </c>
      <c r="BE33" s="11">
        <f t="shared" ref="BE33" si="42">BD34</f>
        <v>357657.78378118662</v>
      </c>
      <c r="BF33" s="11">
        <f t="shared" ref="BF33" si="43">BE34</f>
        <v>398833.10854440823</v>
      </c>
      <c r="BG33" s="11">
        <f t="shared" ref="BG33" si="44">BF34</f>
        <v>395804.94540525664</v>
      </c>
      <c r="BH33" s="11">
        <f t="shared" ref="BH33" si="45">BG34</f>
        <v>387038.20204834553</v>
      </c>
      <c r="BI33" s="11">
        <f t="shared" ref="BI33" si="46">BH34</f>
        <v>455947.95903676603</v>
      </c>
      <c r="BJ33" s="11">
        <f t="shared" ref="BJ33" si="47">BI34</f>
        <v>431930.24064143957</v>
      </c>
      <c r="BK33" s="11">
        <f t="shared" ref="BK33" si="48">BJ34</f>
        <v>441654.23050791683</v>
      </c>
      <c r="BL33" s="11">
        <f t="shared" ref="BL33" si="49">BK34</f>
        <v>454428.59473005915</v>
      </c>
      <c r="BM33" s="11">
        <f t="shared" ref="BM33" si="50">BL34</f>
        <v>400256.80477249576</v>
      </c>
      <c r="BN33" s="11">
        <f t="shared" ref="BN33" si="51">BM34</f>
        <v>425982.86932847532</v>
      </c>
      <c r="BO33" s="11">
        <f t="shared" ref="BO33" si="52">BN34</f>
        <v>473610.00446000707</v>
      </c>
      <c r="BP33" s="11">
        <f t="shared" ref="BP33" si="53">BO34</f>
        <v>521541.26849559875</v>
      </c>
      <c r="BQ33" s="11">
        <f t="shared" ref="BQ33" si="54">BP34</f>
        <v>557995.26159839495</v>
      </c>
      <c r="BR33" s="11">
        <f t="shared" ref="BR33" si="55">BQ34</f>
        <v>605535.67731496156</v>
      </c>
      <c r="BS33" s="11">
        <f t="shared" ref="BS33" si="56">BR34</f>
        <v>603569.61893416476</v>
      </c>
      <c r="BT33" s="11">
        <f t="shared" ref="BT33" si="57">BS34</f>
        <v>589550.04548854171</v>
      </c>
      <c r="BU33" s="11">
        <f t="shared" ref="BU33" si="58">BT34</f>
        <v>672626.75633230992</v>
      </c>
      <c r="BV33" s="11">
        <f t="shared" ref="BV33" si="59">BU34</f>
        <v>645212.10535327869</v>
      </c>
      <c r="BW33" s="11">
        <f t="shared" ref="BW33" si="60">BV34</f>
        <v>658100.32017809292</v>
      </c>
      <c r="BX33" s="11">
        <f t="shared" ref="BX33" si="61">BW34</f>
        <v>674603.35317717353</v>
      </c>
      <c r="BY33" s="11">
        <f t="shared" ref="BY33" si="62">BX34</f>
        <v>604033.48061737209</v>
      </c>
      <c r="BZ33" s="11">
        <f t="shared" ref="BZ33" si="63">BY34</f>
        <v>635400.93561150867</v>
      </c>
      <c r="CA33" s="11">
        <f t="shared" ref="CA33" si="64">BZ34</f>
        <v>691891.10010879359</v>
      </c>
      <c r="CB33" s="11">
        <f t="shared" ref="CB33" si="65">CA34</f>
        <v>747238.85024198575</v>
      </c>
      <c r="CC33" s="11">
        <f t="shared" ref="CC33" si="66">CB34</f>
        <v>791172.21111654269</v>
      </c>
      <c r="CD33" s="11">
        <f t="shared" ref="CD33" si="67">CC34</f>
        <v>850131.60710320773</v>
      </c>
      <c r="CE33" s="11">
        <f t="shared" ref="CE33" si="68">CD34</f>
        <v>849940.8408783077</v>
      </c>
    </row>
    <row r="34" spans="2:83" x14ac:dyDescent="0.2">
      <c r="B34" s="8" t="s">
        <v>87</v>
      </c>
      <c r="C34" s="9" t="s">
        <v>4</v>
      </c>
      <c r="F34" s="11">
        <f>F33+F31</f>
        <v>567.18712187979418</v>
      </c>
      <c r="G34" s="11">
        <f>G31+G33</f>
        <v>6108.0678450002706</v>
      </c>
      <c r="H34" s="11">
        <f t="shared" ref="H34:AQ34" si="69">H31+H33</f>
        <v>1643.1639400297991</v>
      </c>
      <c r="I34" s="11">
        <f t="shared" si="69"/>
        <v>697.18421465064512</v>
      </c>
      <c r="J34" s="11">
        <f t="shared" si="69"/>
        <v>239.93963265171578</v>
      </c>
      <c r="K34" s="11">
        <f t="shared" si="69"/>
        <v>832.48332904781637</v>
      </c>
      <c r="L34" s="11">
        <f t="shared" si="69"/>
        <v>465.03632904782171</v>
      </c>
      <c r="M34" s="11">
        <f t="shared" si="69"/>
        <v>588.5408690478223</v>
      </c>
      <c r="N34" s="11">
        <f t="shared" si="69"/>
        <v>448.89777904781454</v>
      </c>
      <c r="O34" s="11">
        <f t="shared" si="69"/>
        <v>459.28277904781169</v>
      </c>
      <c r="P34" s="11">
        <f t="shared" si="69"/>
        <v>438.76977904781063</v>
      </c>
      <c r="Q34" s="11">
        <f t="shared" si="69"/>
        <v>1452.4047790478162</v>
      </c>
      <c r="R34" s="11">
        <f t="shared" si="69"/>
        <v>820.75277904781842</v>
      </c>
      <c r="S34" s="11">
        <f t="shared" si="69"/>
        <v>573.2637790478193</v>
      </c>
      <c r="T34" s="11">
        <f t="shared" si="69"/>
        <v>533.27162329691578</v>
      </c>
      <c r="U34" s="11">
        <f t="shared" si="69"/>
        <v>604.26524589751511</v>
      </c>
      <c r="V34" s="11">
        <f t="shared" si="69"/>
        <v>552.62936618297158</v>
      </c>
      <c r="W34" s="11">
        <f t="shared" si="69"/>
        <v>116530.10346016721</v>
      </c>
      <c r="X34" s="11">
        <f t="shared" si="69"/>
        <v>136286.64093581287</v>
      </c>
      <c r="Y34" s="11">
        <f t="shared" si="69"/>
        <v>127208.71820695791</v>
      </c>
      <c r="Z34" s="11">
        <f t="shared" si="69"/>
        <v>123858.1189930637</v>
      </c>
      <c r="AA34" s="11">
        <f t="shared" si="69"/>
        <v>98609.210071515248</v>
      </c>
      <c r="AB34" s="11">
        <f t="shared" si="69"/>
        <v>84271.646822788432</v>
      </c>
      <c r="AC34" s="11">
        <f t="shared" si="69"/>
        <v>41924.2645835414</v>
      </c>
      <c r="AD34" s="11">
        <f t="shared" si="69"/>
        <v>20606.939886362597</v>
      </c>
      <c r="AE34" s="11">
        <f t="shared" si="69"/>
        <v>3020.0320577746825</v>
      </c>
      <c r="AF34" s="11">
        <f t="shared" si="69"/>
        <v>1362.6508008882224</v>
      </c>
      <c r="AG34" s="11">
        <f t="shared" si="69"/>
        <v>7961.0176922137525</v>
      </c>
      <c r="AH34" s="11">
        <f t="shared" si="69"/>
        <v>3423.7492297725948</v>
      </c>
      <c r="AI34" s="11">
        <f t="shared" si="69"/>
        <v>18706.422312620631</v>
      </c>
      <c r="AJ34" s="11">
        <f t="shared" si="69"/>
        <v>34521.179544725324</v>
      </c>
      <c r="AK34" s="11">
        <f t="shared" si="69"/>
        <v>14994.065065479488</v>
      </c>
      <c r="AL34" s="11">
        <f t="shared" si="69"/>
        <v>20368.618329085759</v>
      </c>
      <c r="AM34" s="11">
        <f t="shared" si="69"/>
        <v>26333.237984155574</v>
      </c>
      <c r="AN34" s="11">
        <f t="shared" si="69"/>
        <v>46492.036920607236</v>
      </c>
      <c r="AO34" s="11">
        <f t="shared" si="69"/>
        <v>60592.509146158314</v>
      </c>
      <c r="AP34" s="11">
        <f t="shared" si="69"/>
        <v>91018.587841191271</v>
      </c>
      <c r="AQ34" s="11">
        <f t="shared" si="69"/>
        <v>123147.28315391713</v>
      </c>
      <c r="AR34" s="11">
        <f t="shared" ref="AR34:BJ34" si="70">AR31+AR33</f>
        <v>147782.34198753885</v>
      </c>
      <c r="AS34" s="11">
        <f t="shared" si="70"/>
        <v>181932.1920334454</v>
      </c>
      <c r="AT34" s="11">
        <f t="shared" si="70"/>
        <v>177342.84021188962</v>
      </c>
      <c r="AU34" s="11">
        <f t="shared" si="70"/>
        <v>225488.57421655557</v>
      </c>
      <c r="AV34" s="11">
        <f t="shared" si="70"/>
        <v>279709.4047096658</v>
      </c>
      <c r="AW34" s="11">
        <f t="shared" si="70"/>
        <v>254194.20205786359</v>
      </c>
      <c r="AX34" s="11">
        <f t="shared" si="70"/>
        <v>256899.7353515873</v>
      </c>
      <c r="AY34" s="11">
        <f t="shared" si="70"/>
        <v>262569.99528464081</v>
      </c>
      <c r="AZ34" s="11">
        <f t="shared" si="70"/>
        <v>217887.297622902</v>
      </c>
      <c r="BA34" s="11">
        <f t="shared" si="70"/>
        <v>240793.20057021559</v>
      </c>
      <c r="BB34" s="11">
        <f t="shared" si="70"/>
        <v>282625.54762574087</v>
      </c>
      <c r="BC34" s="11">
        <f t="shared" si="70"/>
        <v>324599.00115790009</v>
      </c>
      <c r="BD34" s="11">
        <f t="shared" si="70"/>
        <v>357657.78378118662</v>
      </c>
      <c r="BE34" s="11">
        <f t="shared" si="70"/>
        <v>398833.10854440823</v>
      </c>
      <c r="BF34" s="11">
        <f t="shared" si="70"/>
        <v>395804.94540525664</v>
      </c>
      <c r="BG34" s="11">
        <f t="shared" si="70"/>
        <v>387038.20204834553</v>
      </c>
      <c r="BH34" s="11">
        <f t="shared" si="70"/>
        <v>455947.95903676603</v>
      </c>
      <c r="BI34" s="11">
        <f t="shared" si="70"/>
        <v>431930.24064143957</v>
      </c>
      <c r="BJ34" s="11">
        <f t="shared" si="70"/>
        <v>441654.23050791683</v>
      </c>
      <c r="BK34" s="11">
        <f t="shared" ref="BK34:CE34" si="71">BK31+BK33</f>
        <v>454428.59473005915</v>
      </c>
      <c r="BL34" s="11">
        <f t="shared" si="71"/>
        <v>400256.80477249576</v>
      </c>
      <c r="BM34" s="11">
        <f t="shared" si="71"/>
        <v>425982.86932847532</v>
      </c>
      <c r="BN34" s="11">
        <f t="shared" si="71"/>
        <v>473610.00446000707</v>
      </c>
      <c r="BO34" s="11">
        <f t="shared" si="71"/>
        <v>521541.26849559875</v>
      </c>
      <c r="BP34" s="11">
        <f t="shared" si="71"/>
        <v>557995.26159839495</v>
      </c>
      <c r="BQ34" s="11">
        <f t="shared" si="71"/>
        <v>605535.67731496156</v>
      </c>
      <c r="BR34" s="11">
        <f t="shared" si="71"/>
        <v>603569.61893416476</v>
      </c>
      <c r="BS34" s="11">
        <f t="shared" si="71"/>
        <v>589550.04548854171</v>
      </c>
      <c r="BT34" s="11">
        <f t="shared" si="71"/>
        <v>672626.75633230992</v>
      </c>
      <c r="BU34" s="11">
        <f t="shared" si="71"/>
        <v>645212.10535327869</v>
      </c>
      <c r="BV34" s="11">
        <f t="shared" si="71"/>
        <v>658100.32017809292</v>
      </c>
      <c r="BW34" s="11">
        <f t="shared" si="71"/>
        <v>674603.35317717353</v>
      </c>
      <c r="BX34" s="11">
        <f t="shared" si="71"/>
        <v>604033.48061737209</v>
      </c>
      <c r="BY34" s="11">
        <f t="shared" si="71"/>
        <v>635400.93561150867</v>
      </c>
      <c r="BZ34" s="11">
        <f t="shared" si="71"/>
        <v>691891.10010879359</v>
      </c>
      <c r="CA34" s="11">
        <f t="shared" si="71"/>
        <v>747238.85024198575</v>
      </c>
      <c r="CB34" s="11">
        <f t="shared" si="71"/>
        <v>791172.21111654269</v>
      </c>
      <c r="CC34" s="11">
        <f t="shared" si="71"/>
        <v>850131.60710320773</v>
      </c>
      <c r="CD34" s="11">
        <f t="shared" si="71"/>
        <v>849940.8408783077</v>
      </c>
      <c r="CE34" s="11">
        <f t="shared" si="71"/>
        <v>875114.3476607909</v>
      </c>
    </row>
    <row r="36" spans="2:83" x14ac:dyDescent="0.2">
      <c r="Q36" s="11"/>
      <c r="V36" s="420"/>
      <c r="W36" s="11"/>
    </row>
    <row r="37" spans="2:83" x14ac:dyDescent="0.2">
      <c r="H37" s="12"/>
      <c r="K37" s="11"/>
      <c r="R37" s="11"/>
      <c r="W37" s="11"/>
    </row>
    <row r="38" spans="2:83" x14ac:dyDescent="0.2">
      <c r="S38" s="10"/>
      <c r="W38" s="11"/>
    </row>
    <row r="39" spans="2:83" x14ac:dyDescent="0.2">
      <c r="B39" s="7"/>
      <c r="W39" s="11"/>
    </row>
    <row r="40" spans="2:83" x14ac:dyDescent="0.2">
      <c r="V40" s="12"/>
      <c r="W40" s="18"/>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F56"/>
  <sheetViews>
    <sheetView showGridLines="0" zoomScale="80" zoomScaleNormal="80" workbookViewId="0">
      <pane xSplit="3" ySplit="3" topLeftCell="K4" activePane="bottomRight" state="frozen"/>
      <selection pane="topRight" activeCell="D1" sqref="D1"/>
      <selection pane="bottomLeft" activeCell="A4" sqref="A4"/>
      <selection pane="bottomRight" activeCell="R11" sqref="R11"/>
    </sheetView>
  </sheetViews>
  <sheetFormatPr defaultColWidth="8.7109375" defaultRowHeight="15" outlineLevelCol="1" x14ac:dyDescent="0.25"/>
  <cols>
    <col min="2" max="2" width="47.7109375" bestFit="1" customWidth="1"/>
    <col min="3" max="3" width="10" customWidth="1"/>
    <col min="4" max="4" width="20" customWidth="1"/>
    <col min="5" max="5" width="8.7109375" outlineLevel="1"/>
    <col min="6" max="77" width="10" customWidth="1" outlineLevel="1"/>
    <col min="79" max="79" width="10.140625" customWidth="1"/>
    <col min="80" max="80" width="12.42578125" customWidth="1"/>
    <col min="81" max="81" width="9.42578125" bestFit="1" customWidth="1"/>
    <col min="82" max="82" width="9.28515625" bestFit="1" customWidth="1"/>
    <col min="83" max="83" width="9.28515625" customWidth="1"/>
    <col min="84" max="84" width="10" customWidth="1"/>
  </cols>
  <sheetData>
    <row r="1" spans="2:84" x14ac:dyDescent="0.25">
      <c r="F1" s="188" t="s">
        <v>165</v>
      </c>
      <c r="G1" s="188" t="s">
        <v>165</v>
      </c>
      <c r="H1" s="188" t="s">
        <v>165</v>
      </c>
      <c r="I1" s="188" t="s">
        <v>165</v>
      </c>
      <c r="J1" s="188" t="s">
        <v>165</v>
      </c>
      <c r="K1" s="188" t="s">
        <v>165</v>
      </c>
      <c r="L1" s="188" t="s">
        <v>165</v>
      </c>
      <c r="M1" s="188" t="s">
        <v>165</v>
      </c>
      <c r="N1" s="188" t="s">
        <v>165</v>
      </c>
      <c r="O1" s="188" t="s">
        <v>165</v>
      </c>
      <c r="P1" s="188" t="s">
        <v>165</v>
      </c>
      <c r="Q1" s="188" t="s">
        <v>165</v>
      </c>
    </row>
    <row r="2" spans="2:84" ht="18.75" x14ac:dyDescent="0.3">
      <c r="B2" s="257" t="s">
        <v>340</v>
      </c>
      <c r="F2" s="5">
        <f>YEAR(F3)</f>
        <v>2025</v>
      </c>
      <c r="G2" s="5">
        <f t="shared" ref="G2:BY2" si="0">YEAR(G3)</f>
        <v>2025</v>
      </c>
      <c r="H2" s="5">
        <f t="shared" si="0"/>
        <v>2025</v>
      </c>
      <c r="I2" s="5">
        <f t="shared" si="0"/>
        <v>2025</v>
      </c>
      <c r="J2" s="5">
        <f t="shared" si="0"/>
        <v>2025</v>
      </c>
      <c r="K2" s="5">
        <f t="shared" si="0"/>
        <v>2025</v>
      </c>
      <c r="L2" s="5">
        <f t="shared" si="0"/>
        <v>2025</v>
      </c>
      <c r="M2" s="5">
        <f t="shared" si="0"/>
        <v>2025</v>
      </c>
      <c r="N2" s="5">
        <f t="shared" si="0"/>
        <v>2025</v>
      </c>
      <c r="O2" s="5">
        <f t="shared" si="0"/>
        <v>2025</v>
      </c>
      <c r="P2" s="5">
        <f t="shared" si="0"/>
        <v>2025</v>
      </c>
      <c r="Q2" s="5">
        <f t="shared" si="0"/>
        <v>2025</v>
      </c>
      <c r="R2" s="5">
        <f t="shared" si="0"/>
        <v>2026</v>
      </c>
      <c r="S2" s="5">
        <f t="shared" si="0"/>
        <v>2026</v>
      </c>
      <c r="T2" s="5">
        <f t="shared" si="0"/>
        <v>2026</v>
      </c>
      <c r="U2" s="5">
        <f t="shared" si="0"/>
        <v>2026</v>
      </c>
      <c r="V2" s="5">
        <f t="shared" si="0"/>
        <v>2026</v>
      </c>
      <c r="W2" s="5">
        <f t="shared" si="0"/>
        <v>2026</v>
      </c>
      <c r="X2" s="5">
        <f t="shared" si="0"/>
        <v>2026</v>
      </c>
      <c r="Y2" s="5">
        <f t="shared" si="0"/>
        <v>2026</v>
      </c>
      <c r="Z2" s="5">
        <f t="shared" si="0"/>
        <v>2026</v>
      </c>
      <c r="AA2" s="5">
        <f t="shared" si="0"/>
        <v>2026</v>
      </c>
      <c r="AB2" s="5">
        <f t="shared" si="0"/>
        <v>2026</v>
      </c>
      <c r="AC2" s="5">
        <f t="shared" si="0"/>
        <v>2026</v>
      </c>
      <c r="AD2" s="5">
        <f t="shared" si="0"/>
        <v>2027</v>
      </c>
      <c r="AE2" s="5">
        <f t="shared" si="0"/>
        <v>2027</v>
      </c>
      <c r="AF2" s="5">
        <f t="shared" si="0"/>
        <v>2027</v>
      </c>
      <c r="AG2" s="5">
        <f t="shared" si="0"/>
        <v>2027</v>
      </c>
      <c r="AH2" s="5">
        <f t="shared" si="0"/>
        <v>2027</v>
      </c>
      <c r="AI2" s="5">
        <f t="shared" si="0"/>
        <v>2027</v>
      </c>
      <c r="AJ2" s="5">
        <f t="shared" si="0"/>
        <v>2027</v>
      </c>
      <c r="AK2" s="5">
        <f t="shared" si="0"/>
        <v>2027</v>
      </c>
      <c r="AL2" s="5">
        <f t="shared" si="0"/>
        <v>2027</v>
      </c>
      <c r="AM2" s="5">
        <f t="shared" si="0"/>
        <v>2027</v>
      </c>
      <c r="AN2" s="5">
        <f t="shared" si="0"/>
        <v>2027</v>
      </c>
      <c r="AO2" s="5">
        <f t="shared" si="0"/>
        <v>2027</v>
      </c>
      <c r="AP2" s="5">
        <f t="shared" si="0"/>
        <v>2028</v>
      </c>
      <c r="AQ2" s="5">
        <f t="shared" si="0"/>
        <v>2028</v>
      </c>
      <c r="AR2" s="5">
        <f t="shared" si="0"/>
        <v>2028</v>
      </c>
      <c r="AS2" s="5">
        <f t="shared" si="0"/>
        <v>2028</v>
      </c>
      <c r="AT2" s="5">
        <f t="shared" si="0"/>
        <v>2028</v>
      </c>
      <c r="AU2" s="5">
        <f t="shared" si="0"/>
        <v>2028</v>
      </c>
      <c r="AV2" s="5">
        <f t="shared" si="0"/>
        <v>2028</v>
      </c>
      <c r="AW2" s="5">
        <f t="shared" si="0"/>
        <v>2028</v>
      </c>
      <c r="AX2" s="5">
        <f t="shared" si="0"/>
        <v>2028</v>
      </c>
      <c r="AY2" s="5">
        <f t="shared" si="0"/>
        <v>2028</v>
      </c>
      <c r="AZ2" s="5">
        <f t="shared" si="0"/>
        <v>2028</v>
      </c>
      <c r="BA2" s="5">
        <f t="shared" si="0"/>
        <v>2028</v>
      </c>
      <c r="BB2" s="5">
        <f t="shared" si="0"/>
        <v>2029</v>
      </c>
      <c r="BC2" s="5">
        <f t="shared" si="0"/>
        <v>2029</v>
      </c>
      <c r="BD2" s="5">
        <f t="shared" si="0"/>
        <v>2029</v>
      </c>
      <c r="BE2" s="5">
        <f t="shared" si="0"/>
        <v>2029</v>
      </c>
      <c r="BF2" s="5">
        <f t="shared" si="0"/>
        <v>2029</v>
      </c>
      <c r="BG2" s="5">
        <f t="shared" si="0"/>
        <v>2029</v>
      </c>
      <c r="BH2" s="5">
        <f t="shared" si="0"/>
        <v>2029</v>
      </c>
      <c r="BI2" s="5">
        <f t="shared" si="0"/>
        <v>2029</v>
      </c>
      <c r="BJ2" s="5">
        <f t="shared" si="0"/>
        <v>2029</v>
      </c>
      <c r="BK2" s="5">
        <f t="shared" si="0"/>
        <v>2029</v>
      </c>
      <c r="BL2" s="5">
        <f t="shared" si="0"/>
        <v>2029</v>
      </c>
      <c r="BM2" s="5">
        <f t="shared" si="0"/>
        <v>2029</v>
      </c>
      <c r="BN2" s="5">
        <f t="shared" si="0"/>
        <v>2030</v>
      </c>
      <c r="BO2" s="5">
        <f t="shared" si="0"/>
        <v>2030</v>
      </c>
      <c r="BP2" s="5">
        <f t="shared" si="0"/>
        <v>2030</v>
      </c>
      <c r="BQ2" s="5">
        <f t="shared" si="0"/>
        <v>2030</v>
      </c>
      <c r="BR2" s="5">
        <f t="shared" si="0"/>
        <v>2030</v>
      </c>
      <c r="BS2" s="5">
        <f t="shared" si="0"/>
        <v>2030</v>
      </c>
      <c r="BT2" s="5">
        <f t="shared" si="0"/>
        <v>2030</v>
      </c>
      <c r="BU2" s="5">
        <f t="shared" si="0"/>
        <v>2030</v>
      </c>
      <c r="BV2" s="5">
        <f t="shared" si="0"/>
        <v>2030</v>
      </c>
      <c r="BW2" s="5">
        <f t="shared" si="0"/>
        <v>2030</v>
      </c>
      <c r="BX2" s="5">
        <f t="shared" si="0"/>
        <v>2030</v>
      </c>
      <c r="BY2" s="5">
        <f t="shared" si="0"/>
        <v>2030</v>
      </c>
      <c r="CA2" s="258" t="s">
        <v>341</v>
      </c>
    </row>
    <row r="3" spans="2:84" x14ac:dyDescent="0.25">
      <c r="B3" s="259" t="s">
        <v>1</v>
      </c>
      <c r="C3" s="259" t="s">
        <v>2</v>
      </c>
      <c r="D3" s="260"/>
      <c r="E3" s="260"/>
      <c r="F3" s="261">
        <v>45658</v>
      </c>
      <c r="G3" s="261">
        <v>45689</v>
      </c>
      <c r="H3" s="261">
        <v>45717</v>
      </c>
      <c r="I3" s="261">
        <v>45748</v>
      </c>
      <c r="J3" s="261">
        <v>45778</v>
      </c>
      <c r="K3" s="261">
        <v>45809</v>
      </c>
      <c r="L3" s="261">
        <v>45839</v>
      </c>
      <c r="M3" s="261">
        <v>45870</v>
      </c>
      <c r="N3" s="261">
        <v>45901</v>
      </c>
      <c r="O3" s="261">
        <v>45931</v>
      </c>
      <c r="P3" s="261">
        <v>45962</v>
      </c>
      <c r="Q3" s="261">
        <v>45992</v>
      </c>
      <c r="R3" s="261">
        <v>46023</v>
      </c>
      <c r="S3" s="261">
        <v>46054</v>
      </c>
      <c r="T3" s="261">
        <v>46082</v>
      </c>
      <c r="U3" s="261">
        <v>46113</v>
      </c>
      <c r="V3" s="261">
        <v>46143</v>
      </c>
      <c r="W3" s="261">
        <v>46174</v>
      </c>
      <c r="X3" s="261">
        <v>46204</v>
      </c>
      <c r="Y3" s="261">
        <v>46235</v>
      </c>
      <c r="Z3" s="261">
        <v>46266</v>
      </c>
      <c r="AA3" s="261">
        <v>46296</v>
      </c>
      <c r="AB3" s="261">
        <v>46327</v>
      </c>
      <c r="AC3" s="261">
        <v>46357</v>
      </c>
      <c r="AD3" s="261">
        <v>46388</v>
      </c>
      <c r="AE3" s="261">
        <v>46419</v>
      </c>
      <c r="AF3" s="261">
        <v>46447</v>
      </c>
      <c r="AG3" s="261">
        <v>46478</v>
      </c>
      <c r="AH3" s="261">
        <v>46508</v>
      </c>
      <c r="AI3" s="261">
        <v>46539</v>
      </c>
      <c r="AJ3" s="261">
        <v>46569</v>
      </c>
      <c r="AK3" s="261">
        <v>46600</v>
      </c>
      <c r="AL3" s="261">
        <v>46631</v>
      </c>
      <c r="AM3" s="261">
        <v>46661</v>
      </c>
      <c r="AN3" s="261">
        <v>46692</v>
      </c>
      <c r="AO3" s="261">
        <v>46722</v>
      </c>
      <c r="AP3" s="261">
        <v>46753</v>
      </c>
      <c r="AQ3" s="261">
        <v>46784</v>
      </c>
      <c r="AR3" s="261">
        <v>46813</v>
      </c>
      <c r="AS3" s="261">
        <v>46844</v>
      </c>
      <c r="AT3" s="261">
        <v>46874</v>
      </c>
      <c r="AU3" s="261">
        <v>46905</v>
      </c>
      <c r="AV3" s="261">
        <v>46935</v>
      </c>
      <c r="AW3" s="261">
        <v>46966</v>
      </c>
      <c r="AX3" s="261">
        <v>46997</v>
      </c>
      <c r="AY3" s="261">
        <v>47027</v>
      </c>
      <c r="AZ3" s="261">
        <v>47058</v>
      </c>
      <c r="BA3" s="261">
        <v>47088</v>
      </c>
      <c r="BB3" s="261">
        <v>47119</v>
      </c>
      <c r="BC3" s="261">
        <v>47150</v>
      </c>
      <c r="BD3" s="261">
        <v>47178</v>
      </c>
      <c r="BE3" s="261">
        <v>47209</v>
      </c>
      <c r="BF3" s="261">
        <v>47239</v>
      </c>
      <c r="BG3" s="261">
        <v>47270</v>
      </c>
      <c r="BH3" s="261">
        <v>47300</v>
      </c>
      <c r="BI3" s="261">
        <v>47331</v>
      </c>
      <c r="BJ3" s="261">
        <v>47362</v>
      </c>
      <c r="BK3" s="261">
        <v>47392</v>
      </c>
      <c r="BL3" s="261">
        <v>47423</v>
      </c>
      <c r="BM3" s="261">
        <v>47453</v>
      </c>
      <c r="BN3" s="261">
        <v>47484</v>
      </c>
      <c r="BO3" s="261">
        <v>47515</v>
      </c>
      <c r="BP3" s="261">
        <v>47543</v>
      </c>
      <c r="BQ3" s="261">
        <v>47574</v>
      </c>
      <c r="BR3" s="261">
        <v>47604</v>
      </c>
      <c r="BS3" s="261">
        <v>47635</v>
      </c>
      <c r="BT3" s="261">
        <v>47665</v>
      </c>
      <c r="BU3" s="261">
        <v>47696</v>
      </c>
      <c r="BV3" s="261">
        <v>47727</v>
      </c>
      <c r="BW3" s="261">
        <v>47757</v>
      </c>
      <c r="BX3" s="261">
        <v>47788</v>
      </c>
      <c r="BY3" s="261">
        <v>47818</v>
      </c>
      <c r="CA3" s="262">
        <f>2025</f>
        <v>2025</v>
      </c>
      <c r="CB3" s="262">
        <f>CA3+1</f>
        <v>2026</v>
      </c>
      <c r="CC3" s="262">
        <f>CB3+1</f>
        <v>2027</v>
      </c>
      <c r="CD3" s="262">
        <f>CC3+1</f>
        <v>2028</v>
      </c>
      <c r="CE3" s="262">
        <f t="shared" ref="CE3:CF3" si="1">CD3+1</f>
        <v>2029</v>
      </c>
      <c r="CF3" s="262">
        <f t="shared" si="1"/>
        <v>2030</v>
      </c>
    </row>
    <row r="4" spans="2:84" x14ac:dyDescent="0.25">
      <c r="B4" s="263"/>
      <c r="C4" s="264"/>
      <c r="D4" s="6"/>
      <c r="E4" s="265"/>
      <c r="CA4" s="2"/>
      <c r="CB4" s="2"/>
      <c r="CC4" s="2"/>
      <c r="CD4" s="2"/>
      <c r="CE4" s="2"/>
      <c r="CF4" s="2"/>
    </row>
    <row r="5" spans="2:84" s="1" customFormat="1" x14ac:dyDescent="0.25">
      <c r="B5" s="266" t="s">
        <v>342</v>
      </c>
      <c r="C5" s="267" t="s">
        <v>4</v>
      </c>
      <c r="D5" s="268"/>
      <c r="E5" s="269">
        <f>E7</f>
        <v>0</v>
      </c>
      <c r="F5" s="4">
        <f>F7+F11</f>
        <v>129930.78750999999</v>
      </c>
      <c r="G5" s="4">
        <f t="shared" ref="G5:BL5" si="2">G7+G11</f>
        <v>126074.36191000001</v>
      </c>
      <c r="H5" s="4">
        <f t="shared" si="2"/>
        <v>129671.93195</v>
      </c>
      <c r="I5" s="4">
        <f t="shared" si="2"/>
        <v>127344.35147620001</v>
      </c>
      <c r="J5" s="4">
        <f t="shared" si="2"/>
        <v>120721.93766276201</v>
      </c>
      <c r="K5" s="4">
        <f t="shared" si="2"/>
        <v>178859</v>
      </c>
      <c r="L5" s="4">
        <f t="shared" si="2"/>
        <v>177372</v>
      </c>
      <c r="M5" s="4">
        <f t="shared" si="2"/>
        <v>177852.99756118876</v>
      </c>
      <c r="N5" s="4">
        <f t="shared" si="2"/>
        <v>175885</v>
      </c>
      <c r="O5" s="4">
        <f t="shared" si="2"/>
        <v>197512.01772224001</v>
      </c>
      <c r="P5" s="4">
        <f t="shared" si="2"/>
        <v>210251.98212986</v>
      </c>
      <c r="Q5" s="4">
        <f t="shared" si="2"/>
        <v>255246.87493288002</v>
      </c>
      <c r="R5" s="4">
        <f t="shared" si="2"/>
        <v>238041.14929055743</v>
      </c>
      <c r="S5" s="4">
        <f t="shared" si="2"/>
        <v>249547.69117037309</v>
      </c>
      <c r="T5" s="4">
        <f t="shared" si="2"/>
        <v>254435.16241954939</v>
      </c>
      <c r="U5" s="4">
        <f t="shared" si="2"/>
        <v>257169.69340454327</v>
      </c>
      <c r="V5" s="4">
        <f t="shared" si="2"/>
        <v>259694.33042054591</v>
      </c>
      <c r="W5" s="4">
        <f t="shared" si="2"/>
        <v>264993.03566165472</v>
      </c>
      <c r="X5" s="4">
        <f t="shared" si="2"/>
        <v>276568.74624604173</v>
      </c>
      <c r="Y5" s="4">
        <f t="shared" si="2"/>
        <v>298765.54428381473</v>
      </c>
      <c r="Z5" s="4">
        <f t="shared" si="2"/>
        <v>309411.98520148406</v>
      </c>
      <c r="AA5" s="4">
        <f t="shared" si="2"/>
        <v>311264.78172990424</v>
      </c>
      <c r="AB5" s="4">
        <f t="shared" si="2"/>
        <v>328386.28477282374</v>
      </c>
      <c r="AC5" s="4">
        <f t="shared" si="2"/>
        <v>331157.71552505472</v>
      </c>
      <c r="AD5" s="4">
        <f t="shared" si="2"/>
        <v>329850.57206656737</v>
      </c>
      <c r="AE5" s="4">
        <f t="shared" si="2"/>
        <v>368623.10657136212</v>
      </c>
      <c r="AF5" s="4">
        <f t="shared" si="2"/>
        <v>385122.48660379311</v>
      </c>
      <c r="AG5" s="4">
        <f t="shared" si="2"/>
        <v>401180.0944250985</v>
      </c>
      <c r="AH5" s="4">
        <f t="shared" si="2"/>
        <v>403978.93485586473</v>
      </c>
      <c r="AI5" s="4">
        <f t="shared" si="2"/>
        <v>412585.84517922089</v>
      </c>
      <c r="AJ5" s="4">
        <f t="shared" si="2"/>
        <v>405406.67390891467</v>
      </c>
      <c r="AK5" s="4">
        <f t="shared" si="2"/>
        <v>396503.94264138775</v>
      </c>
      <c r="AL5" s="4">
        <f t="shared" si="2"/>
        <v>394289.18274142873</v>
      </c>
      <c r="AM5" s="4">
        <f t="shared" si="2"/>
        <v>382665.5771924305</v>
      </c>
      <c r="AN5" s="4">
        <f t="shared" si="2"/>
        <v>408507.70188647509</v>
      </c>
      <c r="AO5" s="4">
        <f t="shared" si="2"/>
        <v>392624.32069611811</v>
      </c>
      <c r="AP5" s="4">
        <f t="shared" si="2"/>
        <v>353757.43780657952</v>
      </c>
      <c r="AQ5" s="4">
        <f t="shared" si="2"/>
        <v>399048.74783535418</v>
      </c>
      <c r="AR5" s="4">
        <f t="shared" si="2"/>
        <v>418137.38930202246</v>
      </c>
      <c r="AS5" s="4">
        <f t="shared" si="2"/>
        <v>436778.44500121369</v>
      </c>
      <c r="AT5" s="4">
        <f t="shared" si="2"/>
        <v>440025.88816767506</v>
      </c>
      <c r="AU5" s="4">
        <f t="shared" si="2"/>
        <v>450027.54918629851</v>
      </c>
      <c r="AV5" s="4">
        <f t="shared" si="2"/>
        <v>441697.68132946856</v>
      </c>
      <c r="AW5" s="4">
        <f t="shared" si="2"/>
        <v>431365.73189391138</v>
      </c>
      <c r="AX5" s="4">
        <f t="shared" si="2"/>
        <v>428797.39022213063</v>
      </c>
      <c r="AY5" s="4">
        <f t="shared" si="2"/>
        <v>416308.52792886226</v>
      </c>
      <c r="AZ5" s="4">
        <f t="shared" si="2"/>
        <v>447054.92245064804</v>
      </c>
      <c r="BA5" s="4">
        <f t="shared" si="2"/>
        <v>427007.40033535223</v>
      </c>
      <c r="BB5" s="4">
        <f t="shared" si="2"/>
        <v>381837.78933668026</v>
      </c>
      <c r="BC5" s="4">
        <f t="shared" si="2"/>
        <v>434367.56928483193</v>
      </c>
      <c r="BD5" s="4">
        <f t="shared" si="2"/>
        <v>456451.46417904994</v>
      </c>
      <c r="BE5" s="4">
        <f t="shared" si="2"/>
        <v>478086.98594380496</v>
      </c>
      <c r="BF5" s="4">
        <f t="shared" si="2"/>
        <v>481858.88717388245</v>
      </c>
      <c r="BG5" s="4">
        <f t="shared" si="2"/>
        <v>493487.02821753151</v>
      </c>
      <c r="BH5" s="4">
        <f t="shared" si="2"/>
        <v>483830.17516681831</v>
      </c>
      <c r="BI5" s="4">
        <f t="shared" si="2"/>
        <v>471846.21459283051</v>
      </c>
      <c r="BJ5" s="4">
        <f t="shared" si="2"/>
        <v>470119.51997766941</v>
      </c>
      <c r="BK5" s="4">
        <f t="shared" si="2"/>
        <v>456443.94629808178</v>
      </c>
      <c r="BL5" s="4">
        <f t="shared" si="2"/>
        <v>490086.8692825262</v>
      </c>
      <c r="BM5" s="4">
        <f t="shared" ref="BM5:BY5" si="3">BM7+BM11</f>
        <v>465265.44591638329</v>
      </c>
      <c r="BN5" s="4">
        <f t="shared" si="3"/>
        <v>409895.90943740075</v>
      </c>
      <c r="BO5" s="4">
        <f t="shared" si="3"/>
        <v>470243.86853993894</v>
      </c>
      <c r="BP5" s="4">
        <f t="shared" si="3"/>
        <v>495784.9731960604</v>
      </c>
      <c r="BQ5" s="4">
        <f t="shared" si="3"/>
        <v>520657.57486722147</v>
      </c>
      <c r="BR5" s="4">
        <f t="shared" si="3"/>
        <v>525036.98044141568</v>
      </c>
      <c r="BS5" s="4">
        <f t="shared" si="3"/>
        <v>538417.34973769239</v>
      </c>
      <c r="BT5" s="4">
        <f t="shared" si="3"/>
        <v>527408.19870275748</v>
      </c>
      <c r="BU5" s="4">
        <f t="shared" si="3"/>
        <v>515245.24076788838</v>
      </c>
      <c r="BV5" s="4">
        <f t="shared" si="3"/>
        <v>514447.5810275391</v>
      </c>
      <c r="BW5" s="4">
        <f t="shared" si="3"/>
        <v>496303.70615335077</v>
      </c>
      <c r="BX5" s="4">
        <f t="shared" si="3"/>
        <v>534893.5241286133</v>
      </c>
      <c r="BY5" s="4">
        <f t="shared" si="3"/>
        <v>458910.77091275511</v>
      </c>
      <c r="CA5" s="4">
        <f>AVERAGEIFS($F5:$BY5,$F$2:$BY$2,CA$3)</f>
        <v>167226.93690459421</v>
      </c>
      <c r="CB5" s="4">
        <f>AVERAGEIFS($F5:$BY5,$F$2:$BY$2,CB$3)</f>
        <v>281619.67667719565</v>
      </c>
      <c r="CC5" s="4">
        <f>AVERAGEIFS($F5:$BY5,$F$2:$BY$2,CC$3)</f>
        <v>390111.53656405513</v>
      </c>
      <c r="CD5" s="4">
        <f>AVERAGEIFS($F5:$BY5,$F$2:$BY$2,CD$3)</f>
        <v>424167.25928829302</v>
      </c>
      <c r="CE5" s="4">
        <f t="shared" ref="CE5:CF5" si="4">AVERAGEIFS($F5:$BY5,$F$2:$BY$2,CE$3)</f>
        <v>463640.15794750751</v>
      </c>
      <c r="CF5" s="4">
        <f t="shared" si="4"/>
        <v>500603.80649271951</v>
      </c>
    </row>
    <row r="6" spans="2:84" s="1" customFormat="1" x14ac:dyDescent="0.25">
      <c r="B6" s="266"/>
      <c r="C6" s="267"/>
      <c r="D6" s="268"/>
      <c r="E6" s="260"/>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CA6" s="2"/>
      <c r="CB6" s="2"/>
      <c r="CC6" s="2"/>
      <c r="CD6" s="2"/>
      <c r="CE6" s="2"/>
      <c r="CF6" s="2"/>
    </row>
    <row r="7" spans="2:84" x14ac:dyDescent="0.25">
      <c r="B7" s="270" t="s">
        <v>343</v>
      </c>
      <c r="C7" s="264" t="s">
        <v>4</v>
      </c>
      <c r="D7" s="6"/>
      <c r="E7" s="315"/>
      <c r="F7" s="271">
        <v>57793.887509999986</v>
      </c>
      <c r="G7" s="271">
        <v>55380.199910000003</v>
      </c>
      <c r="H7" s="271">
        <v>58270.828329999997</v>
      </c>
      <c r="I7" s="271">
        <v>55229.236819999998</v>
      </c>
      <c r="J7" s="271">
        <v>47885.671860000002</v>
      </c>
      <c r="K7" s="324">
        <v>106945</v>
      </c>
      <c r="L7" s="271">
        <f>L36</f>
        <v>109638</v>
      </c>
      <c r="M7" s="271">
        <f t="shared" ref="M7:BL7" si="5">M36</f>
        <v>110984.5</v>
      </c>
      <c r="N7" s="271">
        <f t="shared" si="5"/>
        <v>112331</v>
      </c>
      <c r="O7" s="271">
        <f t="shared" si="5"/>
        <v>122156.11514000001</v>
      </c>
      <c r="P7" s="271">
        <f t="shared" si="5"/>
        <v>137702.71203</v>
      </c>
      <c r="Q7" s="271">
        <f t="shared" si="5"/>
        <v>139852.54437000002</v>
      </c>
      <c r="R7" s="271">
        <f t="shared" si="5"/>
        <v>121282.70457967743</v>
      </c>
      <c r="S7" s="271">
        <f t="shared" si="5"/>
        <v>126653.75169949309</v>
      </c>
      <c r="T7" s="271">
        <f t="shared" si="5"/>
        <v>131333.05054741938</v>
      </c>
      <c r="U7" s="271">
        <f t="shared" si="5"/>
        <v>132436.07656556452</v>
      </c>
      <c r="V7" s="271">
        <f t="shared" si="5"/>
        <v>133709.97314127017</v>
      </c>
      <c r="W7" s="271">
        <f t="shared" si="5"/>
        <v>136832.90572059317</v>
      </c>
      <c r="X7" s="271">
        <f t="shared" si="5"/>
        <v>138222.5385971338</v>
      </c>
      <c r="Y7" s="271">
        <f t="shared" si="5"/>
        <v>154348.97737714785</v>
      </c>
      <c r="Z7" s="271">
        <f t="shared" si="5"/>
        <v>164163.4444159581</v>
      </c>
      <c r="AA7" s="271">
        <f t="shared" si="5"/>
        <v>162033.04170519469</v>
      </c>
      <c r="AB7" s="271">
        <f t="shared" si="5"/>
        <v>168736.56777534162</v>
      </c>
      <c r="AC7" s="271">
        <f t="shared" si="5"/>
        <v>180457.42510328657</v>
      </c>
      <c r="AD7" s="271">
        <f t="shared" si="5"/>
        <v>168679.88535479284</v>
      </c>
      <c r="AE7" s="271">
        <f t="shared" si="5"/>
        <v>190977.5834435276</v>
      </c>
      <c r="AF7" s="271">
        <f t="shared" si="5"/>
        <v>199663.50533685874</v>
      </c>
      <c r="AG7" s="271">
        <f t="shared" si="5"/>
        <v>211925.61225359992</v>
      </c>
      <c r="AH7" s="271">
        <f t="shared" si="5"/>
        <v>212780.70573655289</v>
      </c>
      <c r="AI7" s="271">
        <f t="shared" si="5"/>
        <v>219403.74276018987</v>
      </c>
      <c r="AJ7" s="271">
        <f t="shared" si="5"/>
        <v>217735.08543603483</v>
      </c>
      <c r="AK7" s="271">
        <f t="shared" si="5"/>
        <v>211584.83934864166</v>
      </c>
      <c r="AL7" s="271">
        <f t="shared" si="5"/>
        <v>212030.67468735026</v>
      </c>
      <c r="AM7" s="271">
        <f t="shared" si="5"/>
        <v>204727.08699029227</v>
      </c>
      <c r="AN7" s="271">
        <f t="shared" si="5"/>
        <v>202890.99382660771</v>
      </c>
      <c r="AO7" s="271">
        <f t="shared" si="5"/>
        <v>234374.7633634173</v>
      </c>
      <c r="AP7" s="271">
        <f t="shared" si="5"/>
        <v>181347.52995639341</v>
      </c>
      <c r="AQ7" s="271">
        <f t="shared" si="5"/>
        <v>207548.39959310123</v>
      </c>
      <c r="AR7" s="271">
        <f t="shared" si="5"/>
        <v>217586.87256608478</v>
      </c>
      <c r="AS7" s="271">
        <f t="shared" si="5"/>
        <v>231820.73327880376</v>
      </c>
      <c r="AT7" s="271">
        <f t="shared" si="5"/>
        <v>232813.46805734053</v>
      </c>
      <c r="AU7" s="271">
        <f t="shared" si="5"/>
        <v>240513.81056066166</v>
      </c>
      <c r="AV7" s="271">
        <f t="shared" si="5"/>
        <v>238568.80933822659</v>
      </c>
      <c r="AW7" s="271">
        <f t="shared" si="5"/>
        <v>231434.03695394672</v>
      </c>
      <c r="AX7" s="271">
        <f t="shared" si="5"/>
        <v>231953.17334681388</v>
      </c>
      <c r="AY7" s="271">
        <f t="shared" si="5"/>
        <v>223460.6810695625</v>
      </c>
      <c r="AZ7" s="271">
        <f t="shared" si="5"/>
        <v>223083.0100182824</v>
      </c>
      <c r="BA7" s="271">
        <f t="shared" si="5"/>
        <v>257944.39031857328</v>
      </c>
      <c r="BB7" s="271">
        <f t="shared" si="5"/>
        <v>196388.25275728136</v>
      </c>
      <c r="BC7" s="271">
        <f t="shared" si="5"/>
        <v>226798.22865595727</v>
      </c>
      <c r="BD7" s="271">
        <f t="shared" si="5"/>
        <v>238401.46192173651</v>
      </c>
      <c r="BE7" s="271">
        <f t="shared" si="5"/>
        <v>254919.84706789194</v>
      </c>
      <c r="BF7" s="271">
        <f t="shared" si="5"/>
        <v>256073.32194953717</v>
      </c>
      <c r="BG7" s="271">
        <f t="shared" si="5"/>
        <v>265028.86716895242</v>
      </c>
      <c r="BH7" s="271">
        <f t="shared" si="5"/>
        <v>262767.13184258738</v>
      </c>
      <c r="BI7" s="271">
        <f t="shared" si="5"/>
        <v>254493.97470973141</v>
      </c>
      <c r="BJ7" s="271">
        <f t="shared" si="5"/>
        <v>255101.37786899833</v>
      </c>
      <c r="BK7" s="271">
        <f t="shared" si="5"/>
        <v>247308.20593437488</v>
      </c>
      <c r="BL7" s="271">
        <f t="shared" si="5"/>
        <v>244797.95754544946</v>
      </c>
      <c r="BM7" s="271">
        <f t="shared" ref="BM7:BY7" si="6">BM36</f>
        <v>285359.61163482477</v>
      </c>
      <c r="BN7" s="271">
        <f t="shared" si="6"/>
        <v>211082.42691220372</v>
      </c>
      <c r="BO7" s="271">
        <f t="shared" si="6"/>
        <v>245968.41308503575</v>
      </c>
      <c r="BP7" s="271">
        <f t="shared" si="6"/>
        <v>259412.84980103915</v>
      </c>
      <c r="BQ7" s="271">
        <f t="shared" si="6"/>
        <v>278405.5614233762</v>
      </c>
      <c r="BR7" s="271">
        <f t="shared" si="6"/>
        <v>279751.96171907906</v>
      </c>
      <c r="BS7" s="271">
        <f t="shared" si="6"/>
        <v>290036.13741002872</v>
      </c>
      <c r="BT7" s="271">
        <f t="shared" si="6"/>
        <v>287501.18767031934</v>
      </c>
      <c r="BU7" s="271">
        <f t="shared" si="6"/>
        <v>278054.32442000334</v>
      </c>
      <c r="BV7" s="271">
        <f t="shared" si="6"/>
        <v>281389.66235008673</v>
      </c>
      <c r="BW7" s="271">
        <f t="shared" si="6"/>
        <v>269970.90487317223</v>
      </c>
      <c r="BX7" s="271">
        <f t="shared" si="6"/>
        <v>267134.02843917161</v>
      </c>
      <c r="BY7" s="271">
        <f t="shared" si="6"/>
        <v>367085.11498387519</v>
      </c>
      <c r="CA7" s="2">
        <f t="shared" ref="CA7:CD8" si="7">AVERAGEIFS($F7:$BY7,$F$2:$BY$2,CA$3)</f>
        <v>92847.474664166672</v>
      </c>
      <c r="CB7" s="2">
        <f t="shared" si="7"/>
        <v>145850.87143567335</v>
      </c>
      <c r="CC7" s="2">
        <f t="shared" si="7"/>
        <v>207231.20654482211</v>
      </c>
      <c r="CD7" s="2">
        <f t="shared" si="7"/>
        <v>226506.24292148263</v>
      </c>
      <c r="CE7" s="2">
        <f t="shared" ref="CE7:CF8" si="8">AVERAGEIFS($F7:$BY7,$F$2:$BY$2,CE$3)</f>
        <v>248953.18658811029</v>
      </c>
      <c r="CF7" s="2">
        <f t="shared" si="8"/>
        <v>276316.04775728256</v>
      </c>
    </row>
    <row r="8" spans="2:84" x14ac:dyDescent="0.25">
      <c r="B8" s="263" t="s">
        <v>344</v>
      </c>
      <c r="C8" s="272" t="s">
        <v>345</v>
      </c>
      <c r="D8" s="6"/>
      <c r="E8" s="265"/>
      <c r="F8" s="273">
        <f t="shared" ref="F8:J8" si="9">F7/F43</f>
        <v>1.411502091359927</v>
      </c>
      <c r="G8" s="273">
        <f t="shared" si="9"/>
        <v>1.4731657707928751</v>
      </c>
      <c r="H8" s="273">
        <f t="shared" si="9"/>
        <v>1.1115145272458229</v>
      </c>
      <c r="I8" s="273">
        <f t="shared" si="9"/>
        <v>1.3112620754467748</v>
      </c>
      <c r="J8" s="273">
        <f t="shared" si="9"/>
        <v>1.1048378417008078</v>
      </c>
      <c r="K8" s="273">
        <f>K7/K43</f>
        <v>2.3956741994323143</v>
      </c>
      <c r="L8" s="273">
        <f t="shared" ref="L8:BL8" si="10">L7/L43</f>
        <v>1.887030253206605</v>
      </c>
      <c r="M8" s="273">
        <f t="shared" si="10"/>
        <v>1.9675199318179197</v>
      </c>
      <c r="N8" s="273">
        <f t="shared" si="10"/>
        <v>1.9703324981248387</v>
      </c>
      <c r="O8" s="273">
        <f t="shared" si="10"/>
        <v>2.2688392327016125</v>
      </c>
      <c r="P8" s="273">
        <f t="shared" si="10"/>
        <v>2.6404546524163033</v>
      </c>
      <c r="Q8" s="273">
        <f t="shared" si="10"/>
        <v>2.2667367113548398</v>
      </c>
      <c r="R8" s="273">
        <f t="shared" si="10"/>
        <v>3.1362585130576286</v>
      </c>
      <c r="S8" s="273">
        <f t="shared" si="10"/>
        <v>3.0933146547966301</v>
      </c>
      <c r="T8" s="273">
        <f t="shared" si="10"/>
        <v>2.5684309318149818</v>
      </c>
      <c r="U8" s="273">
        <f t="shared" si="10"/>
        <v>2.6066125334331569</v>
      </c>
      <c r="V8" s="273">
        <f t="shared" si="10"/>
        <v>2.472403975779951</v>
      </c>
      <c r="W8" s="273">
        <f t="shared" si="10"/>
        <v>2.4397881512490471</v>
      </c>
      <c r="X8" s="273">
        <f t="shared" si="10"/>
        <v>2.3161956576034335</v>
      </c>
      <c r="Y8" s="273">
        <f t="shared" si="10"/>
        <v>1.9372730166351813</v>
      </c>
      <c r="Z8" s="273">
        <f t="shared" si="10"/>
        <v>1.8470114916388027</v>
      </c>
      <c r="AA8" s="273">
        <f t="shared" si="10"/>
        <v>1.8164821109349258</v>
      </c>
      <c r="AB8" s="273">
        <f t="shared" si="10"/>
        <v>1.788063635973558</v>
      </c>
      <c r="AC8" s="273">
        <f t="shared" si="10"/>
        <v>1.6105396911972372</v>
      </c>
      <c r="AD8" s="273">
        <f t="shared" si="10"/>
        <v>1.7310505973241666</v>
      </c>
      <c r="AE8" s="273">
        <f t="shared" si="10"/>
        <v>1.6902609732809672</v>
      </c>
      <c r="AF8" s="273">
        <f t="shared" si="10"/>
        <v>1.4695907655105187</v>
      </c>
      <c r="AG8" s="273">
        <f t="shared" si="10"/>
        <v>1.4496074130075367</v>
      </c>
      <c r="AH8" s="273">
        <f t="shared" si="10"/>
        <v>1.3986890973426123</v>
      </c>
      <c r="AI8" s="273">
        <f t="shared" si="10"/>
        <v>1.4139669438238518</v>
      </c>
      <c r="AJ8" s="273">
        <f t="shared" si="10"/>
        <v>1.375701027398802</v>
      </c>
      <c r="AK8" s="273">
        <f t="shared" si="10"/>
        <v>1.4045187574421296</v>
      </c>
      <c r="AL8" s="273">
        <f t="shared" si="10"/>
        <v>1.4490764121815607</v>
      </c>
      <c r="AM8" s="273">
        <f t="shared" si="10"/>
        <v>1.440297943920924</v>
      </c>
      <c r="AN8" s="273">
        <f t="shared" si="10"/>
        <v>1.4989696735448834</v>
      </c>
      <c r="AO8" s="273">
        <f t="shared" si="10"/>
        <v>1.3100493246162275</v>
      </c>
      <c r="AP8" s="273">
        <f t="shared" si="10"/>
        <v>1.6026962606322523</v>
      </c>
      <c r="AQ8" s="273">
        <f t="shared" si="10"/>
        <v>1.5777586671825752</v>
      </c>
      <c r="AR8" s="273">
        <f t="shared" si="10"/>
        <v>1.3763628025128574</v>
      </c>
      <c r="AS8" s="273">
        <f t="shared" si="10"/>
        <v>1.363095532492552</v>
      </c>
      <c r="AT8" s="273">
        <f t="shared" si="10"/>
        <v>1.3155585758425381</v>
      </c>
      <c r="AU8" s="273">
        <f t="shared" si="10"/>
        <v>1.3324789928103011</v>
      </c>
      <c r="AV8" s="273">
        <f t="shared" si="10"/>
        <v>1.2958237151851086</v>
      </c>
      <c r="AW8" s="273">
        <f t="shared" si="10"/>
        <v>1.3205273689296977</v>
      </c>
      <c r="AX8" s="273">
        <f t="shared" si="10"/>
        <v>1.3626009372071448</v>
      </c>
      <c r="AY8" s="273">
        <f t="shared" si="10"/>
        <v>1.3512620288435897</v>
      </c>
      <c r="AZ8" s="273">
        <f t="shared" si="10"/>
        <v>1.3979028859818219</v>
      </c>
      <c r="BA8" s="273">
        <f t="shared" si="10"/>
        <v>1.2393329402615363</v>
      </c>
      <c r="BB8" s="273">
        <f t="shared" si="10"/>
        <v>1.4900245624782418</v>
      </c>
      <c r="BC8" s="273">
        <f t="shared" si="10"/>
        <v>1.4813135239630071</v>
      </c>
      <c r="BD8" s="273">
        <f t="shared" si="10"/>
        <v>1.2963759222352502</v>
      </c>
      <c r="BE8" s="273">
        <f t="shared" si="10"/>
        <v>1.2888522741823956</v>
      </c>
      <c r="BF8" s="273">
        <f t="shared" si="10"/>
        <v>1.2442128359273228</v>
      </c>
      <c r="BG8" s="273">
        <f t="shared" si="10"/>
        <v>1.2625287018784834</v>
      </c>
      <c r="BH8" s="273">
        <f t="shared" si="10"/>
        <v>1.2272424516276959</v>
      </c>
      <c r="BI8" s="273">
        <f t="shared" si="10"/>
        <v>1.2484183514410028</v>
      </c>
      <c r="BJ8" s="273">
        <f t="shared" si="10"/>
        <v>1.2883511337424696</v>
      </c>
      <c r="BK8" s="273">
        <f t="shared" si="10"/>
        <v>1.2686195616027907</v>
      </c>
      <c r="BL8" s="273">
        <f t="shared" si="10"/>
        <v>1.3186561716455418</v>
      </c>
      <c r="BM8" s="273">
        <f t="shared" ref="BM8:BY8" si="11">BM7/BM43</f>
        <v>1.1785558430174614</v>
      </c>
      <c r="BN8" s="273">
        <f t="shared" si="11"/>
        <v>1.4070023179482904</v>
      </c>
      <c r="BO8" s="273">
        <f t="shared" si="11"/>
        <v>1.4089412631684359</v>
      </c>
      <c r="BP8" s="273">
        <f t="shared" si="11"/>
        <v>1.235578619235856</v>
      </c>
      <c r="BQ8" s="273">
        <f t="shared" si="11"/>
        <v>1.232040476711145</v>
      </c>
      <c r="BR8" s="273">
        <f t="shared" si="11"/>
        <v>1.1895580467752593</v>
      </c>
      <c r="BS8" s="273">
        <f t="shared" si="11"/>
        <v>1.2088475315525906</v>
      </c>
      <c r="BT8" s="273">
        <f t="shared" si="11"/>
        <v>1.1745190154405627</v>
      </c>
      <c r="BU8" s="273">
        <f t="shared" si="11"/>
        <v>1.1930182649127217</v>
      </c>
      <c r="BV8" s="273">
        <f t="shared" si="11"/>
        <v>1.225820802751838</v>
      </c>
      <c r="BW8" s="273">
        <f t="shared" si="11"/>
        <v>1.210390258033655</v>
      </c>
      <c r="BX8" s="273">
        <f t="shared" si="11"/>
        <v>1.2574251261286649</v>
      </c>
      <c r="BY8" s="273">
        <f t="shared" si="11"/>
        <v>1.3252705259034527</v>
      </c>
      <c r="CA8" s="273">
        <f t="shared" si="7"/>
        <v>1.8174058154667201</v>
      </c>
      <c r="CB8" s="273">
        <f t="shared" si="7"/>
        <v>2.3026978636762108</v>
      </c>
      <c r="CC8" s="273">
        <f t="shared" si="7"/>
        <v>1.4693149107828487</v>
      </c>
      <c r="CD8" s="273">
        <f t="shared" si="7"/>
        <v>1.3779500589901643</v>
      </c>
      <c r="CE8" s="273">
        <f t="shared" si="8"/>
        <v>1.2994292778118053</v>
      </c>
      <c r="CF8" s="273">
        <f t="shared" si="8"/>
        <v>1.2557010207135393</v>
      </c>
    </row>
    <row r="9" spans="2:84" x14ac:dyDescent="0.25">
      <c r="B9" s="263" t="s">
        <v>344</v>
      </c>
      <c r="C9" s="272" t="s">
        <v>346</v>
      </c>
      <c r="D9" s="6"/>
      <c r="E9" s="265"/>
      <c r="F9" s="273">
        <f t="shared" ref="F9:BL9" si="12">F8*30</f>
        <v>42.345062740797808</v>
      </c>
      <c r="G9" s="273">
        <f t="shared" si="12"/>
        <v>44.194973123786255</v>
      </c>
      <c r="H9" s="273">
        <f t="shared" si="12"/>
        <v>33.345435817374685</v>
      </c>
      <c r="I9" s="273">
        <f t="shared" si="12"/>
        <v>39.337862263403245</v>
      </c>
      <c r="J9" s="273">
        <f t="shared" si="12"/>
        <v>33.145135251024236</v>
      </c>
      <c r="K9" s="273">
        <f t="shared" si="12"/>
        <v>71.87022598296943</v>
      </c>
      <c r="L9" s="273">
        <f t="shared" si="12"/>
        <v>56.610907596198153</v>
      </c>
      <c r="M9" s="273">
        <f t="shared" si="12"/>
        <v>59.025597954537595</v>
      </c>
      <c r="N9" s="273">
        <f t="shared" si="12"/>
        <v>59.109974943745158</v>
      </c>
      <c r="O9" s="273">
        <f t="shared" si="12"/>
        <v>68.065176981048381</v>
      </c>
      <c r="P9" s="273">
        <f t="shared" si="12"/>
        <v>79.2136395724891</v>
      </c>
      <c r="Q9" s="273">
        <f t="shared" si="12"/>
        <v>68.002101340645197</v>
      </c>
      <c r="R9" s="273">
        <f t="shared" si="12"/>
        <v>94.087755391728862</v>
      </c>
      <c r="S9" s="273">
        <f t="shared" si="12"/>
        <v>92.799439643898907</v>
      </c>
      <c r="T9" s="273">
        <f t="shared" si="12"/>
        <v>77.052927954449459</v>
      </c>
      <c r="U9" s="273">
        <f t="shared" si="12"/>
        <v>78.198376002994706</v>
      </c>
      <c r="V9" s="273">
        <f t="shared" si="12"/>
        <v>74.172119273398522</v>
      </c>
      <c r="W9" s="273">
        <f t="shared" si="12"/>
        <v>73.193644537471414</v>
      </c>
      <c r="X9" s="273">
        <f t="shared" si="12"/>
        <v>69.485869728103012</v>
      </c>
      <c r="Y9" s="273">
        <f t="shared" si="12"/>
        <v>58.118190499055437</v>
      </c>
      <c r="Z9" s="273">
        <f t="shared" si="12"/>
        <v>55.410344749164082</v>
      </c>
      <c r="AA9" s="273">
        <f t="shared" si="12"/>
        <v>54.494463328047772</v>
      </c>
      <c r="AB9" s="273">
        <f t="shared" si="12"/>
        <v>53.641909079206741</v>
      </c>
      <c r="AC9" s="273">
        <f t="shared" si="12"/>
        <v>48.316190735917118</v>
      </c>
      <c r="AD9" s="273">
        <f t="shared" si="12"/>
        <v>51.931517919724996</v>
      </c>
      <c r="AE9" s="273">
        <f t="shared" si="12"/>
        <v>50.707829198429017</v>
      </c>
      <c r="AF9" s="273">
        <f t="shared" si="12"/>
        <v>44.087722965315564</v>
      </c>
      <c r="AG9" s="273">
        <f t="shared" si="12"/>
        <v>43.488222390226099</v>
      </c>
      <c r="AH9" s="273">
        <f t="shared" si="12"/>
        <v>41.96067292027837</v>
      </c>
      <c r="AI9" s="273">
        <f t="shared" si="12"/>
        <v>42.419008314715555</v>
      </c>
      <c r="AJ9" s="273">
        <f t="shared" si="12"/>
        <v>41.271030821964061</v>
      </c>
      <c r="AK9" s="273">
        <f t="shared" si="12"/>
        <v>42.135562723263888</v>
      </c>
      <c r="AL9" s="273">
        <f t="shared" si="12"/>
        <v>43.472292365446819</v>
      </c>
      <c r="AM9" s="273">
        <f t="shared" si="12"/>
        <v>43.20893831762772</v>
      </c>
      <c r="AN9" s="273">
        <f t="shared" si="12"/>
        <v>44.9690902063465</v>
      </c>
      <c r="AO9" s="273">
        <f t="shared" si="12"/>
        <v>39.301479738486826</v>
      </c>
      <c r="AP9" s="273">
        <f t="shared" si="12"/>
        <v>48.080887818967568</v>
      </c>
      <c r="AQ9" s="273">
        <f t="shared" si="12"/>
        <v>47.332760015477255</v>
      </c>
      <c r="AR9" s="273">
        <f t="shared" si="12"/>
        <v>41.290884075385719</v>
      </c>
      <c r="AS9" s="273">
        <f t="shared" si="12"/>
        <v>40.892865974776562</v>
      </c>
      <c r="AT9" s="273">
        <f t="shared" si="12"/>
        <v>39.466757275276144</v>
      </c>
      <c r="AU9" s="273">
        <f t="shared" si="12"/>
        <v>39.974369784309033</v>
      </c>
      <c r="AV9" s="273">
        <f t="shared" si="12"/>
        <v>38.87471145555326</v>
      </c>
      <c r="AW9" s="273">
        <f t="shared" si="12"/>
        <v>39.615821067890934</v>
      </c>
      <c r="AX9" s="273">
        <f t="shared" si="12"/>
        <v>40.878028116214345</v>
      </c>
      <c r="AY9" s="273">
        <f t="shared" si="12"/>
        <v>40.537860865307692</v>
      </c>
      <c r="AZ9" s="273">
        <f t="shared" si="12"/>
        <v>41.937086579454657</v>
      </c>
      <c r="BA9" s="273">
        <f t="shared" si="12"/>
        <v>37.179988207846087</v>
      </c>
      <c r="BB9" s="273">
        <f t="shared" si="12"/>
        <v>44.700736874347257</v>
      </c>
      <c r="BC9" s="273">
        <f t="shared" si="12"/>
        <v>44.439405718890214</v>
      </c>
      <c r="BD9" s="273">
        <f t="shared" si="12"/>
        <v>38.891277667057508</v>
      </c>
      <c r="BE9" s="273">
        <f t="shared" si="12"/>
        <v>38.665568225471866</v>
      </c>
      <c r="BF9" s="273">
        <f t="shared" si="12"/>
        <v>37.326385077819687</v>
      </c>
      <c r="BG9" s="273">
        <f t="shared" si="12"/>
        <v>37.875861056354502</v>
      </c>
      <c r="BH9" s="273">
        <f t="shared" si="12"/>
        <v>36.817273548830876</v>
      </c>
      <c r="BI9" s="273">
        <f t="shared" si="12"/>
        <v>37.452550543230082</v>
      </c>
      <c r="BJ9" s="273">
        <f t="shared" si="12"/>
        <v>38.650534012274086</v>
      </c>
      <c r="BK9" s="273">
        <f t="shared" si="12"/>
        <v>38.058586848083721</v>
      </c>
      <c r="BL9" s="273">
        <f t="shared" si="12"/>
        <v>39.559685149366253</v>
      </c>
      <c r="BM9" s="273">
        <f t="shared" ref="BM9:BY9" si="13">BM8*30</f>
        <v>35.356675290523839</v>
      </c>
      <c r="BN9" s="273">
        <f t="shared" si="13"/>
        <v>42.210069538448714</v>
      </c>
      <c r="BO9" s="273">
        <f t="shared" si="13"/>
        <v>42.268237895053076</v>
      </c>
      <c r="BP9" s="273">
        <f t="shared" si="13"/>
        <v>37.06735857707568</v>
      </c>
      <c r="BQ9" s="273">
        <f t="shared" si="13"/>
        <v>36.961214301334351</v>
      </c>
      <c r="BR9" s="273">
        <f t="shared" si="13"/>
        <v>35.686741403257777</v>
      </c>
      <c r="BS9" s="273">
        <f t="shared" si="13"/>
        <v>36.265425946577722</v>
      </c>
      <c r="BT9" s="273">
        <f t="shared" si="13"/>
        <v>35.235570463216881</v>
      </c>
      <c r="BU9" s="273">
        <f t="shared" si="13"/>
        <v>35.790547947381647</v>
      </c>
      <c r="BV9" s="273">
        <f t="shared" si="13"/>
        <v>36.774624082555142</v>
      </c>
      <c r="BW9" s="273">
        <f t="shared" si="13"/>
        <v>36.311707741009648</v>
      </c>
      <c r="BX9" s="273">
        <f t="shared" si="13"/>
        <v>37.722753783859943</v>
      </c>
      <c r="BY9" s="273">
        <f t="shared" si="13"/>
        <v>39.758115777103583</v>
      </c>
      <c r="CA9" s="273">
        <f t="shared" ref="CA9:CD9" si="14">CA8*30</f>
        <v>54.522174464001601</v>
      </c>
      <c r="CB9" s="273">
        <f t="shared" si="14"/>
        <v>69.080935910286328</v>
      </c>
      <c r="CC9" s="273">
        <f t="shared" si="14"/>
        <v>44.079447323485461</v>
      </c>
      <c r="CD9" s="273">
        <f t="shared" si="14"/>
        <v>41.338501769704926</v>
      </c>
      <c r="CE9" s="273">
        <f t="shared" ref="CE9:CF9" si="15">CE8*30</f>
        <v>38.982878334354162</v>
      </c>
      <c r="CF9" s="273">
        <f t="shared" si="15"/>
        <v>37.671030621406182</v>
      </c>
    </row>
    <row r="10" spans="2:84" x14ac:dyDescent="0.25">
      <c r="B10" s="263"/>
      <c r="C10" s="272"/>
      <c r="D10" s="6"/>
      <c r="E10" s="265"/>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273"/>
      <c r="AL10" s="273"/>
      <c r="AM10" s="273"/>
      <c r="AN10" s="273"/>
      <c r="AO10" s="273"/>
      <c r="AP10" s="273"/>
      <c r="AQ10" s="273"/>
      <c r="AR10" s="273"/>
      <c r="AS10" s="273"/>
      <c r="AT10" s="273"/>
      <c r="AU10" s="273"/>
      <c r="AV10" s="273"/>
      <c r="AW10" s="273"/>
      <c r="AX10" s="273"/>
      <c r="AY10" s="273"/>
      <c r="AZ10" s="273"/>
      <c r="BA10" s="273"/>
      <c r="BB10" s="273"/>
      <c r="BC10" s="273"/>
      <c r="BD10" s="273"/>
      <c r="BE10" s="273"/>
      <c r="BF10" s="273"/>
      <c r="BG10" s="273"/>
      <c r="BH10" s="273"/>
      <c r="BI10" s="273"/>
      <c r="BJ10" s="273"/>
      <c r="BK10" s="273"/>
      <c r="BL10" s="273"/>
      <c r="BM10" s="273"/>
      <c r="BN10" s="273"/>
      <c r="BO10" s="273"/>
      <c r="BP10" s="273"/>
      <c r="BQ10" s="273"/>
      <c r="BR10" s="273"/>
      <c r="BS10" s="273"/>
      <c r="BT10" s="273"/>
      <c r="BU10" s="273"/>
      <c r="BV10" s="273"/>
      <c r="BW10" s="273"/>
      <c r="BX10" s="273"/>
      <c r="BY10" s="273"/>
      <c r="CA10" s="273"/>
      <c r="CB10" s="273"/>
      <c r="CC10" s="273"/>
      <c r="CD10" s="273"/>
      <c r="CE10" s="273"/>
      <c r="CF10" s="273"/>
    </row>
    <row r="11" spans="2:84" x14ac:dyDescent="0.25">
      <c r="B11" s="270" t="s">
        <v>364</v>
      </c>
      <c r="C11" s="264" t="s">
        <v>4</v>
      </c>
      <c r="D11" s="6"/>
      <c r="E11" s="315"/>
      <c r="F11" s="271">
        <v>72136.900000000009</v>
      </c>
      <c r="G11" s="271">
        <v>70694.162000000011</v>
      </c>
      <c r="H11" s="271">
        <v>71401.103620000009</v>
      </c>
      <c r="I11" s="271">
        <v>72115.114656200007</v>
      </c>
      <c r="J11" s="271">
        <v>72836.265802762005</v>
      </c>
      <c r="K11" s="324">
        <v>71914</v>
      </c>
      <c r="L11" s="271">
        <f>K11+(N11-K11)/2</f>
        <v>67734</v>
      </c>
      <c r="M11" s="271">
        <f>L11-Свод_БДДС!S6-Свод_ОФР!Y53-Свод_ОФР!Y66</f>
        <v>66868.497561188749</v>
      </c>
      <c r="N11" s="324">
        <v>63554</v>
      </c>
      <c r="O11" s="271">
        <f>N11-Свод_БДДС!U6-Свод_ОФР!AA53-Свод_ОФР!AA66</f>
        <v>75355.90258224</v>
      </c>
      <c r="P11" s="271">
        <f>O11-Свод_БДДС!V6-Свод_ОФР!AB53-Свод_ОФР!AB66</f>
        <v>72549.270099860005</v>
      </c>
      <c r="Q11" s="271">
        <f>P11-Свод_БДДС!W6-Свод_ОФР!AC53-Свод_ОФР!AC66</f>
        <v>115394.33056288</v>
      </c>
      <c r="R11" s="271">
        <f>Q11-Свод_БДДС!X6-Свод_ОФР!AD53-Свод_ОФР!AD66</f>
        <v>116758.44471087999</v>
      </c>
      <c r="S11" s="271">
        <f>R11-Свод_БДДС!Y6-Свод_ОФР!AE53-Свод_ОФР!AE66</f>
        <v>122893.93947088</v>
      </c>
      <c r="T11" s="271">
        <f>S11-Свод_БДДС!Z6-Свод_ОФР!AF53-Свод_ОФР!AF66</f>
        <v>123102.11187213002</v>
      </c>
      <c r="U11" s="271">
        <f>T11-Свод_БДДС!AA6-Свод_ОФР!AG53-Свод_ОФР!AG66</f>
        <v>124733.61683897875</v>
      </c>
      <c r="V11" s="271">
        <f>U11-Свод_БДДС!AB6-Свод_ОФР!AH53-Свод_ОФР!AH66</f>
        <v>125984.35727927575</v>
      </c>
      <c r="W11" s="271">
        <f>V11-Свод_БДДС!AC6-Свод_ОФР!AI53-Свод_ОФР!AI66</f>
        <v>128160.12994106155</v>
      </c>
      <c r="X11" s="271">
        <f>W11-Свод_БДДС!AD6-Свод_ОФР!AJ53-Свод_ОФР!AJ66</f>
        <v>138346.20764890796</v>
      </c>
      <c r="Y11" s="271">
        <f>X11-Свод_БДДС!AE6-Свод_ОФР!AK53-Свод_ОФР!AK66</f>
        <v>144416.56690666691</v>
      </c>
      <c r="Z11" s="271">
        <f>Y11-Свод_БДДС!AF6-Свод_ОФР!AL53-Свод_ОФР!AL66</f>
        <v>145248.54078552593</v>
      </c>
      <c r="AA11" s="271">
        <f>Z11-Свод_БДДС!AG6-Свод_ОФР!AM53-Свод_ОФР!AM66</f>
        <v>149231.74002470952</v>
      </c>
      <c r="AB11" s="271">
        <f>AA11-Свод_БДДС!AH6-Свод_ОФР!AN53-Свод_ОФР!AN66</f>
        <v>159649.71699748212</v>
      </c>
      <c r="AC11" s="271">
        <f>AB11-Свод_БДДС!AI6-Свод_ОФР!AO53-Свод_ОФР!AO66</f>
        <v>150700.29042176815</v>
      </c>
      <c r="AD11" s="271">
        <f>AC11-Свод_БДДС!AJ6-Свод_ОФР!AP53-Свод_ОФР!AP66</f>
        <v>161170.68671177456</v>
      </c>
      <c r="AE11" s="271">
        <f>AD11-Свод_БДДС!AK6-Свод_ОФР!AQ53-Свод_ОФР!AQ66</f>
        <v>177645.52312783449</v>
      </c>
      <c r="AF11" s="271">
        <f>AE11-Свод_БДДС!AL6-Свод_ОФР!AR53-Свод_ОФР!AR66</f>
        <v>185458.98126693437</v>
      </c>
      <c r="AG11" s="271">
        <f>AF11-Свод_БДДС!AM6-Свод_ОФР!AS53-Свод_ОФР!AS66</f>
        <v>189254.48217149859</v>
      </c>
      <c r="AH11" s="271">
        <f>AG11-Свод_БДДС!AN6-Свод_ОФР!AT53-Свод_ОФР!AT66</f>
        <v>191198.22911931184</v>
      </c>
      <c r="AI11" s="271">
        <f>AH11-Свод_БДДС!AO6-Свод_ОФР!AU53-Свод_ОФР!AU66</f>
        <v>193182.10241903103</v>
      </c>
      <c r="AJ11" s="271">
        <f>AI11-Свод_БДДС!AP6-Свод_ОФР!AV53-Свод_ОФР!AV66</f>
        <v>187671.58847287981</v>
      </c>
      <c r="AK11" s="271">
        <f>AJ11-Свод_БДДС!AQ6-Свод_ОФР!AW53-Свод_ОФР!AW66</f>
        <v>184919.10329274609</v>
      </c>
      <c r="AL11" s="271">
        <f>AK11-Свод_БДДС!AR6-Свод_ОФР!AX53-Свод_ОФР!AX66</f>
        <v>182258.50805407844</v>
      </c>
      <c r="AM11" s="271">
        <f>AL11-Свод_БДДС!AS6-Свод_ОФР!AY53-Свод_ОФР!AY66</f>
        <v>177938.49020213823</v>
      </c>
      <c r="AN11" s="271">
        <f>AM11-Свод_БДДС!AT6-Свод_ОФР!AZ53-Свод_ОФР!AZ66</f>
        <v>205616.70805986738</v>
      </c>
      <c r="AO11" s="271">
        <f>AN11-Свод_БДДС!AU6-Свод_ОФР!BA53-Свод_ОФР!BA66</f>
        <v>158249.55733270082</v>
      </c>
      <c r="AP11" s="271">
        <f>AO11-Свод_БДДС!AV6-Свод_ОФР!BB53-Свод_ОФР!BB66</f>
        <v>172409.90785018614</v>
      </c>
      <c r="AQ11" s="271">
        <f>AP11-Свод_БДДС!AW6-Свод_ОФР!BC53-Свод_ОФР!BC66</f>
        <v>191500.34824225295</v>
      </c>
      <c r="AR11" s="271">
        <f>AQ11-Свод_БДДС!AX6-Свод_ОФР!BD53-Свод_ОФР!BD66</f>
        <v>200550.51673593768</v>
      </c>
      <c r="AS11" s="271">
        <f>AR11-Свод_БДДС!AY6-Свод_ОФР!BE53-Свод_ОФР!BE66</f>
        <v>204957.71172240993</v>
      </c>
      <c r="AT11" s="271">
        <f>AS11-Свод_БДДС!AZ6-Свод_ОФР!BF53-Свод_ОФР!BF66</f>
        <v>207212.42011033453</v>
      </c>
      <c r="AU11" s="271">
        <f>AT11-Свод_БДДС!BA6-Свод_ОФР!BG53-Свод_ОФР!BG66</f>
        <v>209513.73862563682</v>
      </c>
      <c r="AV11" s="271">
        <f>AU11-Свод_БДДС!BB6-Свод_ОФР!BH53-Свод_ОФР!BH66</f>
        <v>203128.87199124196</v>
      </c>
      <c r="AW11" s="271">
        <f>AV11-Свод_БДДС!BC6-Свод_ОФР!BI53-Свод_ОФР!BI66</f>
        <v>199931.69493996468</v>
      </c>
      <c r="AX11" s="271">
        <f>AW11-Свод_БДДС!BD6-Свод_ОФР!BJ53-Свод_ОФР!BJ66</f>
        <v>196844.21687531675</v>
      </c>
      <c r="AY11" s="271">
        <f>AX11-Свод_БДДС!BE6-Свод_ОФР!BK53-Свод_ОФР!BK66</f>
        <v>192847.84685929975</v>
      </c>
      <c r="AZ11" s="271">
        <f>AY11-Свод_БДДС!BF6-Свод_ОФР!BL53-Свод_ОФР!BL66</f>
        <v>223971.91243236567</v>
      </c>
      <c r="BA11" s="271">
        <f>AZ11-Свод_БДДС!BG6-Свод_ОФР!BM53-Свод_ОФР!BM66</f>
        <v>169063.01001677895</v>
      </c>
      <c r="BB11" s="271">
        <f>BA11-Свод_БДДС!BH6-Свод_ОФР!BN53-Свод_ОФР!BN66</f>
        <v>185449.5365793989</v>
      </c>
      <c r="BC11" s="271">
        <f>BB11-Свод_БДДС!BI6-Свод_ОФР!BO53-Свод_ОФР!BO66</f>
        <v>207569.34062887466</v>
      </c>
      <c r="BD11" s="271">
        <f>BC11-Свод_БДДС!BJ6-Свод_ОФР!BP53-Свод_ОФР!BP66</f>
        <v>218050.00225731343</v>
      </c>
      <c r="BE11" s="271">
        <f>BD11-Свод_БДДС!BK6-Свод_ОФР!BQ53-Свод_ОФР!BQ66</f>
        <v>223167.13887591299</v>
      </c>
      <c r="BF11" s="271">
        <f>BE11-Свод_БДДС!BL6-Свод_ОФР!BR53-Свод_ОФР!BR66</f>
        <v>225785.56522434525</v>
      </c>
      <c r="BG11" s="271">
        <f>BF11-Свод_БДДС!BM6-Свод_ОФР!BS53-Свод_ОФР!BS66</f>
        <v>228458.16104857909</v>
      </c>
      <c r="BH11" s="271">
        <f>BG11-Свод_БДДС!BN6-Свод_ОФР!BT53-Свод_ОФР!BT66</f>
        <v>221063.04332423094</v>
      </c>
      <c r="BI11" s="271">
        <f>BH11-Свод_БДДС!BO6-Свод_ОФР!BU53-Свод_ОФР!BU66</f>
        <v>217352.23988309907</v>
      </c>
      <c r="BJ11" s="271">
        <f>BI11-Свод_БДДС!BP6-Свод_ОФР!BV53-Свод_ОФР!BV66</f>
        <v>215018.14210867108</v>
      </c>
      <c r="BK11" s="271">
        <f>BJ11-Свод_БДДС!BQ6-Свод_ОФР!BW53-Свод_ОФР!BW66</f>
        <v>209135.74036370689</v>
      </c>
      <c r="BL11" s="271">
        <f>BK11-Свод_БДДС!BR6-Свод_ОФР!BX53-Свод_ОФР!BX66</f>
        <v>245288.91173707671</v>
      </c>
      <c r="BM11" s="271">
        <f>BL11-Свод_БДДС!BS6-Свод_ОФР!BY53-Свод_ОФР!BY66</f>
        <v>179905.83428155852</v>
      </c>
      <c r="BN11" s="271">
        <f>BM11-Свод_БДДС!BT6-Свод_ОФР!BZ53-Свод_ОФР!BZ66</f>
        <v>198813.48252519706</v>
      </c>
      <c r="BO11" s="271">
        <f>BN11-Свод_БДДС!BU6-Свод_ОФР!CA53-Свод_ОФР!CA66</f>
        <v>224275.45545490319</v>
      </c>
      <c r="BP11" s="271">
        <f>BO11-Свод_БДДС!BV6-Свод_ОФР!CB53-Свод_ОФР!CB66</f>
        <v>236372.12339502122</v>
      </c>
      <c r="BQ11" s="271">
        <f>BP11-Свод_БДДС!BW6-Свод_ОФР!CC53-Свод_ОФР!CC66</f>
        <v>242252.01344384527</v>
      </c>
      <c r="BR11" s="271">
        <f>BQ11-Свод_БДДС!BX6-Свод_ОФР!CD53-Свод_ОФР!CD66</f>
        <v>245285.01872233668</v>
      </c>
      <c r="BS11" s="271">
        <f>BR11-Свод_БДДС!BY6-Свод_ОФР!CE53-Свод_ОФР!CE66</f>
        <v>248381.21232766361</v>
      </c>
      <c r="BT11" s="271">
        <f>BS11-Свод_БДДС!BZ6-Свод_ОФР!CF53-Свод_ОФР!CF66</f>
        <v>239907.01103243814</v>
      </c>
      <c r="BU11" s="271">
        <f>BT11-Свод_БДДС!CA6-Свод_ОФР!CG53-Свод_ОФР!CG66</f>
        <v>237190.91634788504</v>
      </c>
      <c r="BV11" s="271">
        <f>BU11-Свод_БДДС!CB6-Свод_ОФР!CH53-Свод_ОФР!CH66</f>
        <v>233057.91867745234</v>
      </c>
      <c r="BW11" s="271">
        <f>BV11-Свод_БДДС!CC6-Свод_ОФР!CI53-Свод_ОФР!CI66</f>
        <v>226332.80128017854</v>
      </c>
      <c r="BX11" s="271">
        <f>BW11-Свод_БДДС!CD6-Свод_ОФР!CJ53-Свод_ОФР!CJ66</f>
        <v>267759.49568944168</v>
      </c>
      <c r="BY11" s="271">
        <f>BX11-Свод_БДДС!CE6-Свод_ОФР!CK53-Свод_ОФР!CK66</f>
        <v>91825.655928879918</v>
      </c>
      <c r="CA11" s="2">
        <f t="shared" ref="CA11:CD12" si="16">AVERAGEIFS($F11:$BY11,$F$2:$BY$2,CA$3)</f>
        <v>74379.462240427572</v>
      </c>
      <c r="CB11" s="2">
        <f t="shared" si="16"/>
        <v>135768.80524152223</v>
      </c>
      <c r="CC11" s="2">
        <f t="shared" si="16"/>
        <v>182880.33001923296</v>
      </c>
      <c r="CD11" s="2">
        <f t="shared" si="16"/>
        <v>197661.01636681051</v>
      </c>
      <c r="CE11" s="2">
        <f t="shared" ref="CE11:CF12" si="17">AVERAGEIFS($F11:$BY11,$F$2:$BY$2,CE$3)</f>
        <v>214686.97135939731</v>
      </c>
      <c r="CF11" s="2">
        <f t="shared" si="17"/>
        <v>224287.75873543686</v>
      </c>
    </row>
    <row r="12" spans="2:84" x14ac:dyDescent="0.25">
      <c r="B12" s="263" t="s">
        <v>344</v>
      </c>
      <c r="C12" s="272" t="s">
        <v>345</v>
      </c>
      <c r="D12" s="6"/>
      <c r="E12" s="265"/>
      <c r="F12" s="273">
        <f>F11/Свод_ОФР!R48</f>
        <v>1.761801975972008</v>
      </c>
      <c r="G12" s="273">
        <f>G11/Свод_ОФР!S48</f>
        <v>1.8805316669592065</v>
      </c>
      <c r="H12" s="273">
        <f>H11/Свод_ОФР!T48</f>
        <v>1.3619741851885621</v>
      </c>
      <c r="I12" s="273">
        <f>I11/Свод_ОФР!U48</f>
        <v>1.712169502239574</v>
      </c>
      <c r="J12" s="273">
        <f>J11/Свод_ОФР!V48</f>
        <v>1.6805081683377245</v>
      </c>
      <c r="K12" s="273">
        <f>K11/Свод_ОФР!W48</f>
        <v>1.6109450126511333</v>
      </c>
      <c r="L12" s="273">
        <f>L11/Свод_ОФР!X48</f>
        <v>1.1658011562660409</v>
      </c>
      <c r="M12" s="273">
        <f>M11/Свод_ОФР!Y48</f>
        <v>1.1854367210047965</v>
      </c>
      <c r="N12" s="273">
        <f>N11/Свод_ОФР!Z48</f>
        <v>1.114763614548308</v>
      </c>
      <c r="O12" s="273">
        <f>O11/Свод_ОФР!AA48</f>
        <v>1.3996059714102893</v>
      </c>
      <c r="P12" s="273">
        <f>P11/Свод_ОФР!AB48</f>
        <v>1.3911349670647615</v>
      </c>
      <c r="Q12" s="273">
        <f>Q11/Свод_ОФР!AC48</f>
        <v>1.870316815095467</v>
      </c>
      <c r="R12" s="273">
        <f>R11/Свод_ОФР!AD48</f>
        <v>3.0192653393155369</v>
      </c>
      <c r="S12" s="273">
        <f>S11/Свод_ОФР!AE48</f>
        <v>3.0014872741624803</v>
      </c>
      <c r="T12" s="273">
        <f>T11/Свод_ОФР!AF48</f>
        <v>2.4074615687843686</v>
      </c>
      <c r="U12" s="273">
        <f>U11/Свод_ОФР!AG48</f>
        <v>2.4550123910683008</v>
      </c>
      <c r="V12" s="273">
        <f>V11/Свод_ОФР!AH48</f>
        <v>2.329551180855201</v>
      </c>
      <c r="W12" s="273">
        <f>W11/Свод_ОФР!AI48</f>
        <v>2.2851489182815894</v>
      </c>
      <c r="X12" s="273">
        <f>X11/Свод_ОФР!AJ48</f>
        <v>2.3182679804214517</v>
      </c>
      <c r="Y12" s="273">
        <f>Y11/Свод_ОФР!AK48</f>
        <v>1.8126088230552611</v>
      </c>
      <c r="Z12" s="273">
        <f>Z11/Свод_ОФР!AL48</f>
        <v>1.634198922476769</v>
      </c>
      <c r="AA12" s="273">
        <f>AA11/Свод_ОФР!AM48</f>
        <v>1.6729722733451955</v>
      </c>
      <c r="AB12" s="273">
        <f>AB11/Свод_ОФР!AN48</f>
        <v>1.691772312429267</v>
      </c>
      <c r="AC12" s="273">
        <f>AC11/Свод_ОФР!AO48</f>
        <v>1.3449643264071383</v>
      </c>
      <c r="AD12" s="273">
        <f>AD11/Свод_ОФР!AP48</f>
        <v>1.6539886360293647</v>
      </c>
      <c r="AE12" s="273">
        <f>AE11/Свод_ОФР!AQ48</f>
        <v>1.5722646051275941</v>
      </c>
      <c r="AF12" s="273">
        <f>AF11/Свод_ОФР!AR48</f>
        <v>1.3650406757662055</v>
      </c>
      <c r="AG12" s="273">
        <f>AG11/Свод_ОФР!AS48</f>
        <v>1.2945330079896789</v>
      </c>
      <c r="AH12" s="273">
        <f>AH11/Свод_ОФР!AT48</f>
        <v>1.2568192100626907</v>
      </c>
      <c r="AI12" s="273">
        <f>AI11/Свод_ОФР!AU48</f>
        <v>1.2449792493169192</v>
      </c>
      <c r="AJ12" s="273">
        <f>AJ11/Свод_ОФР!AV48</f>
        <v>1.185752845292142</v>
      </c>
      <c r="AK12" s="273">
        <f>AK11/Свод_ОФР!AW48</f>
        <v>1.2275092581471763</v>
      </c>
      <c r="AL12" s="273">
        <f>AL11/Свод_ОФР!AX48</f>
        <v>1.245605171657385</v>
      </c>
      <c r="AM12" s="273">
        <f>AM11/Свод_ОФР!AY48</f>
        <v>1.2518345537475735</v>
      </c>
      <c r="AN12" s="273">
        <f>AN11/Свод_ОФР!AZ48</f>
        <v>1.5191073982282057</v>
      </c>
      <c r="AO12" s="273">
        <f>AO11/Свод_ОФР!BA48</f>
        <v>0.88454372275168203</v>
      </c>
      <c r="AP12" s="273">
        <f>AP11/Свод_ОФР!BB48</f>
        <v>1.5237081788425144</v>
      </c>
      <c r="AQ12" s="273">
        <f>AQ11/Свод_ОФР!BC48</f>
        <v>1.4557632571489074</v>
      </c>
      <c r="AR12" s="273">
        <f>AR11/Свод_ОФР!BD48</f>
        <v>1.2685979995242675</v>
      </c>
      <c r="AS12" s="273">
        <f>AS11/Свод_ОФР!BE48</f>
        <v>1.2051421684647816</v>
      </c>
      <c r="AT12" s="273">
        <f>AT11/Свод_ОФР!BF48</f>
        <v>1.1708947878827081</v>
      </c>
      <c r="AU12" s="273">
        <f>AU11/Свод_ОФР!BG48</f>
        <v>1.1607344076127268</v>
      </c>
      <c r="AV12" s="273">
        <f>AV11/Свод_ОФР!BH48</f>
        <v>1.1033261652904394</v>
      </c>
      <c r="AW12" s="273">
        <f>AW11/Свод_ОФР!BI48</f>
        <v>1.1407798030039253</v>
      </c>
      <c r="AX12" s="273">
        <f>AX11/Свод_ОФР!BJ48</f>
        <v>1.1563545802284552</v>
      </c>
      <c r="AY12" s="273">
        <f>AY11/Свод_ОФР!BK48</f>
        <v>1.1661468655601885</v>
      </c>
      <c r="AZ12" s="273">
        <f>AZ11/Свод_ОФР!BL48</f>
        <v>1.4034730064939192</v>
      </c>
      <c r="BA12" s="273">
        <f>BA11/Свод_ОФР!BM48</f>
        <v>0.81228886984045934</v>
      </c>
      <c r="BB12" s="273">
        <f>BB11/Свод_ОФР!BN48</f>
        <v>1.4070310251449927</v>
      </c>
      <c r="BC12" s="273">
        <f>BC11/Свод_ОФР!BO48</f>
        <v>1.3557216617421748</v>
      </c>
      <c r="BD12" s="273">
        <f>BD11/Свод_ОФР!BP48</f>
        <v>1.1857090577008325</v>
      </c>
      <c r="BE12" s="273">
        <f>BE11/Свод_ОФР!BQ48</f>
        <v>1.1283133807404002</v>
      </c>
      <c r="BF12" s="273">
        <f>BF11/Свод_ОФР!BR48</f>
        <v>1.0970502365513748</v>
      </c>
      <c r="BG12" s="273">
        <f>BG11/Свод_ОФР!BS48</f>
        <v>1.088315354411316</v>
      </c>
      <c r="BH12" s="273">
        <f>BH11/Свод_ОФР!BT48</f>
        <v>1.0324653214848492</v>
      </c>
      <c r="BI12" s="273">
        <f>BI11/Свод_ОФР!BU48</f>
        <v>1.066219840003513</v>
      </c>
      <c r="BJ12" s="273">
        <f>BJ11/Свод_ОФР!BV48</f>
        <v>1.0859167813008157</v>
      </c>
      <c r="BK12" s="273">
        <f>BK11/Свод_ОФР!BW48</f>
        <v>1.0728058547563273</v>
      </c>
      <c r="BL12" s="273">
        <f>BL11/Свод_ОФР!BX48</f>
        <v>1.3213008006337732</v>
      </c>
      <c r="BM12" s="273">
        <f>BM11/Свод_ОФР!BY48</f>
        <v>0.74302411252506162</v>
      </c>
      <c r="BN12" s="273">
        <f>BN11/Свод_ОФР!BZ48</f>
        <v>1.3252217858413848</v>
      </c>
      <c r="BO12" s="273">
        <f>BO11/Свод_ОФР!CA48</f>
        <v>1.2846809862413666</v>
      </c>
      <c r="BP12" s="273">
        <f>BP11/Свод_ОФР!CB48</f>
        <v>1.1258360643054692</v>
      </c>
      <c r="BQ12" s="273">
        <f>BQ11/Свод_ОФР!CC48</f>
        <v>1.0720485776277651</v>
      </c>
      <c r="BR12" s="273">
        <f>BR11/Свод_ОФР!CD48</f>
        <v>1.0429981115470273</v>
      </c>
      <c r="BS12" s="273">
        <f>BS11/Свод_ОФР!CE48</f>
        <v>1.035233119871062</v>
      </c>
      <c r="BT12" s="273">
        <f>BT11/Свод_ОФР!CF48</f>
        <v>0.9800841126201616</v>
      </c>
      <c r="BU12" s="273">
        <f>BU11/Свод_ОФР!CG48</f>
        <v>1.0176899642351152</v>
      </c>
      <c r="BV12" s="273">
        <f>BV11/Свод_ОФР!CH48</f>
        <v>1.015272709647143</v>
      </c>
      <c r="BW12" s="273">
        <f>BW11/Свод_ОФР!CI48</f>
        <v>1.0147427474515924</v>
      </c>
      <c r="BX12" s="273">
        <f>BX11/Свод_ОФР!CJ48</f>
        <v>1.2603692596059888</v>
      </c>
      <c r="BY12" s="273">
        <f>BY11/Свод_ОФР!CK48</f>
        <v>0.33151394692111608</v>
      </c>
      <c r="CA12" s="273">
        <f t="shared" si="16"/>
        <v>1.5112491463948226</v>
      </c>
      <c r="CB12" s="273">
        <f t="shared" si="16"/>
        <v>2.1643926092168799</v>
      </c>
      <c r="CC12" s="273">
        <f t="shared" si="16"/>
        <v>1.308498194509718</v>
      </c>
      <c r="CD12" s="273">
        <f t="shared" si="16"/>
        <v>1.2139341741577743</v>
      </c>
      <c r="CE12" s="273">
        <f t="shared" si="17"/>
        <v>1.1319894522496192</v>
      </c>
      <c r="CF12" s="273">
        <f t="shared" si="17"/>
        <v>1.0421409488262661</v>
      </c>
    </row>
    <row r="13" spans="2:84" x14ac:dyDescent="0.25">
      <c r="B13" s="263" t="s">
        <v>344</v>
      </c>
      <c r="C13" s="272" t="s">
        <v>346</v>
      </c>
      <c r="D13" s="6"/>
      <c r="E13" s="265"/>
      <c r="F13" s="273">
        <f t="shared" ref="F13:BL13" si="18">F12*30</f>
        <v>52.854059279160239</v>
      </c>
      <c r="G13" s="273">
        <f t="shared" si="18"/>
        <v>56.415950008776193</v>
      </c>
      <c r="H13" s="273">
        <f t="shared" si="18"/>
        <v>40.859225555656863</v>
      </c>
      <c r="I13" s="273">
        <f t="shared" si="18"/>
        <v>51.365085067187216</v>
      </c>
      <c r="J13" s="273">
        <f t="shared" si="18"/>
        <v>50.415245050131738</v>
      </c>
      <c r="K13" s="273">
        <f t="shared" si="18"/>
        <v>48.328350379534001</v>
      </c>
      <c r="L13" s="273">
        <f t="shared" si="18"/>
        <v>34.974034687981224</v>
      </c>
      <c r="M13" s="273">
        <f t="shared" si="18"/>
        <v>35.56310163014389</v>
      </c>
      <c r="N13" s="273">
        <f t="shared" si="18"/>
        <v>33.442908436449237</v>
      </c>
      <c r="O13" s="273">
        <f t="shared" si="18"/>
        <v>41.988179142308681</v>
      </c>
      <c r="P13" s="273">
        <f t="shared" si="18"/>
        <v>41.734049011942844</v>
      </c>
      <c r="Q13" s="273">
        <f t="shared" si="18"/>
        <v>56.109504452864009</v>
      </c>
      <c r="R13" s="273">
        <f t="shared" si="18"/>
        <v>90.577960179466103</v>
      </c>
      <c r="S13" s="273">
        <f t="shared" si="18"/>
        <v>90.044618224874412</v>
      </c>
      <c r="T13" s="273">
        <f t="shared" si="18"/>
        <v>72.223847063531053</v>
      </c>
      <c r="U13" s="273">
        <f t="shared" si="18"/>
        <v>73.650371732049024</v>
      </c>
      <c r="V13" s="273">
        <f t="shared" si="18"/>
        <v>69.886535425656035</v>
      </c>
      <c r="W13" s="273">
        <f t="shared" si="18"/>
        <v>68.554467548447676</v>
      </c>
      <c r="X13" s="273">
        <f t="shared" si="18"/>
        <v>69.548039412643547</v>
      </c>
      <c r="Y13" s="273">
        <f t="shared" si="18"/>
        <v>54.378264691657833</v>
      </c>
      <c r="Z13" s="273">
        <f t="shared" si="18"/>
        <v>49.025967674303068</v>
      </c>
      <c r="AA13" s="273">
        <f t="shared" si="18"/>
        <v>50.189168200355866</v>
      </c>
      <c r="AB13" s="273">
        <f t="shared" si="18"/>
        <v>50.753169372878006</v>
      </c>
      <c r="AC13" s="273">
        <f t="shared" si="18"/>
        <v>40.34892979221415</v>
      </c>
      <c r="AD13" s="273">
        <f t="shared" si="18"/>
        <v>49.619659080880943</v>
      </c>
      <c r="AE13" s="273">
        <f t="shared" si="18"/>
        <v>47.167938153827826</v>
      </c>
      <c r="AF13" s="273">
        <f t="shared" si="18"/>
        <v>40.951220272986163</v>
      </c>
      <c r="AG13" s="273">
        <f t="shared" si="18"/>
        <v>38.835990239690368</v>
      </c>
      <c r="AH13" s="273">
        <f t="shared" si="18"/>
        <v>37.704576301880721</v>
      </c>
      <c r="AI13" s="273">
        <f t="shared" si="18"/>
        <v>37.349377479507574</v>
      </c>
      <c r="AJ13" s="273">
        <f t="shared" si="18"/>
        <v>35.572585358764258</v>
      </c>
      <c r="AK13" s="273">
        <f t="shared" si="18"/>
        <v>36.825277744415288</v>
      </c>
      <c r="AL13" s="273">
        <f t="shared" si="18"/>
        <v>37.368155149721552</v>
      </c>
      <c r="AM13" s="273">
        <f t="shared" si="18"/>
        <v>37.555036612427202</v>
      </c>
      <c r="AN13" s="273">
        <f t="shared" si="18"/>
        <v>45.573221946846175</v>
      </c>
      <c r="AO13" s="273">
        <f t="shared" si="18"/>
        <v>26.536311682550462</v>
      </c>
      <c r="AP13" s="273">
        <f t="shared" si="18"/>
        <v>45.711245365275431</v>
      </c>
      <c r="AQ13" s="273">
        <f t="shared" si="18"/>
        <v>43.672897714467226</v>
      </c>
      <c r="AR13" s="273">
        <f t="shared" si="18"/>
        <v>38.057939985728026</v>
      </c>
      <c r="AS13" s="273">
        <f t="shared" si="18"/>
        <v>36.154265053943448</v>
      </c>
      <c r="AT13" s="273">
        <f t="shared" si="18"/>
        <v>35.12684363648124</v>
      </c>
      <c r="AU13" s="273">
        <f t="shared" si="18"/>
        <v>34.822032228381808</v>
      </c>
      <c r="AV13" s="273">
        <f t="shared" si="18"/>
        <v>33.09978495871318</v>
      </c>
      <c r="AW13" s="273">
        <f t="shared" si="18"/>
        <v>34.223394090117758</v>
      </c>
      <c r="AX13" s="273">
        <f t="shared" si="18"/>
        <v>34.690637406853654</v>
      </c>
      <c r="AY13" s="273">
        <f t="shared" si="18"/>
        <v>34.984405966805653</v>
      </c>
      <c r="AZ13" s="273">
        <f t="shared" si="18"/>
        <v>42.104190194817576</v>
      </c>
      <c r="BA13" s="273">
        <f t="shared" si="18"/>
        <v>24.368666095213779</v>
      </c>
      <c r="BB13" s="273">
        <f t="shared" si="18"/>
        <v>42.210930754349782</v>
      </c>
      <c r="BC13" s="273">
        <f t="shared" si="18"/>
        <v>40.671649852265247</v>
      </c>
      <c r="BD13" s="273">
        <f t="shared" si="18"/>
        <v>35.571271731024972</v>
      </c>
      <c r="BE13" s="273">
        <f t="shared" si="18"/>
        <v>33.849401422212004</v>
      </c>
      <c r="BF13" s="273">
        <f t="shared" si="18"/>
        <v>32.911507096541243</v>
      </c>
      <c r="BG13" s="273">
        <f t="shared" si="18"/>
        <v>32.649460632339483</v>
      </c>
      <c r="BH13" s="273">
        <f t="shared" si="18"/>
        <v>30.973959644545474</v>
      </c>
      <c r="BI13" s="273">
        <f t="shared" si="18"/>
        <v>31.986595200105391</v>
      </c>
      <c r="BJ13" s="273">
        <f t="shared" si="18"/>
        <v>32.577503439024468</v>
      </c>
      <c r="BK13" s="273">
        <f t="shared" si="18"/>
        <v>32.184175642689816</v>
      </c>
      <c r="BL13" s="273">
        <f t="shared" si="18"/>
        <v>39.639024019013199</v>
      </c>
      <c r="BM13" s="273">
        <f t="shared" ref="BM13:BY13" si="19">BM12*30</f>
        <v>22.290723375751849</v>
      </c>
      <c r="BN13" s="273">
        <f t="shared" si="19"/>
        <v>39.756653575241543</v>
      </c>
      <c r="BO13" s="273">
        <f t="shared" si="19"/>
        <v>38.540429587241</v>
      </c>
      <c r="BP13" s="273">
        <f t="shared" si="19"/>
        <v>33.775081929164074</v>
      </c>
      <c r="BQ13" s="273">
        <f t="shared" si="19"/>
        <v>32.161457328832952</v>
      </c>
      <c r="BR13" s="273">
        <f t="shared" si="19"/>
        <v>31.289943346410819</v>
      </c>
      <c r="BS13" s="273">
        <f t="shared" si="19"/>
        <v>31.056993596131861</v>
      </c>
      <c r="BT13" s="273">
        <f t="shared" si="19"/>
        <v>29.402523378604847</v>
      </c>
      <c r="BU13" s="273">
        <f t="shared" si="19"/>
        <v>30.530698927053454</v>
      </c>
      <c r="BV13" s="273">
        <f t="shared" si="19"/>
        <v>30.458181289414291</v>
      </c>
      <c r="BW13" s="273">
        <f t="shared" si="19"/>
        <v>30.442282423547773</v>
      </c>
      <c r="BX13" s="273">
        <f t="shared" si="19"/>
        <v>37.811077788179666</v>
      </c>
      <c r="BY13" s="273">
        <f t="shared" si="19"/>
        <v>9.9454184076334826</v>
      </c>
      <c r="CA13" s="273">
        <f t="shared" ref="CA13:CD13" si="20">CA12*30</f>
        <v>45.33747439184468</v>
      </c>
      <c r="CB13" s="273">
        <f t="shared" si="20"/>
        <v>64.931778276506392</v>
      </c>
      <c r="CC13" s="273">
        <f t="shared" si="20"/>
        <v>39.254945835291544</v>
      </c>
      <c r="CD13" s="273">
        <f t="shared" si="20"/>
        <v>36.418025224733228</v>
      </c>
      <c r="CE13" s="273">
        <f t="shared" ref="CE13:CF13" si="21">CE12*30</f>
        <v>33.959683567488575</v>
      </c>
      <c r="CF13" s="273">
        <f t="shared" si="21"/>
        <v>31.264228464787983</v>
      </c>
    </row>
    <row r="14" spans="2:84" x14ac:dyDescent="0.25">
      <c r="B14" s="263"/>
      <c r="C14" s="272"/>
      <c r="D14" s="6"/>
      <c r="E14" s="265"/>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273"/>
      <c r="AL14" s="273"/>
      <c r="AM14" s="273"/>
      <c r="AN14" s="273"/>
      <c r="AO14" s="273"/>
      <c r="AP14" s="273"/>
      <c r="AQ14" s="273"/>
      <c r="AR14" s="273"/>
      <c r="AS14" s="273"/>
      <c r="AT14" s="273"/>
      <c r="AU14" s="273"/>
      <c r="AV14" s="273"/>
      <c r="AW14" s="273"/>
      <c r="AX14" s="273"/>
      <c r="AY14" s="273"/>
      <c r="AZ14" s="273"/>
      <c r="BA14" s="273"/>
      <c r="BB14" s="273"/>
      <c r="BC14" s="273"/>
      <c r="BD14" s="273"/>
      <c r="BE14" s="273"/>
      <c r="BF14" s="273"/>
      <c r="BG14" s="273"/>
      <c r="BH14" s="273"/>
      <c r="BI14" s="273"/>
      <c r="BJ14" s="273"/>
      <c r="BK14" s="273"/>
      <c r="BL14" s="273"/>
      <c r="BM14" s="273"/>
      <c r="BN14" s="273"/>
      <c r="BO14" s="273"/>
      <c r="BP14" s="273"/>
      <c r="BQ14" s="273"/>
      <c r="BR14" s="273"/>
      <c r="BS14" s="273"/>
      <c r="BT14" s="273"/>
      <c r="BU14" s="273"/>
      <c r="BV14" s="273"/>
      <c r="BW14" s="273"/>
      <c r="BX14" s="273"/>
      <c r="BY14" s="273"/>
      <c r="CA14" s="273"/>
      <c r="CB14" s="273"/>
      <c r="CC14" s="273"/>
      <c r="CD14" s="273"/>
      <c r="CE14" s="273"/>
      <c r="CF14" s="273"/>
    </row>
    <row r="15" spans="2:84" s="1" customFormat="1" x14ac:dyDescent="0.25">
      <c r="B15" s="266" t="s">
        <v>347</v>
      </c>
      <c r="C15" s="267" t="s">
        <v>4</v>
      </c>
      <c r="D15" s="268"/>
      <c r="E15" s="274"/>
      <c r="F15" s="275">
        <f t="shared" ref="F15:BL15" si="22">F17</f>
        <v>62783.922000000006</v>
      </c>
      <c r="G15" s="275">
        <f t="shared" si="22"/>
        <v>61704.08554</v>
      </c>
      <c r="H15" s="275">
        <f t="shared" si="22"/>
        <v>56211.077199999992</v>
      </c>
      <c r="I15" s="275">
        <f t="shared" si="22"/>
        <v>52442.644199999995</v>
      </c>
      <c r="J15" s="275">
        <f t="shared" si="22"/>
        <v>40961.011525999995</v>
      </c>
      <c r="K15" s="275">
        <f t="shared" si="22"/>
        <v>69274</v>
      </c>
      <c r="L15" s="275">
        <f t="shared" si="22"/>
        <v>68483.5</v>
      </c>
      <c r="M15" s="275">
        <f t="shared" si="22"/>
        <v>68088.25</v>
      </c>
      <c r="N15" s="275">
        <f t="shared" si="22"/>
        <v>67693</v>
      </c>
      <c r="O15" s="275">
        <f t="shared" si="22"/>
        <v>73920.286327476002</v>
      </c>
      <c r="P15" s="275">
        <f t="shared" si="22"/>
        <v>80452.018452356002</v>
      </c>
      <c r="Q15" s="275">
        <f t="shared" si="22"/>
        <v>87690.753530228016</v>
      </c>
      <c r="R15" s="275">
        <f t="shared" si="22"/>
        <v>87319.535929311882</v>
      </c>
      <c r="S15" s="275">
        <f t="shared" si="22"/>
        <v>87681.467458787694</v>
      </c>
      <c r="T15" s="275">
        <f t="shared" si="22"/>
        <v>87691.853007860263</v>
      </c>
      <c r="U15" s="275">
        <f t="shared" si="22"/>
        <v>87812.763926079351</v>
      </c>
      <c r="V15" s="275">
        <f t="shared" si="22"/>
        <v>87978.103030774582</v>
      </c>
      <c r="W15" s="275">
        <f t="shared" si="22"/>
        <v>88357.413610693082</v>
      </c>
      <c r="X15" s="275">
        <f t="shared" si="22"/>
        <v>88783.554123770577</v>
      </c>
      <c r="Y15" s="275">
        <f t="shared" si="22"/>
        <v>89468.915194196758</v>
      </c>
      <c r="Z15" s="275">
        <f t="shared" si="22"/>
        <v>89938.333840105115</v>
      </c>
      <c r="AA15" s="275">
        <f t="shared" si="22"/>
        <v>89376.417615843835</v>
      </c>
      <c r="AB15" s="275">
        <f t="shared" si="22"/>
        <v>89465.353497330158</v>
      </c>
      <c r="AC15" s="275">
        <f t="shared" si="22"/>
        <v>89512.260848020611</v>
      </c>
      <c r="AD15" s="275">
        <f t="shared" si="22"/>
        <v>88718.910590281972</v>
      </c>
      <c r="AE15" s="275">
        <f t="shared" si="22"/>
        <v>89588.194654771549</v>
      </c>
      <c r="AF15" s="275">
        <f t="shared" si="22"/>
        <v>89634.08145498966</v>
      </c>
      <c r="AG15" s="275">
        <f t="shared" si="22"/>
        <v>90063.133638762229</v>
      </c>
      <c r="AH15" s="275">
        <f t="shared" si="22"/>
        <v>90025.031524402802</v>
      </c>
      <c r="AI15" s="275">
        <f t="shared" si="22"/>
        <v>90286.534636809491</v>
      </c>
      <c r="AJ15" s="275">
        <f t="shared" si="22"/>
        <v>90171.962935703341</v>
      </c>
      <c r="AK15" s="275">
        <f t="shared" si="22"/>
        <v>89991.824582001951</v>
      </c>
      <c r="AL15" s="275">
        <f t="shared" si="22"/>
        <v>90097.081973049571</v>
      </c>
      <c r="AM15" s="275">
        <f t="shared" si="22"/>
        <v>89816.263483302973</v>
      </c>
      <c r="AN15" s="275">
        <f t="shared" si="22"/>
        <v>89830.385807683546</v>
      </c>
      <c r="AO15" s="275">
        <f t="shared" si="22"/>
        <v>90691.927725335379</v>
      </c>
      <c r="AP15" s="275">
        <f t="shared" si="22"/>
        <v>89228.255814641598</v>
      </c>
      <c r="AQ15" s="275">
        <f t="shared" si="22"/>
        <v>90225.070560796536</v>
      </c>
      <c r="AR15" s="275">
        <f t="shared" si="22"/>
        <v>90296.770104528638</v>
      </c>
      <c r="AS15" s="275">
        <f t="shared" si="22"/>
        <v>90788.917602122048</v>
      </c>
      <c r="AT15" s="275">
        <f t="shared" si="22"/>
        <v>90748.456021213249</v>
      </c>
      <c r="AU15" s="275">
        <f t="shared" si="22"/>
        <v>91046.162864050697</v>
      </c>
      <c r="AV15" s="275">
        <f t="shared" si="22"/>
        <v>90919.035491083807</v>
      </c>
      <c r="AW15" s="275">
        <f t="shared" si="22"/>
        <v>90710.010222723577</v>
      </c>
      <c r="AX15" s="275">
        <f t="shared" si="22"/>
        <v>90796.768273069349</v>
      </c>
      <c r="AY15" s="275">
        <f t="shared" si="22"/>
        <v>90477.506175925198</v>
      </c>
      <c r="AZ15" s="275">
        <f t="shared" si="22"/>
        <v>90538.391619095404</v>
      </c>
      <c r="BA15" s="275">
        <f t="shared" si="22"/>
        <v>91496.250149607469</v>
      </c>
      <c r="BB15" s="275">
        <f t="shared" si="22"/>
        <v>89790.761994596658</v>
      </c>
      <c r="BC15" s="275">
        <f t="shared" si="22"/>
        <v>90924.262146816618</v>
      </c>
      <c r="BD15" s="275">
        <f t="shared" si="22"/>
        <v>91029.668328783591</v>
      </c>
      <c r="BE15" s="275">
        <f t="shared" si="22"/>
        <v>91593.68401656815</v>
      </c>
      <c r="BF15" s="275">
        <f t="shared" si="22"/>
        <v>91554.074698677607</v>
      </c>
      <c r="BG15" s="275">
        <f t="shared" si="22"/>
        <v>91892.885735910473</v>
      </c>
      <c r="BH15" s="275">
        <f t="shared" si="22"/>
        <v>91752.526830039729</v>
      </c>
      <c r="BI15" s="275">
        <f t="shared" si="22"/>
        <v>91510.184990933834</v>
      </c>
      <c r="BJ15" s="275">
        <f t="shared" si="22"/>
        <v>91603.777440487247</v>
      </c>
      <c r="BK15" s="275">
        <f t="shared" si="22"/>
        <v>91301.217371475097</v>
      </c>
      <c r="BL15" s="275">
        <f t="shared" si="22"/>
        <v>91303.731660229096</v>
      </c>
      <c r="BM15" s="275">
        <f t="shared" ref="BM15:BY15" si="23">BM17</f>
        <v>92425.874948556069</v>
      </c>
      <c r="BN15" s="275">
        <f t="shared" si="23"/>
        <v>90275.505989926474</v>
      </c>
      <c r="BO15" s="275">
        <f t="shared" si="23"/>
        <v>91546.753048536542</v>
      </c>
      <c r="BP15" s="275">
        <f t="shared" si="23"/>
        <v>91701.331004069216</v>
      </c>
      <c r="BQ15" s="275">
        <f t="shared" si="23"/>
        <v>92340.719493663521</v>
      </c>
      <c r="BR15" s="275">
        <f t="shared" si="23"/>
        <v>92305.187769060067</v>
      </c>
      <c r="BS15" s="275">
        <f t="shared" si="23"/>
        <v>92685.513579929015</v>
      </c>
      <c r="BT15" s="275">
        <f t="shared" si="23"/>
        <v>92535.890455385277</v>
      </c>
      <c r="BU15" s="275">
        <f t="shared" si="23"/>
        <v>92259.682400890262</v>
      </c>
      <c r="BV15" s="275">
        <f t="shared" si="23"/>
        <v>92436.054538515658</v>
      </c>
      <c r="BW15" s="275">
        <f t="shared" si="23"/>
        <v>92025.298419425002</v>
      </c>
      <c r="BX15" s="275">
        <f t="shared" si="23"/>
        <v>92020.474234986366</v>
      </c>
      <c r="BY15" s="275">
        <f t="shared" si="23"/>
        <v>95442.239560086688</v>
      </c>
      <c r="CA15" s="4">
        <f>AVERAGEIFS($F15:$BY15,$F$2:$BY$2,CA$3)</f>
        <v>65808.712398005009</v>
      </c>
      <c r="CB15" s="4">
        <f>AVERAGEIFS($F15:$BY15,$F$2:$BY$2,CB$3)</f>
        <v>88615.497673564489</v>
      </c>
      <c r="CC15" s="4">
        <f>AVERAGEIFS($F15:$BY15,$F$2:$BY$2,CC$3)</f>
        <v>89909.611083924538</v>
      </c>
      <c r="CD15" s="4">
        <f>AVERAGEIFS($F15:$BY15,$F$2:$BY$2,CD$3)</f>
        <v>90605.96624157147</v>
      </c>
      <c r="CE15" s="4">
        <f t="shared" ref="CE15:CF15" si="24">AVERAGEIFS($F15:$BY15,$F$2:$BY$2,CE$3)</f>
        <v>91390.22084692285</v>
      </c>
      <c r="CF15" s="4">
        <f t="shared" si="24"/>
        <v>92297.88754120619</v>
      </c>
    </row>
    <row r="16" spans="2:84" x14ac:dyDescent="0.25">
      <c r="B16" s="276"/>
      <c r="C16" s="264"/>
      <c r="D16" s="6"/>
      <c r="E16" s="265"/>
      <c r="F16" s="275"/>
      <c r="G16" s="275"/>
      <c r="H16" s="275"/>
      <c r="I16" s="275"/>
      <c r="J16" s="275"/>
      <c r="K16" s="275"/>
      <c r="L16" s="275"/>
      <c r="M16" s="275"/>
      <c r="N16" s="275"/>
      <c r="O16" s="275"/>
      <c r="P16" s="275"/>
      <c r="Q16" s="275"/>
      <c r="CA16" s="2"/>
      <c r="CB16" s="2"/>
      <c r="CC16" s="2"/>
      <c r="CD16" s="2"/>
      <c r="CE16" s="2"/>
      <c r="CF16" s="2"/>
    </row>
    <row r="17" spans="2:84" x14ac:dyDescent="0.25">
      <c r="B17" s="270" t="s">
        <v>348</v>
      </c>
      <c r="C17" s="264" t="s">
        <v>4</v>
      </c>
      <c r="D17" s="6"/>
      <c r="E17" s="315"/>
      <c r="F17" s="271">
        <v>62783.922000000006</v>
      </c>
      <c r="G17" s="271">
        <v>61704.08554</v>
      </c>
      <c r="H17" s="271">
        <v>56211.077199999992</v>
      </c>
      <c r="I17" s="271">
        <v>52442.644199999995</v>
      </c>
      <c r="J17" s="271">
        <v>40961.011525999995</v>
      </c>
      <c r="K17" s="271">
        <v>69274</v>
      </c>
      <c r="L17" s="271">
        <f>L49</f>
        <v>68483.5</v>
      </c>
      <c r="M17" s="271">
        <f t="shared" ref="M17:BL17" si="25">M49</f>
        <v>68088.25</v>
      </c>
      <c r="N17" s="271">
        <f t="shared" si="25"/>
        <v>67693</v>
      </c>
      <c r="O17" s="271">
        <f t="shared" si="25"/>
        <v>73920.286327476002</v>
      </c>
      <c r="P17" s="271">
        <f t="shared" si="25"/>
        <v>80452.018452356002</v>
      </c>
      <c r="Q17" s="271">
        <f t="shared" si="25"/>
        <v>87690.753530228016</v>
      </c>
      <c r="R17" s="271">
        <f t="shared" si="25"/>
        <v>87319.535929311882</v>
      </c>
      <c r="S17" s="271">
        <f t="shared" si="25"/>
        <v>87681.467458787694</v>
      </c>
      <c r="T17" s="271">
        <f t="shared" si="25"/>
        <v>87691.853007860263</v>
      </c>
      <c r="U17" s="271">
        <f t="shared" si="25"/>
        <v>87812.763926079351</v>
      </c>
      <c r="V17" s="271">
        <f t="shared" si="25"/>
        <v>87978.103030774582</v>
      </c>
      <c r="W17" s="271">
        <f t="shared" si="25"/>
        <v>88357.413610693082</v>
      </c>
      <c r="X17" s="271">
        <f t="shared" si="25"/>
        <v>88783.554123770577</v>
      </c>
      <c r="Y17" s="271">
        <f t="shared" si="25"/>
        <v>89468.915194196758</v>
      </c>
      <c r="Z17" s="271">
        <f t="shared" si="25"/>
        <v>89938.333840105115</v>
      </c>
      <c r="AA17" s="271">
        <f t="shared" si="25"/>
        <v>89376.417615843835</v>
      </c>
      <c r="AB17" s="271">
        <f t="shared" si="25"/>
        <v>89465.353497330158</v>
      </c>
      <c r="AC17" s="271">
        <f t="shared" si="25"/>
        <v>89512.260848020611</v>
      </c>
      <c r="AD17" s="271">
        <f t="shared" si="25"/>
        <v>88718.910590281972</v>
      </c>
      <c r="AE17" s="271">
        <f t="shared" si="25"/>
        <v>89588.194654771549</v>
      </c>
      <c r="AF17" s="271">
        <f t="shared" si="25"/>
        <v>89634.08145498966</v>
      </c>
      <c r="AG17" s="271">
        <f t="shared" si="25"/>
        <v>90063.133638762229</v>
      </c>
      <c r="AH17" s="271">
        <f t="shared" si="25"/>
        <v>90025.031524402802</v>
      </c>
      <c r="AI17" s="271">
        <f t="shared" si="25"/>
        <v>90286.534636809491</v>
      </c>
      <c r="AJ17" s="271">
        <f t="shared" si="25"/>
        <v>90171.962935703341</v>
      </c>
      <c r="AK17" s="271">
        <f t="shared" si="25"/>
        <v>89991.824582001951</v>
      </c>
      <c r="AL17" s="271">
        <f t="shared" si="25"/>
        <v>90097.081973049571</v>
      </c>
      <c r="AM17" s="271">
        <f t="shared" si="25"/>
        <v>89816.263483302973</v>
      </c>
      <c r="AN17" s="271">
        <f t="shared" si="25"/>
        <v>89830.385807683546</v>
      </c>
      <c r="AO17" s="271">
        <f t="shared" si="25"/>
        <v>90691.927725335379</v>
      </c>
      <c r="AP17" s="271">
        <f t="shared" si="25"/>
        <v>89228.255814641598</v>
      </c>
      <c r="AQ17" s="271">
        <f t="shared" si="25"/>
        <v>90225.070560796536</v>
      </c>
      <c r="AR17" s="271">
        <f t="shared" si="25"/>
        <v>90296.770104528638</v>
      </c>
      <c r="AS17" s="271">
        <f t="shared" si="25"/>
        <v>90788.917602122048</v>
      </c>
      <c r="AT17" s="271">
        <f t="shared" si="25"/>
        <v>90748.456021213249</v>
      </c>
      <c r="AU17" s="271">
        <f t="shared" si="25"/>
        <v>91046.162864050697</v>
      </c>
      <c r="AV17" s="271">
        <f t="shared" si="25"/>
        <v>90919.035491083807</v>
      </c>
      <c r="AW17" s="271">
        <f t="shared" si="25"/>
        <v>90710.010222723577</v>
      </c>
      <c r="AX17" s="271">
        <f t="shared" si="25"/>
        <v>90796.768273069349</v>
      </c>
      <c r="AY17" s="271">
        <f t="shared" si="25"/>
        <v>90477.506175925198</v>
      </c>
      <c r="AZ17" s="271">
        <f t="shared" si="25"/>
        <v>90538.391619095404</v>
      </c>
      <c r="BA17" s="271">
        <f t="shared" si="25"/>
        <v>91496.250149607469</v>
      </c>
      <c r="BB17" s="271">
        <f t="shared" si="25"/>
        <v>89790.761994596658</v>
      </c>
      <c r="BC17" s="271">
        <f t="shared" si="25"/>
        <v>90924.262146816618</v>
      </c>
      <c r="BD17" s="271">
        <f t="shared" si="25"/>
        <v>91029.668328783591</v>
      </c>
      <c r="BE17" s="271">
        <f t="shared" si="25"/>
        <v>91593.68401656815</v>
      </c>
      <c r="BF17" s="271">
        <f t="shared" si="25"/>
        <v>91554.074698677607</v>
      </c>
      <c r="BG17" s="271">
        <f t="shared" si="25"/>
        <v>91892.885735910473</v>
      </c>
      <c r="BH17" s="271">
        <f t="shared" si="25"/>
        <v>91752.526830039729</v>
      </c>
      <c r="BI17" s="271">
        <f t="shared" si="25"/>
        <v>91510.184990933834</v>
      </c>
      <c r="BJ17" s="271">
        <f t="shared" si="25"/>
        <v>91603.777440487247</v>
      </c>
      <c r="BK17" s="271">
        <f t="shared" si="25"/>
        <v>91301.217371475097</v>
      </c>
      <c r="BL17" s="271">
        <f t="shared" si="25"/>
        <v>91303.731660229096</v>
      </c>
      <c r="BM17" s="271">
        <f t="shared" ref="BM17:BY17" si="26">BM49</f>
        <v>92425.874948556069</v>
      </c>
      <c r="BN17" s="271">
        <f t="shared" si="26"/>
        <v>90275.505989926474</v>
      </c>
      <c r="BO17" s="271">
        <f t="shared" si="26"/>
        <v>91546.753048536542</v>
      </c>
      <c r="BP17" s="271">
        <f t="shared" si="26"/>
        <v>91701.331004069216</v>
      </c>
      <c r="BQ17" s="271">
        <f t="shared" si="26"/>
        <v>92340.719493663521</v>
      </c>
      <c r="BR17" s="271">
        <f t="shared" si="26"/>
        <v>92305.187769060067</v>
      </c>
      <c r="BS17" s="271">
        <f t="shared" si="26"/>
        <v>92685.513579929015</v>
      </c>
      <c r="BT17" s="271">
        <f t="shared" si="26"/>
        <v>92535.890455385277</v>
      </c>
      <c r="BU17" s="271">
        <f t="shared" si="26"/>
        <v>92259.682400890262</v>
      </c>
      <c r="BV17" s="271">
        <f t="shared" si="26"/>
        <v>92436.054538515658</v>
      </c>
      <c r="BW17" s="271">
        <f t="shared" si="26"/>
        <v>92025.298419425002</v>
      </c>
      <c r="BX17" s="271">
        <f t="shared" si="26"/>
        <v>92020.474234986366</v>
      </c>
      <c r="BY17" s="271">
        <f t="shared" si="26"/>
        <v>95442.239560086688</v>
      </c>
      <c r="CA17" s="2">
        <f t="shared" ref="CA17:CD18" si="27">AVERAGEIFS($F17:$BY17,$F$2:$BY$2,CA$3)</f>
        <v>65808.712398005009</v>
      </c>
      <c r="CB17" s="2">
        <f t="shared" si="27"/>
        <v>88615.497673564489</v>
      </c>
      <c r="CC17" s="2">
        <f t="shared" si="27"/>
        <v>89909.611083924538</v>
      </c>
      <c r="CD17" s="2">
        <f t="shared" si="27"/>
        <v>90605.96624157147</v>
      </c>
      <c r="CE17" s="2">
        <f t="shared" ref="CE17:CF18" si="28">AVERAGEIFS($F17:$BY17,$F$2:$BY$2,CE$3)</f>
        <v>91390.22084692285</v>
      </c>
      <c r="CF17" s="2">
        <f t="shared" si="28"/>
        <v>92297.88754120619</v>
      </c>
    </row>
    <row r="18" spans="2:84" x14ac:dyDescent="0.25">
      <c r="B18" s="263" t="s">
        <v>349</v>
      </c>
      <c r="C18" s="272" t="s">
        <v>345</v>
      </c>
      <c r="D18" s="6"/>
      <c r="E18" s="265"/>
      <c r="F18" s="273">
        <v>4.3051221757015297</v>
      </c>
      <c r="G18" s="273">
        <v>3.6182374978400502</v>
      </c>
      <c r="H18" s="273">
        <v>1.177608131184755</v>
      </c>
      <c r="I18" s="273">
        <v>0</v>
      </c>
      <c r="J18" s="273">
        <v>0</v>
      </c>
      <c r="K18" s="273">
        <v>2.661289477081914</v>
      </c>
      <c r="L18" s="273">
        <v>1.1831765150366391</v>
      </c>
      <c r="M18" s="273">
        <v>0.16855112385546686</v>
      </c>
      <c r="N18" s="273">
        <v>0.29201294117788862</v>
      </c>
      <c r="O18" s="273">
        <v>0.31240409289758725</v>
      </c>
      <c r="P18" s="273">
        <v>0.30739836403602339</v>
      </c>
      <c r="Q18" s="273">
        <v>0.3075701729069461</v>
      </c>
      <c r="R18" s="273">
        <v>0.26871839711151807</v>
      </c>
      <c r="S18" s="273">
        <v>0.26871839711151807</v>
      </c>
      <c r="T18" s="273">
        <v>0.12072745385505376</v>
      </c>
      <c r="U18" s="273">
        <v>0.12072745385505376</v>
      </c>
      <c r="V18" s="273">
        <v>0.12072745385505376</v>
      </c>
      <c r="W18" s="273">
        <v>0.12072745385505376</v>
      </c>
      <c r="X18" s="273">
        <v>0.12072745385505376</v>
      </c>
      <c r="Y18" s="273">
        <v>0.12072745385505376</v>
      </c>
      <c r="Z18" s="273">
        <v>0.12072745385505376</v>
      </c>
      <c r="AA18" s="273">
        <v>0.12072745385505376</v>
      </c>
      <c r="AB18" s="273">
        <v>0.12072745385505376</v>
      </c>
      <c r="AC18" s="273">
        <v>0.12072745385505376</v>
      </c>
      <c r="AD18" s="273">
        <v>0.11525466505030411</v>
      </c>
      <c r="AE18" s="273">
        <v>0.11525466505030411</v>
      </c>
      <c r="AF18" s="273">
        <v>0.11525466505030411</v>
      </c>
      <c r="AG18" s="273">
        <v>0.11525466505030411</v>
      </c>
      <c r="AH18" s="273">
        <v>0.11525466505030411</v>
      </c>
      <c r="AI18" s="273">
        <v>0.11525466505030411</v>
      </c>
      <c r="AJ18" s="273">
        <v>0.11525466505030411</v>
      </c>
      <c r="AK18" s="273">
        <v>0.11525466505030411</v>
      </c>
      <c r="AL18" s="273">
        <v>0.11525466505030411</v>
      </c>
      <c r="AM18" s="273">
        <v>0.11525466505030411</v>
      </c>
      <c r="AN18" s="273">
        <v>0.11525466505030411</v>
      </c>
      <c r="AO18" s="273">
        <v>0.11525466505030411</v>
      </c>
      <c r="AP18" s="273">
        <v>0.12081004225655649</v>
      </c>
      <c r="AQ18" s="273">
        <v>0.12081004225655649</v>
      </c>
      <c r="AR18" s="273">
        <v>0.12081004225655649</v>
      </c>
      <c r="AS18" s="273">
        <v>0.12081004225655649</v>
      </c>
      <c r="AT18" s="273">
        <v>0.12081004225655649</v>
      </c>
      <c r="AU18" s="273">
        <v>0.12081004225655649</v>
      </c>
      <c r="AV18" s="273">
        <v>0.12081004225655649</v>
      </c>
      <c r="AW18" s="273">
        <v>0.12081004225655649</v>
      </c>
      <c r="AX18" s="273">
        <v>0.12081004225655649</v>
      </c>
      <c r="AY18" s="273">
        <v>0.12081004225655649</v>
      </c>
      <c r="AZ18" s="273">
        <v>0.12081004225655649</v>
      </c>
      <c r="BA18" s="273">
        <v>0.12081004225655649</v>
      </c>
      <c r="BB18" s="273">
        <v>0.12801823531707116</v>
      </c>
      <c r="BC18" s="273">
        <v>0.12801823531707116</v>
      </c>
      <c r="BD18" s="273">
        <v>0.12801823531707116</v>
      </c>
      <c r="BE18" s="273">
        <v>0.12801823531707116</v>
      </c>
      <c r="BF18" s="273">
        <v>0.12801823531707116</v>
      </c>
      <c r="BG18" s="273">
        <v>0.12801823531707116</v>
      </c>
      <c r="BH18" s="273">
        <v>0.12801823531707116</v>
      </c>
      <c r="BI18" s="273">
        <v>0.12801823531707116</v>
      </c>
      <c r="BJ18" s="273">
        <v>0.12801823531707116</v>
      </c>
      <c r="BK18" s="273">
        <v>0.12801823531707116</v>
      </c>
      <c r="BL18" s="273">
        <v>0.12801823531707116</v>
      </c>
      <c r="BM18" s="273">
        <v>1.12801823531707</v>
      </c>
      <c r="BN18" s="273">
        <v>2.1280182353170698</v>
      </c>
      <c r="BO18" s="273">
        <v>3.1280182353170698</v>
      </c>
      <c r="BP18" s="273">
        <v>4.1280182353170698</v>
      </c>
      <c r="BQ18" s="273">
        <v>5.1280182353170698</v>
      </c>
      <c r="BR18" s="273">
        <v>6.1280182353170698</v>
      </c>
      <c r="BS18" s="273">
        <v>7.1280182353170698</v>
      </c>
      <c r="BT18" s="273">
        <v>8.1280182353170698</v>
      </c>
      <c r="BU18" s="273">
        <v>9.1280182353170698</v>
      </c>
      <c r="BV18" s="273">
        <v>10.1280182353171</v>
      </c>
      <c r="BW18" s="273">
        <v>11.1280182353171</v>
      </c>
      <c r="BX18" s="273">
        <v>12.1280182353171</v>
      </c>
      <c r="BY18" s="273">
        <v>13.1280182353171</v>
      </c>
      <c r="CA18" s="273">
        <f t="shared" si="27"/>
        <v>1.1944475409765667</v>
      </c>
      <c r="CB18" s="273">
        <f t="shared" si="27"/>
        <v>0.14539261106446449</v>
      </c>
      <c r="CC18" s="273">
        <f t="shared" si="27"/>
        <v>0.11525466505030411</v>
      </c>
      <c r="CD18" s="273">
        <f t="shared" si="27"/>
        <v>0.1208100422565565</v>
      </c>
      <c r="CE18" s="273">
        <f t="shared" si="28"/>
        <v>0.21135156865040439</v>
      </c>
      <c r="CF18" s="273">
        <f t="shared" si="28"/>
        <v>7.6280182353170813</v>
      </c>
    </row>
    <row r="19" spans="2:84" x14ac:dyDescent="0.25">
      <c r="B19" s="263" t="s">
        <v>349</v>
      </c>
      <c r="C19" s="272" t="s">
        <v>346</v>
      </c>
      <c r="D19" s="6"/>
      <c r="E19" s="265"/>
      <c r="F19" s="273">
        <f t="shared" ref="F19:BL19" si="29">F18*30</f>
        <v>129.1536652710459</v>
      </c>
      <c r="G19" s="273">
        <f t="shared" si="29"/>
        <v>108.54712493520151</v>
      </c>
      <c r="H19" s="273">
        <f t="shared" si="29"/>
        <v>35.328243935542652</v>
      </c>
      <c r="I19" s="273">
        <f t="shared" si="29"/>
        <v>0</v>
      </c>
      <c r="J19" s="273">
        <f t="shared" si="29"/>
        <v>0</v>
      </c>
      <c r="K19" s="273">
        <f t="shared" si="29"/>
        <v>79.838684312457417</v>
      </c>
      <c r="L19" s="273">
        <f t="shared" si="29"/>
        <v>35.495295451099174</v>
      </c>
      <c r="M19" s="273">
        <f t="shared" si="29"/>
        <v>5.0565337156640062</v>
      </c>
      <c r="N19" s="273">
        <f t="shared" si="29"/>
        <v>8.7603882353366593</v>
      </c>
      <c r="O19" s="273">
        <f t="shared" si="29"/>
        <v>9.3721227869276174</v>
      </c>
      <c r="P19" s="273">
        <f t="shared" si="29"/>
        <v>9.2219509210807011</v>
      </c>
      <c r="Q19" s="273">
        <f t="shared" si="29"/>
        <v>9.2271051872083838</v>
      </c>
      <c r="R19" s="273">
        <f t="shared" si="29"/>
        <v>8.0615519133455429</v>
      </c>
      <c r="S19" s="273">
        <f t="shared" si="29"/>
        <v>8.0615519133455429</v>
      </c>
      <c r="T19" s="273">
        <f t="shared" si="29"/>
        <v>3.6218236156516128</v>
      </c>
      <c r="U19" s="273">
        <f t="shared" si="29"/>
        <v>3.6218236156516128</v>
      </c>
      <c r="V19" s="273">
        <f t="shared" si="29"/>
        <v>3.6218236156516128</v>
      </c>
      <c r="W19" s="273">
        <f t="shared" si="29"/>
        <v>3.6218236156516128</v>
      </c>
      <c r="X19" s="273">
        <f t="shared" si="29"/>
        <v>3.6218236156516128</v>
      </c>
      <c r="Y19" s="273">
        <f t="shared" si="29"/>
        <v>3.6218236156516128</v>
      </c>
      <c r="Z19" s="273">
        <f t="shared" si="29"/>
        <v>3.6218236156516128</v>
      </c>
      <c r="AA19" s="273">
        <f t="shared" si="29"/>
        <v>3.6218236156516128</v>
      </c>
      <c r="AB19" s="273">
        <f t="shared" si="29"/>
        <v>3.6218236156516128</v>
      </c>
      <c r="AC19" s="273">
        <f t="shared" si="29"/>
        <v>3.6218236156516128</v>
      </c>
      <c r="AD19" s="273">
        <f t="shared" si="29"/>
        <v>3.4576399515091234</v>
      </c>
      <c r="AE19" s="273">
        <f t="shared" si="29"/>
        <v>3.4576399515091234</v>
      </c>
      <c r="AF19" s="273">
        <f t="shared" si="29"/>
        <v>3.4576399515091234</v>
      </c>
      <c r="AG19" s="273">
        <f t="shared" si="29"/>
        <v>3.4576399515091234</v>
      </c>
      <c r="AH19" s="273">
        <f t="shared" si="29"/>
        <v>3.4576399515091234</v>
      </c>
      <c r="AI19" s="273">
        <f t="shared" si="29"/>
        <v>3.4576399515091234</v>
      </c>
      <c r="AJ19" s="273">
        <f t="shared" si="29"/>
        <v>3.4576399515091234</v>
      </c>
      <c r="AK19" s="273">
        <f t="shared" si="29"/>
        <v>3.4576399515091234</v>
      </c>
      <c r="AL19" s="273">
        <f t="shared" si="29"/>
        <v>3.4576399515091234</v>
      </c>
      <c r="AM19" s="273">
        <f t="shared" si="29"/>
        <v>3.4576399515091234</v>
      </c>
      <c r="AN19" s="273">
        <f t="shared" si="29"/>
        <v>3.4576399515091234</v>
      </c>
      <c r="AO19" s="273">
        <f t="shared" si="29"/>
        <v>3.4576399515091234</v>
      </c>
      <c r="AP19" s="273">
        <f t="shared" si="29"/>
        <v>3.6243012676966946</v>
      </c>
      <c r="AQ19" s="273">
        <f t="shared" si="29"/>
        <v>3.6243012676966946</v>
      </c>
      <c r="AR19" s="273">
        <f t="shared" si="29"/>
        <v>3.6243012676966946</v>
      </c>
      <c r="AS19" s="273">
        <f t="shared" si="29"/>
        <v>3.6243012676966946</v>
      </c>
      <c r="AT19" s="273">
        <f t="shared" si="29"/>
        <v>3.6243012676966946</v>
      </c>
      <c r="AU19" s="273">
        <f t="shared" si="29"/>
        <v>3.6243012676966946</v>
      </c>
      <c r="AV19" s="273">
        <f t="shared" si="29"/>
        <v>3.6243012676966946</v>
      </c>
      <c r="AW19" s="273">
        <f t="shared" si="29"/>
        <v>3.6243012676966946</v>
      </c>
      <c r="AX19" s="273">
        <f t="shared" si="29"/>
        <v>3.6243012676966946</v>
      </c>
      <c r="AY19" s="273">
        <f t="shared" si="29"/>
        <v>3.6243012676966946</v>
      </c>
      <c r="AZ19" s="273">
        <f t="shared" si="29"/>
        <v>3.6243012676966946</v>
      </c>
      <c r="BA19" s="273">
        <f t="shared" si="29"/>
        <v>3.6243012676966946</v>
      </c>
      <c r="BB19" s="273">
        <f t="shared" si="29"/>
        <v>3.8405470595121347</v>
      </c>
      <c r="BC19" s="273">
        <f t="shared" si="29"/>
        <v>3.8405470595121347</v>
      </c>
      <c r="BD19" s="273">
        <f t="shared" si="29"/>
        <v>3.8405470595121347</v>
      </c>
      <c r="BE19" s="273">
        <f t="shared" si="29"/>
        <v>3.8405470595121347</v>
      </c>
      <c r="BF19" s="273">
        <f t="shared" si="29"/>
        <v>3.8405470595121347</v>
      </c>
      <c r="BG19" s="273">
        <f t="shared" si="29"/>
        <v>3.8405470595121347</v>
      </c>
      <c r="BH19" s="273">
        <f t="shared" si="29"/>
        <v>3.8405470595121347</v>
      </c>
      <c r="BI19" s="273">
        <f t="shared" si="29"/>
        <v>3.8405470595121347</v>
      </c>
      <c r="BJ19" s="273">
        <f t="shared" si="29"/>
        <v>3.8405470595121347</v>
      </c>
      <c r="BK19" s="273">
        <f t="shared" si="29"/>
        <v>3.8405470595121347</v>
      </c>
      <c r="BL19" s="273">
        <f t="shared" si="29"/>
        <v>3.8405470595121347</v>
      </c>
      <c r="BM19" s="273">
        <f t="shared" ref="BM19:BY19" si="30">BM18*30</f>
        <v>33.840547059512097</v>
      </c>
      <c r="BN19" s="273">
        <f t="shared" si="30"/>
        <v>63.84054705951209</v>
      </c>
      <c r="BO19" s="273">
        <f t="shared" si="30"/>
        <v>93.84054705951209</v>
      </c>
      <c r="BP19" s="273">
        <f t="shared" si="30"/>
        <v>123.84054705951209</v>
      </c>
      <c r="BQ19" s="273">
        <f t="shared" si="30"/>
        <v>153.84054705951209</v>
      </c>
      <c r="BR19" s="273">
        <f t="shared" si="30"/>
        <v>183.84054705951209</v>
      </c>
      <c r="BS19" s="273">
        <f t="shared" si="30"/>
        <v>213.84054705951209</v>
      </c>
      <c r="BT19" s="273">
        <f t="shared" si="30"/>
        <v>243.84054705951209</v>
      </c>
      <c r="BU19" s="273">
        <f t="shared" si="30"/>
        <v>273.84054705951212</v>
      </c>
      <c r="BV19" s="273">
        <f t="shared" si="30"/>
        <v>303.84054705951303</v>
      </c>
      <c r="BW19" s="273">
        <f t="shared" si="30"/>
        <v>333.84054705951303</v>
      </c>
      <c r="BX19" s="273">
        <f t="shared" si="30"/>
        <v>363.84054705951303</v>
      </c>
      <c r="BY19" s="273">
        <f t="shared" si="30"/>
        <v>393.84054705951303</v>
      </c>
      <c r="CA19" s="273">
        <f t="shared" ref="CA19:CD19" si="31">CA18*30</f>
        <v>35.833426229297004</v>
      </c>
      <c r="CB19" s="273">
        <f t="shared" si="31"/>
        <v>4.3617783319339347</v>
      </c>
      <c r="CC19" s="273">
        <f t="shared" si="31"/>
        <v>3.4576399515091234</v>
      </c>
      <c r="CD19" s="273">
        <f t="shared" si="31"/>
        <v>3.624301267696695</v>
      </c>
      <c r="CE19" s="273">
        <f t="shared" ref="CE19:CF19" si="32">CE18*30</f>
        <v>6.3405470595121312</v>
      </c>
      <c r="CF19" s="273">
        <f t="shared" si="32"/>
        <v>228.84054705951243</v>
      </c>
    </row>
    <row r="20" spans="2:84" x14ac:dyDescent="0.25">
      <c r="B20" s="276"/>
      <c r="C20" s="264"/>
      <c r="D20" s="6"/>
      <c r="E20" s="265"/>
      <c r="CA20" s="2"/>
      <c r="CB20" s="2"/>
      <c r="CC20" s="2"/>
      <c r="CD20" s="2"/>
      <c r="CE20" s="2"/>
      <c r="CF20" s="2"/>
    </row>
    <row r="21" spans="2:84" s="1" customFormat="1" x14ac:dyDescent="0.25">
      <c r="B21" s="266" t="s">
        <v>350</v>
      </c>
      <c r="C21" s="267" t="s">
        <v>4</v>
      </c>
      <c r="D21" s="268"/>
      <c r="E21" s="269">
        <f>E5-E15</f>
        <v>0</v>
      </c>
      <c r="F21" s="277">
        <f t="shared" ref="F21:BL21" si="33">F5-F15</f>
        <v>67146.865509999989</v>
      </c>
      <c r="G21" s="277">
        <f t="shared" si="33"/>
        <v>64370.276370000007</v>
      </c>
      <c r="H21" s="277">
        <f t="shared" si="33"/>
        <v>73460.854749999999</v>
      </c>
      <c r="I21" s="277">
        <f t="shared" si="33"/>
        <v>74901.707276200017</v>
      </c>
      <c r="J21" s="277">
        <f t="shared" si="33"/>
        <v>79760.92613676202</v>
      </c>
      <c r="K21" s="277">
        <f t="shared" si="33"/>
        <v>109585</v>
      </c>
      <c r="L21" s="277">
        <f t="shared" si="33"/>
        <v>108888.5</v>
      </c>
      <c r="M21" s="277">
        <f t="shared" si="33"/>
        <v>109764.74756118876</v>
      </c>
      <c r="N21" s="277">
        <f t="shared" si="33"/>
        <v>108192</v>
      </c>
      <c r="O21" s="277">
        <f t="shared" si="33"/>
        <v>123591.73139476401</v>
      </c>
      <c r="P21" s="277">
        <f t="shared" si="33"/>
        <v>129799.963677504</v>
      </c>
      <c r="Q21" s="277">
        <f t="shared" si="33"/>
        <v>167556.121402652</v>
      </c>
      <c r="R21" s="277">
        <f t="shared" si="33"/>
        <v>150721.61336124555</v>
      </c>
      <c r="S21" s="277">
        <f t="shared" si="33"/>
        <v>161866.22371158539</v>
      </c>
      <c r="T21" s="277">
        <f t="shared" si="33"/>
        <v>166743.30941168912</v>
      </c>
      <c r="U21" s="277">
        <f t="shared" si="33"/>
        <v>169356.92947846392</v>
      </c>
      <c r="V21" s="277">
        <f t="shared" si="33"/>
        <v>171716.22738977132</v>
      </c>
      <c r="W21" s="277">
        <f t="shared" si="33"/>
        <v>176635.62205096165</v>
      </c>
      <c r="X21" s="277">
        <f t="shared" si="33"/>
        <v>187785.19212227117</v>
      </c>
      <c r="Y21" s="277">
        <f t="shared" si="33"/>
        <v>209296.62908961799</v>
      </c>
      <c r="Z21" s="277">
        <f t="shared" si="33"/>
        <v>219473.65136137896</v>
      </c>
      <c r="AA21" s="277">
        <f t="shared" si="33"/>
        <v>221888.36411406042</v>
      </c>
      <c r="AB21" s="277">
        <f t="shared" si="33"/>
        <v>238920.93127549358</v>
      </c>
      <c r="AC21" s="277">
        <f t="shared" si="33"/>
        <v>241645.45467703411</v>
      </c>
      <c r="AD21" s="277">
        <f t="shared" si="33"/>
        <v>241131.6614762854</v>
      </c>
      <c r="AE21" s="277">
        <f t="shared" si="33"/>
        <v>279034.91191659059</v>
      </c>
      <c r="AF21" s="277">
        <f t="shared" si="33"/>
        <v>295488.40514880343</v>
      </c>
      <c r="AG21" s="277">
        <f t="shared" si="33"/>
        <v>311116.96078633628</v>
      </c>
      <c r="AH21" s="277">
        <f t="shared" si="33"/>
        <v>313953.90333146194</v>
      </c>
      <c r="AI21" s="277">
        <f t="shared" si="33"/>
        <v>322299.3105424114</v>
      </c>
      <c r="AJ21" s="277">
        <f t="shared" si="33"/>
        <v>315234.71097321133</v>
      </c>
      <c r="AK21" s="277">
        <f t="shared" si="33"/>
        <v>306512.1180593858</v>
      </c>
      <c r="AL21" s="277">
        <f t="shared" si="33"/>
        <v>304192.10076837917</v>
      </c>
      <c r="AM21" s="277">
        <f t="shared" si="33"/>
        <v>292849.31370912754</v>
      </c>
      <c r="AN21" s="277">
        <f t="shared" si="33"/>
        <v>318677.31607879151</v>
      </c>
      <c r="AO21" s="277">
        <f t="shared" si="33"/>
        <v>301932.3929707827</v>
      </c>
      <c r="AP21" s="277">
        <f t="shared" si="33"/>
        <v>264529.18199193792</v>
      </c>
      <c r="AQ21" s="277">
        <f t="shared" si="33"/>
        <v>308823.67727455765</v>
      </c>
      <c r="AR21" s="277">
        <f t="shared" si="33"/>
        <v>327840.61919749383</v>
      </c>
      <c r="AS21" s="277">
        <f t="shared" si="33"/>
        <v>345989.52739909163</v>
      </c>
      <c r="AT21" s="277">
        <f t="shared" si="33"/>
        <v>349277.4321464618</v>
      </c>
      <c r="AU21" s="277">
        <f t="shared" si="33"/>
        <v>358981.3863222478</v>
      </c>
      <c r="AV21" s="277">
        <f t="shared" si="33"/>
        <v>350778.64583838475</v>
      </c>
      <c r="AW21" s="277">
        <f t="shared" si="33"/>
        <v>340655.72167118778</v>
      </c>
      <c r="AX21" s="277">
        <f t="shared" si="33"/>
        <v>338000.62194906129</v>
      </c>
      <c r="AY21" s="277">
        <f t="shared" si="33"/>
        <v>325831.02175293706</v>
      </c>
      <c r="AZ21" s="277">
        <f t="shared" si="33"/>
        <v>356516.53083155263</v>
      </c>
      <c r="BA21" s="277">
        <f t="shared" si="33"/>
        <v>335511.15018574474</v>
      </c>
      <c r="BB21" s="277">
        <f t="shared" si="33"/>
        <v>292047.02734208363</v>
      </c>
      <c r="BC21" s="277">
        <f t="shared" si="33"/>
        <v>343443.30713801528</v>
      </c>
      <c r="BD21" s="277">
        <f t="shared" si="33"/>
        <v>365421.79585026635</v>
      </c>
      <c r="BE21" s="277">
        <f t="shared" si="33"/>
        <v>386493.30192723684</v>
      </c>
      <c r="BF21" s="277">
        <f t="shared" si="33"/>
        <v>390304.81247520482</v>
      </c>
      <c r="BG21" s="277">
        <f t="shared" si="33"/>
        <v>401594.14248162101</v>
      </c>
      <c r="BH21" s="277">
        <f t="shared" si="33"/>
        <v>392077.64833677857</v>
      </c>
      <c r="BI21" s="277">
        <f t="shared" si="33"/>
        <v>380336.02960189665</v>
      </c>
      <c r="BJ21" s="277">
        <f t="shared" si="33"/>
        <v>378515.74253718217</v>
      </c>
      <c r="BK21" s="277">
        <f t="shared" si="33"/>
        <v>365142.72892660671</v>
      </c>
      <c r="BL21" s="277">
        <f t="shared" si="33"/>
        <v>398783.1376222971</v>
      </c>
      <c r="BM21" s="277">
        <f t="shared" ref="BM21:BY21" si="34">BM5-BM15</f>
        <v>372839.57096782723</v>
      </c>
      <c r="BN21" s="277">
        <f t="shared" si="34"/>
        <v>319620.40344747429</v>
      </c>
      <c r="BO21" s="277">
        <f t="shared" si="34"/>
        <v>378697.11549140239</v>
      </c>
      <c r="BP21" s="277">
        <f t="shared" si="34"/>
        <v>404083.64219199121</v>
      </c>
      <c r="BQ21" s="277">
        <f t="shared" si="34"/>
        <v>428316.85537355795</v>
      </c>
      <c r="BR21" s="277">
        <f t="shared" si="34"/>
        <v>432731.7926723556</v>
      </c>
      <c r="BS21" s="277">
        <f t="shared" si="34"/>
        <v>445731.83615776338</v>
      </c>
      <c r="BT21" s="277">
        <f t="shared" si="34"/>
        <v>434872.30824737222</v>
      </c>
      <c r="BU21" s="277">
        <f t="shared" si="34"/>
        <v>422985.5583669981</v>
      </c>
      <c r="BV21" s="277">
        <f t="shared" si="34"/>
        <v>422011.52648902347</v>
      </c>
      <c r="BW21" s="277">
        <f t="shared" si="34"/>
        <v>404278.40773392573</v>
      </c>
      <c r="BX21" s="277">
        <f t="shared" si="34"/>
        <v>442873.04989362694</v>
      </c>
      <c r="BY21" s="277">
        <f t="shared" si="34"/>
        <v>363468.53135266842</v>
      </c>
      <c r="CA21" s="277">
        <f>CA5-CA15</f>
        <v>101418.22450658921</v>
      </c>
      <c r="CB21" s="277">
        <f>CB5-CB15</f>
        <v>193004.17900363117</v>
      </c>
      <c r="CC21" s="277">
        <f>CC5-CC15</f>
        <v>300201.92548013059</v>
      </c>
      <c r="CD21" s="277">
        <f>CD5-CD15</f>
        <v>333561.29304672155</v>
      </c>
      <c r="CE21" s="277">
        <f t="shared" ref="CE21:CF21" si="35">CE5-CE15</f>
        <v>372249.93710058468</v>
      </c>
      <c r="CF21" s="277">
        <f t="shared" si="35"/>
        <v>408305.9189515133</v>
      </c>
    </row>
    <row r="22" spans="2:84" x14ac:dyDescent="0.25">
      <c r="B22" s="263"/>
      <c r="E22" s="278"/>
      <c r="CB22" s="440"/>
      <c r="CC22" s="440"/>
      <c r="CD22" s="440"/>
      <c r="CE22" s="440"/>
      <c r="CF22" s="440"/>
    </row>
    <row r="23" spans="2:84" x14ac:dyDescent="0.25">
      <c r="E23" s="278"/>
      <c r="F23" s="279"/>
      <c r="G23" s="279"/>
      <c r="H23" s="279"/>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CA23" s="280"/>
      <c r="CB23" s="280"/>
      <c r="CC23" s="280"/>
      <c r="CD23" s="280"/>
      <c r="CE23" s="280"/>
      <c r="CF23" s="280"/>
    </row>
    <row r="25" spans="2:84" x14ac:dyDescent="0.25">
      <c r="B25" s="281" t="s">
        <v>351</v>
      </c>
      <c r="C25" s="282"/>
      <c r="D25" s="260"/>
      <c r="E25" s="260"/>
      <c r="F25" s="283">
        <f>-(F21-E21)</f>
        <v>-67146.865509999989</v>
      </c>
      <c r="G25" s="283">
        <f t="shared" ref="G25:BL25" si="36">-(G21-F21)</f>
        <v>2776.5891399999819</v>
      </c>
      <c r="H25" s="283">
        <f t="shared" si="36"/>
        <v>-9090.5783799999917</v>
      </c>
      <c r="I25" s="283">
        <f t="shared" si="36"/>
        <v>-1440.8525262000185</v>
      </c>
      <c r="J25" s="283">
        <f t="shared" si="36"/>
        <v>-4859.2188605620031</v>
      </c>
      <c r="K25" s="283">
        <f t="shared" si="36"/>
        <v>-29824.07386323798</v>
      </c>
      <c r="L25" s="283">
        <f t="shared" si="36"/>
        <v>696.5</v>
      </c>
      <c r="M25" s="283">
        <f t="shared" si="36"/>
        <v>-876.24756118876394</v>
      </c>
      <c r="N25" s="283">
        <f t="shared" si="36"/>
        <v>1572.7475611887639</v>
      </c>
      <c r="O25" s="283">
        <f t="shared" si="36"/>
        <v>-15399.731394764007</v>
      </c>
      <c r="P25" s="283">
        <f t="shared" si="36"/>
        <v>-6208.2322827399912</v>
      </c>
      <c r="Q25" s="283">
        <f t="shared" si="36"/>
        <v>-37756.157725148005</v>
      </c>
      <c r="R25" s="283">
        <f t="shared" si="36"/>
        <v>16834.508041406458</v>
      </c>
      <c r="S25" s="283">
        <f t="shared" si="36"/>
        <v>-11144.610350339848</v>
      </c>
      <c r="T25" s="283">
        <f t="shared" si="36"/>
        <v>-4877.085700103722</v>
      </c>
      <c r="U25" s="283">
        <f t="shared" si="36"/>
        <v>-2613.6200667748053</v>
      </c>
      <c r="V25" s="283">
        <f t="shared" si="36"/>
        <v>-2359.2979113073961</v>
      </c>
      <c r="W25" s="283">
        <f t="shared" si="36"/>
        <v>-4919.3946611903375</v>
      </c>
      <c r="X25" s="283">
        <f t="shared" si="36"/>
        <v>-11149.570071309514</v>
      </c>
      <c r="Y25" s="283">
        <f t="shared" si="36"/>
        <v>-21511.436967346817</v>
      </c>
      <c r="Z25" s="283">
        <f t="shared" si="36"/>
        <v>-10177.022271760972</v>
      </c>
      <c r="AA25" s="283">
        <f t="shared" si="36"/>
        <v>-2414.7127526814584</v>
      </c>
      <c r="AB25" s="283">
        <f t="shared" si="36"/>
        <v>-17032.567161433166</v>
      </c>
      <c r="AC25" s="283">
        <f t="shared" si="36"/>
        <v>-2724.5234015405294</v>
      </c>
      <c r="AD25" s="283">
        <f t="shared" si="36"/>
        <v>513.79320074871066</v>
      </c>
      <c r="AE25" s="283">
        <f t="shared" si="36"/>
        <v>-37903.250440305186</v>
      </c>
      <c r="AF25" s="283">
        <f t="shared" si="36"/>
        <v>-16453.493232212844</v>
      </c>
      <c r="AG25" s="283">
        <f t="shared" si="36"/>
        <v>-15628.555637532845</v>
      </c>
      <c r="AH25" s="283">
        <f t="shared" si="36"/>
        <v>-2836.9425451256684</v>
      </c>
      <c r="AI25" s="283">
        <f t="shared" si="36"/>
        <v>-8345.4072109494591</v>
      </c>
      <c r="AJ25" s="283">
        <f t="shared" si="36"/>
        <v>7064.5995692000724</v>
      </c>
      <c r="AK25" s="283">
        <f t="shared" si="36"/>
        <v>8722.5929138255306</v>
      </c>
      <c r="AL25" s="283">
        <f t="shared" si="36"/>
        <v>2320.0172910066321</v>
      </c>
      <c r="AM25" s="283">
        <f t="shared" si="36"/>
        <v>11342.787059251626</v>
      </c>
      <c r="AN25" s="283">
        <f t="shared" si="36"/>
        <v>-25828.002369663969</v>
      </c>
      <c r="AO25" s="283">
        <f t="shared" si="36"/>
        <v>16744.923108008807</v>
      </c>
      <c r="AP25" s="283">
        <f t="shared" si="36"/>
        <v>37403.210978844785</v>
      </c>
      <c r="AQ25" s="283">
        <f t="shared" si="36"/>
        <v>-44294.495282619726</v>
      </c>
      <c r="AR25" s="283">
        <f t="shared" si="36"/>
        <v>-19016.941922936181</v>
      </c>
      <c r="AS25" s="283">
        <f t="shared" si="36"/>
        <v>-18148.908201597806</v>
      </c>
      <c r="AT25" s="283">
        <f t="shared" si="36"/>
        <v>-3287.9047473701648</v>
      </c>
      <c r="AU25" s="283">
        <f t="shared" si="36"/>
        <v>-9703.9541757859988</v>
      </c>
      <c r="AV25" s="283">
        <f t="shared" si="36"/>
        <v>8202.7404838630464</v>
      </c>
      <c r="AW25" s="283">
        <f t="shared" si="36"/>
        <v>10122.924167196965</v>
      </c>
      <c r="AX25" s="283">
        <f t="shared" si="36"/>
        <v>2655.0997221264988</v>
      </c>
      <c r="AY25" s="283">
        <f t="shared" si="36"/>
        <v>12169.600196124229</v>
      </c>
      <c r="AZ25" s="283">
        <f t="shared" si="36"/>
        <v>-30685.509078615578</v>
      </c>
      <c r="BA25" s="283">
        <f t="shared" si="36"/>
        <v>21005.380645807891</v>
      </c>
      <c r="BB25" s="283">
        <f t="shared" si="36"/>
        <v>43464.122843661113</v>
      </c>
      <c r="BC25" s="283">
        <f t="shared" si="36"/>
        <v>-51396.279795931652</v>
      </c>
      <c r="BD25" s="283">
        <f t="shared" si="36"/>
        <v>-21978.48871225107</v>
      </c>
      <c r="BE25" s="283">
        <f t="shared" si="36"/>
        <v>-21071.506076970487</v>
      </c>
      <c r="BF25" s="283">
        <f t="shared" si="36"/>
        <v>-3811.5105479679769</v>
      </c>
      <c r="BG25" s="283">
        <f t="shared" si="36"/>
        <v>-11289.330006416189</v>
      </c>
      <c r="BH25" s="283">
        <f t="shared" si="36"/>
        <v>9516.4941448424361</v>
      </c>
      <c r="BI25" s="283">
        <f t="shared" si="36"/>
        <v>11741.618734881922</v>
      </c>
      <c r="BJ25" s="283">
        <f t="shared" si="36"/>
        <v>1820.2870647144737</v>
      </c>
      <c r="BK25" s="283">
        <f t="shared" si="36"/>
        <v>13373.013610575465</v>
      </c>
      <c r="BL25" s="283">
        <f t="shared" si="36"/>
        <v>-33640.408695690392</v>
      </c>
      <c r="BM25" s="283">
        <f t="shared" ref="BM25" si="37">-(BM21-BL21)</f>
        <v>25943.566654469876</v>
      </c>
      <c r="BN25" s="283">
        <f t="shared" ref="BN25" si="38">-(BN21-BM21)</f>
        <v>53219.16752035293</v>
      </c>
      <c r="BO25" s="283">
        <f t="shared" ref="BO25" si="39">-(BO21-BN21)</f>
        <v>-59076.712043928099</v>
      </c>
      <c r="BP25" s="283">
        <f t="shared" ref="BP25" si="40">-(BP21-BO21)</f>
        <v>-25386.526700588816</v>
      </c>
      <c r="BQ25" s="283">
        <f t="shared" ref="BQ25" si="41">-(BQ21-BP21)</f>
        <v>-24233.213181566738</v>
      </c>
      <c r="BR25" s="283">
        <f t="shared" ref="BR25" si="42">-(BR21-BQ21)</f>
        <v>-4414.9372987976531</v>
      </c>
      <c r="BS25" s="283">
        <f t="shared" ref="BS25" si="43">-(BS21-BR21)</f>
        <v>-13000.043485407776</v>
      </c>
      <c r="BT25" s="283">
        <f t="shared" ref="BT25" si="44">-(BT21-BS21)</f>
        <v>10859.52791039116</v>
      </c>
      <c r="BU25" s="283">
        <f t="shared" ref="BU25" si="45">-(BU21-BT21)</f>
        <v>11886.749880374118</v>
      </c>
      <c r="BV25" s="283">
        <f t="shared" ref="BV25" si="46">-(BV21-BU21)</f>
        <v>974.03187797463033</v>
      </c>
      <c r="BW25" s="283">
        <f t="shared" ref="BW25" si="47">-(BW21-BV21)</f>
        <v>17733.118755097734</v>
      </c>
      <c r="BX25" s="283">
        <f t="shared" ref="BX25" si="48">-(BX21-BW21)</f>
        <v>-38594.642159701209</v>
      </c>
      <c r="BY25" s="283">
        <f t="shared" ref="BY25" si="49">-(BY21-BX21)</f>
        <v>79404.518540958525</v>
      </c>
      <c r="CA25" s="283">
        <f>SUMIF($F$2:$BY$2,CA$3,$F25:$BY25)</f>
        <v>-167556.121402652</v>
      </c>
      <c r="CB25" s="283">
        <f>SUMIF($F$2:$BY$2,CB$3,$F25:$BY25)</f>
        <v>-74089.333274382108</v>
      </c>
      <c r="CC25" s="283">
        <f>SUMIF($F$2:$BY$2,CC$3,$F25:$BY25)</f>
        <v>-60286.938293748593</v>
      </c>
      <c r="CD25" s="283">
        <f>SUMIF($F$2:$BY$2,CD$3,$F25:$BY25)</f>
        <v>-33578.757214962039</v>
      </c>
      <c r="CE25" s="283">
        <f t="shared" ref="CE25:CF25" si="50">SUMIF($F$2:$BY$2,CE$3,$F25:$BY25)</f>
        <v>-37328.420782082481</v>
      </c>
      <c r="CF25" s="283">
        <f t="shared" si="50"/>
        <v>9371.0396151588066</v>
      </c>
    </row>
    <row r="26" spans="2:84" x14ac:dyDescent="0.25">
      <c r="CA26" s="280"/>
      <c r="CC26" s="280"/>
    </row>
    <row r="27" spans="2:84" x14ac:dyDescent="0.25">
      <c r="CA27" s="280"/>
      <c r="CF27" s="280"/>
    </row>
    <row r="28" spans="2:84" x14ac:dyDescent="0.25">
      <c r="B28" s="284" t="s">
        <v>352</v>
      </c>
      <c r="C28" s="285">
        <v>1</v>
      </c>
      <c r="T28" s="271"/>
    </row>
    <row r="29" spans="2:84" x14ac:dyDescent="0.25">
      <c r="B29" s="284" t="s">
        <v>353</v>
      </c>
      <c r="C29" s="285">
        <v>0.5</v>
      </c>
    </row>
    <row r="33" spans="1:77" ht="15.75" customHeight="1" x14ac:dyDescent="0.25">
      <c r="B33" s="328" t="s">
        <v>363</v>
      </c>
      <c r="F33" s="342">
        <v>31</v>
      </c>
      <c r="G33" s="342">
        <v>28</v>
      </c>
      <c r="H33" s="342">
        <v>31</v>
      </c>
      <c r="I33" s="342">
        <v>30</v>
      </c>
      <c r="J33" s="342">
        <v>31</v>
      </c>
      <c r="K33" s="342">
        <v>30</v>
      </c>
      <c r="L33" s="342">
        <v>31</v>
      </c>
      <c r="M33" s="342">
        <v>31</v>
      </c>
      <c r="N33" s="342">
        <v>30</v>
      </c>
      <c r="O33" s="342">
        <v>31</v>
      </c>
      <c r="P33" s="342">
        <v>30</v>
      </c>
      <c r="Q33" s="342">
        <v>31</v>
      </c>
      <c r="R33" s="342">
        <f>F33</f>
        <v>31</v>
      </c>
      <c r="S33" s="342">
        <f t="shared" ref="S33:BL33" si="51">G33</f>
        <v>28</v>
      </c>
      <c r="T33" s="342">
        <f t="shared" si="51"/>
        <v>31</v>
      </c>
      <c r="U33" s="342">
        <f t="shared" si="51"/>
        <v>30</v>
      </c>
      <c r="V33" s="342">
        <f t="shared" si="51"/>
        <v>31</v>
      </c>
      <c r="W33" s="342">
        <f t="shared" si="51"/>
        <v>30</v>
      </c>
      <c r="X33" s="342">
        <f t="shared" si="51"/>
        <v>31</v>
      </c>
      <c r="Y33" s="342">
        <f t="shared" si="51"/>
        <v>31</v>
      </c>
      <c r="Z33" s="342">
        <f t="shared" si="51"/>
        <v>30</v>
      </c>
      <c r="AA33" s="342">
        <f t="shared" si="51"/>
        <v>31</v>
      </c>
      <c r="AB33" s="342">
        <f t="shared" si="51"/>
        <v>30</v>
      </c>
      <c r="AC33" s="342">
        <f t="shared" si="51"/>
        <v>31</v>
      </c>
      <c r="AD33" s="342">
        <f t="shared" si="51"/>
        <v>31</v>
      </c>
      <c r="AE33" s="342">
        <f t="shared" si="51"/>
        <v>28</v>
      </c>
      <c r="AF33" s="342">
        <f t="shared" si="51"/>
        <v>31</v>
      </c>
      <c r="AG33" s="342">
        <f t="shared" si="51"/>
        <v>30</v>
      </c>
      <c r="AH33" s="342">
        <f t="shared" si="51"/>
        <v>31</v>
      </c>
      <c r="AI33" s="342">
        <f t="shared" si="51"/>
        <v>30</v>
      </c>
      <c r="AJ33" s="342">
        <f t="shared" si="51"/>
        <v>31</v>
      </c>
      <c r="AK33" s="342">
        <f t="shared" si="51"/>
        <v>31</v>
      </c>
      <c r="AL33" s="342">
        <f t="shared" si="51"/>
        <v>30</v>
      </c>
      <c r="AM33" s="342">
        <f t="shared" si="51"/>
        <v>31</v>
      </c>
      <c r="AN33" s="342">
        <f t="shared" si="51"/>
        <v>30</v>
      </c>
      <c r="AO33" s="342">
        <f t="shared" si="51"/>
        <v>31</v>
      </c>
      <c r="AP33" s="342">
        <f t="shared" si="51"/>
        <v>31</v>
      </c>
      <c r="AQ33" s="342">
        <f t="shared" si="51"/>
        <v>28</v>
      </c>
      <c r="AR33" s="342">
        <f t="shared" si="51"/>
        <v>31</v>
      </c>
      <c r="AS33" s="342">
        <f t="shared" si="51"/>
        <v>30</v>
      </c>
      <c r="AT33" s="342">
        <f t="shared" si="51"/>
        <v>31</v>
      </c>
      <c r="AU33" s="342">
        <f t="shared" si="51"/>
        <v>30</v>
      </c>
      <c r="AV33" s="342">
        <f t="shared" si="51"/>
        <v>31</v>
      </c>
      <c r="AW33" s="342">
        <f t="shared" si="51"/>
        <v>31</v>
      </c>
      <c r="AX33" s="342">
        <f t="shared" si="51"/>
        <v>30</v>
      </c>
      <c r="AY33" s="342">
        <f t="shared" si="51"/>
        <v>31</v>
      </c>
      <c r="AZ33" s="342">
        <f t="shared" si="51"/>
        <v>30</v>
      </c>
      <c r="BA33" s="342">
        <f t="shared" si="51"/>
        <v>31</v>
      </c>
      <c r="BB33" s="342">
        <f t="shared" si="51"/>
        <v>31</v>
      </c>
      <c r="BC33" s="342">
        <f t="shared" si="51"/>
        <v>28</v>
      </c>
      <c r="BD33" s="342">
        <f t="shared" si="51"/>
        <v>31</v>
      </c>
      <c r="BE33" s="342">
        <f t="shared" si="51"/>
        <v>30</v>
      </c>
      <c r="BF33" s="342">
        <f t="shared" si="51"/>
        <v>31</v>
      </c>
      <c r="BG33" s="342">
        <f t="shared" si="51"/>
        <v>30</v>
      </c>
      <c r="BH33" s="342">
        <f t="shared" si="51"/>
        <v>31</v>
      </c>
      <c r="BI33" s="342">
        <f t="shared" si="51"/>
        <v>31</v>
      </c>
      <c r="BJ33" s="342">
        <f t="shared" si="51"/>
        <v>30</v>
      </c>
      <c r="BK33" s="342">
        <f t="shared" si="51"/>
        <v>31</v>
      </c>
      <c r="BL33" s="342">
        <f t="shared" si="51"/>
        <v>30</v>
      </c>
      <c r="BM33" s="342">
        <f t="shared" ref="BM33" si="52">BA33</f>
        <v>31</v>
      </c>
      <c r="BN33" s="342">
        <f t="shared" ref="BN33" si="53">BB33</f>
        <v>31</v>
      </c>
      <c r="BO33" s="342">
        <f t="shared" ref="BO33" si="54">BC33</f>
        <v>28</v>
      </c>
      <c r="BP33" s="342">
        <f t="shared" ref="BP33" si="55">BD33</f>
        <v>31</v>
      </c>
      <c r="BQ33" s="342">
        <f t="shared" ref="BQ33" si="56">BE33</f>
        <v>30</v>
      </c>
      <c r="BR33" s="342">
        <f t="shared" ref="BR33" si="57">BF33</f>
        <v>31</v>
      </c>
      <c r="BS33" s="342">
        <f t="shared" ref="BS33" si="58">BG33</f>
        <v>30</v>
      </c>
      <c r="BT33" s="342">
        <f t="shared" ref="BT33" si="59">BH33</f>
        <v>31</v>
      </c>
      <c r="BU33" s="342">
        <f t="shared" ref="BU33" si="60">BI33</f>
        <v>31</v>
      </c>
      <c r="BV33" s="342">
        <f t="shared" ref="BV33" si="61">BJ33</f>
        <v>30</v>
      </c>
      <c r="BW33" s="342">
        <f t="shared" ref="BW33" si="62">BK33</f>
        <v>31</v>
      </c>
      <c r="BX33" s="342">
        <f t="shared" ref="BX33" si="63">BL33</f>
        <v>30</v>
      </c>
      <c r="BY33" s="342">
        <f t="shared" ref="BY33" si="64">BM33</f>
        <v>31</v>
      </c>
    </row>
    <row r="34" spans="1:77" ht="15.75" customHeight="1" x14ac:dyDescent="0.25">
      <c r="B34" s="343" t="s">
        <v>1</v>
      </c>
      <c r="C34" s="343" t="s">
        <v>2</v>
      </c>
      <c r="D34" s="343" t="s">
        <v>38</v>
      </c>
      <c r="F34" s="344">
        <f>F3</f>
        <v>45658</v>
      </c>
      <c r="G34" s="344">
        <f t="shared" ref="G34:BL34" si="65">G3</f>
        <v>45689</v>
      </c>
      <c r="H34" s="344">
        <f t="shared" si="65"/>
        <v>45717</v>
      </c>
      <c r="I34" s="344">
        <f t="shared" si="65"/>
        <v>45748</v>
      </c>
      <c r="J34" s="344">
        <f t="shared" si="65"/>
        <v>45778</v>
      </c>
      <c r="K34" s="344">
        <f t="shared" si="65"/>
        <v>45809</v>
      </c>
      <c r="L34" s="344">
        <f t="shared" si="65"/>
        <v>45839</v>
      </c>
      <c r="M34" s="344">
        <f t="shared" si="65"/>
        <v>45870</v>
      </c>
      <c r="N34" s="344">
        <f t="shared" si="65"/>
        <v>45901</v>
      </c>
      <c r="O34" s="344">
        <f t="shared" si="65"/>
        <v>45931</v>
      </c>
      <c r="P34" s="344">
        <f t="shared" si="65"/>
        <v>45962</v>
      </c>
      <c r="Q34" s="344">
        <f t="shared" si="65"/>
        <v>45992</v>
      </c>
      <c r="R34" s="344">
        <f t="shared" si="65"/>
        <v>46023</v>
      </c>
      <c r="S34" s="344">
        <f t="shared" si="65"/>
        <v>46054</v>
      </c>
      <c r="T34" s="344">
        <f t="shared" si="65"/>
        <v>46082</v>
      </c>
      <c r="U34" s="344">
        <f t="shared" si="65"/>
        <v>46113</v>
      </c>
      <c r="V34" s="344">
        <f t="shared" si="65"/>
        <v>46143</v>
      </c>
      <c r="W34" s="344">
        <f t="shared" si="65"/>
        <v>46174</v>
      </c>
      <c r="X34" s="344">
        <f t="shared" si="65"/>
        <v>46204</v>
      </c>
      <c r="Y34" s="344">
        <f t="shared" si="65"/>
        <v>46235</v>
      </c>
      <c r="Z34" s="344">
        <f t="shared" si="65"/>
        <v>46266</v>
      </c>
      <c r="AA34" s="344">
        <f t="shared" si="65"/>
        <v>46296</v>
      </c>
      <c r="AB34" s="344">
        <f t="shared" si="65"/>
        <v>46327</v>
      </c>
      <c r="AC34" s="344">
        <f t="shared" si="65"/>
        <v>46357</v>
      </c>
      <c r="AD34" s="344">
        <f t="shared" si="65"/>
        <v>46388</v>
      </c>
      <c r="AE34" s="344">
        <f t="shared" si="65"/>
        <v>46419</v>
      </c>
      <c r="AF34" s="344">
        <f t="shared" si="65"/>
        <v>46447</v>
      </c>
      <c r="AG34" s="344">
        <f t="shared" si="65"/>
        <v>46478</v>
      </c>
      <c r="AH34" s="344">
        <f t="shared" si="65"/>
        <v>46508</v>
      </c>
      <c r="AI34" s="344">
        <f t="shared" si="65"/>
        <v>46539</v>
      </c>
      <c r="AJ34" s="344">
        <f t="shared" si="65"/>
        <v>46569</v>
      </c>
      <c r="AK34" s="344">
        <f t="shared" si="65"/>
        <v>46600</v>
      </c>
      <c r="AL34" s="344">
        <f t="shared" si="65"/>
        <v>46631</v>
      </c>
      <c r="AM34" s="344">
        <f t="shared" si="65"/>
        <v>46661</v>
      </c>
      <c r="AN34" s="344">
        <f t="shared" si="65"/>
        <v>46692</v>
      </c>
      <c r="AO34" s="344">
        <f t="shared" si="65"/>
        <v>46722</v>
      </c>
      <c r="AP34" s="344">
        <f t="shared" si="65"/>
        <v>46753</v>
      </c>
      <c r="AQ34" s="344">
        <f t="shared" si="65"/>
        <v>46784</v>
      </c>
      <c r="AR34" s="344">
        <f t="shared" si="65"/>
        <v>46813</v>
      </c>
      <c r="AS34" s="344">
        <f t="shared" si="65"/>
        <v>46844</v>
      </c>
      <c r="AT34" s="344">
        <f t="shared" si="65"/>
        <v>46874</v>
      </c>
      <c r="AU34" s="344">
        <f t="shared" si="65"/>
        <v>46905</v>
      </c>
      <c r="AV34" s="344">
        <f t="shared" si="65"/>
        <v>46935</v>
      </c>
      <c r="AW34" s="344">
        <f t="shared" si="65"/>
        <v>46966</v>
      </c>
      <c r="AX34" s="344">
        <f t="shared" si="65"/>
        <v>46997</v>
      </c>
      <c r="AY34" s="344">
        <f t="shared" si="65"/>
        <v>47027</v>
      </c>
      <c r="AZ34" s="344">
        <f t="shared" si="65"/>
        <v>47058</v>
      </c>
      <c r="BA34" s="344">
        <f t="shared" si="65"/>
        <v>47088</v>
      </c>
      <c r="BB34" s="344">
        <f t="shared" si="65"/>
        <v>47119</v>
      </c>
      <c r="BC34" s="344">
        <f t="shared" si="65"/>
        <v>47150</v>
      </c>
      <c r="BD34" s="344">
        <f t="shared" si="65"/>
        <v>47178</v>
      </c>
      <c r="BE34" s="344">
        <f t="shared" si="65"/>
        <v>47209</v>
      </c>
      <c r="BF34" s="344">
        <f t="shared" si="65"/>
        <v>47239</v>
      </c>
      <c r="BG34" s="344">
        <f t="shared" si="65"/>
        <v>47270</v>
      </c>
      <c r="BH34" s="344">
        <f t="shared" si="65"/>
        <v>47300</v>
      </c>
      <c r="BI34" s="344">
        <f t="shared" si="65"/>
        <v>47331</v>
      </c>
      <c r="BJ34" s="344">
        <f t="shared" si="65"/>
        <v>47362</v>
      </c>
      <c r="BK34" s="344">
        <f t="shared" si="65"/>
        <v>47392</v>
      </c>
      <c r="BL34" s="344">
        <f t="shared" si="65"/>
        <v>47423</v>
      </c>
      <c r="BM34" s="344">
        <f t="shared" ref="BM34:BY34" si="66">BM3</f>
        <v>47453</v>
      </c>
      <c r="BN34" s="344">
        <f t="shared" si="66"/>
        <v>47484</v>
      </c>
      <c r="BO34" s="344">
        <f t="shared" si="66"/>
        <v>47515</v>
      </c>
      <c r="BP34" s="344">
        <f t="shared" si="66"/>
        <v>47543</v>
      </c>
      <c r="BQ34" s="344">
        <f t="shared" si="66"/>
        <v>47574</v>
      </c>
      <c r="BR34" s="344">
        <f t="shared" si="66"/>
        <v>47604</v>
      </c>
      <c r="BS34" s="344">
        <f t="shared" si="66"/>
        <v>47635</v>
      </c>
      <c r="BT34" s="344">
        <f t="shared" si="66"/>
        <v>47665</v>
      </c>
      <c r="BU34" s="344">
        <f t="shared" si="66"/>
        <v>47696</v>
      </c>
      <c r="BV34" s="344">
        <f t="shared" si="66"/>
        <v>47727</v>
      </c>
      <c r="BW34" s="344">
        <f t="shared" si="66"/>
        <v>47757</v>
      </c>
      <c r="BX34" s="344">
        <f t="shared" si="66"/>
        <v>47788</v>
      </c>
      <c r="BY34" s="344">
        <f t="shared" si="66"/>
        <v>47818</v>
      </c>
    </row>
    <row r="35" spans="1:77" ht="15.75" customHeight="1" x14ac:dyDescent="0.25">
      <c r="A35" s="162"/>
      <c r="B35" s="162"/>
      <c r="C35" s="162"/>
      <c r="D35" s="162"/>
      <c r="E35" s="162"/>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row>
    <row r="36" spans="1:77" ht="15.75" customHeight="1" x14ac:dyDescent="0.25">
      <c r="B36" s="162" t="s">
        <v>404</v>
      </c>
      <c r="C36" s="162" t="s">
        <v>4</v>
      </c>
      <c r="F36" s="345"/>
      <c r="G36" s="345"/>
      <c r="H36" s="345"/>
      <c r="I36" s="345"/>
      <c r="J36" s="345"/>
      <c r="K36" s="346">
        <v>106945</v>
      </c>
      <c r="L36" s="346">
        <v>109638</v>
      </c>
      <c r="M36" s="346">
        <v>110984.5</v>
      </c>
      <c r="N36" s="400">
        <v>112331</v>
      </c>
      <c r="O36" s="346">
        <f t="shared" ref="O36:BJ36" si="67">N36+O43-O38</f>
        <v>122156.11514000001</v>
      </c>
      <c r="P36" s="346">
        <f t="shared" si="67"/>
        <v>137702.71203</v>
      </c>
      <c r="Q36" s="346">
        <f t="shared" si="67"/>
        <v>139852.54437000002</v>
      </c>
      <c r="R36" s="346">
        <f t="shared" si="67"/>
        <v>121282.70457967743</v>
      </c>
      <c r="S36" s="346">
        <f t="shared" si="67"/>
        <v>126653.75169949309</v>
      </c>
      <c r="T36" s="346">
        <f t="shared" si="67"/>
        <v>131333.05054741938</v>
      </c>
      <c r="U36" s="346">
        <f t="shared" si="67"/>
        <v>132436.07656556452</v>
      </c>
      <c r="V36" s="346">
        <f t="shared" si="67"/>
        <v>133709.97314127017</v>
      </c>
      <c r="W36" s="346">
        <f t="shared" si="67"/>
        <v>136832.90572059317</v>
      </c>
      <c r="X36" s="346">
        <f t="shared" si="67"/>
        <v>138222.5385971338</v>
      </c>
      <c r="Y36" s="346">
        <f t="shared" si="67"/>
        <v>154348.97737714785</v>
      </c>
      <c r="Z36" s="346">
        <f t="shared" si="67"/>
        <v>164163.4444159581</v>
      </c>
      <c r="AA36" s="346">
        <f t="shared" si="67"/>
        <v>162033.04170519469</v>
      </c>
      <c r="AB36" s="346">
        <f t="shared" si="67"/>
        <v>168736.56777534162</v>
      </c>
      <c r="AC36" s="346">
        <f t="shared" si="67"/>
        <v>180457.42510328657</v>
      </c>
      <c r="AD36" s="346">
        <f t="shared" si="67"/>
        <v>168679.88535479284</v>
      </c>
      <c r="AE36" s="346">
        <f t="shared" si="67"/>
        <v>190977.5834435276</v>
      </c>
      <c r="AF36" s="346">
        <f t="shared" si="67"/>
        <v>199663.50533685874</v>
      </c>
      <c r="AG36" s="346">
        <f t="shared" si="67"/>
        <v>211925.61225359992</v>
      </c>
      <c r="AH36" s="346">
        <f t="shared" si="67"/>
        <v>212780.70573655289</v>
      </c>
      <c r="AI36" s="346">
        <f t="shared" si="67"/>
        <v>219403.74276018987</v>
      </c>
      <c r="AJ36" s="346">
        <f t="shared" si="67"/>
        <v>217735.08543603483</v>
      </c>
      <c r="AK36" s="346">
        <f t="shared" si="67"/>
        <v>211584.83934864166</v>
      </c>
      <c r="AL36" s="346">
        <f t="shared" si="67"/>
        <v>212030.67468735026</v>
      </c>
      <c r="AM36" s="346">
        <f t="shared" si="67"/>
        <v>204727.08699029227</v>
      </c>
      <c r="AN36" s="346">
        <f t="shared" si="67"/>
        <v>202890.99382660771</v>
      </c>
      <c r="AO36" s="346">
        <f t="shared" si="67"/>
        <v>234374.7633634173</v>
      </c>
      <c r="AP36" s="346">
        <f t="shared" si="67"/>
        <v>181347.52995639341</v>
      </c>
      <c r="AQ36" s="346">
        <f t="shared" si="67"/>
        <v>207548.39959310123</v>
      </c>
      <c r="AR36" s="346">
        <f t="shared" si="67"/>
        <v>217586.87256608478</v>
      </c>
      <c r="AS36" s="346">
        <f t="shared" si="67"/>
        <v>231820.73327880376</v>
      </c>
      <c r="AT36" s="346">
        <f t="shared" si="67"/>
        <v>232813.46805734053</v>
      </c>
      <c r="AU36" s="346">
        <f t="shared" si="67"/>
        <v>240513.81056066166</v>
      </c>
      <c r="AV36" s="346">
        <f t="shared" si="67"/>
        <v>238568.80933822659</v>
      </c>
      <c r="AW36" s="346">
        <f t="shared" si="67"/>
        <v>231434.03695394672</v>
      </c>
      <c r="AX36" s="346">
        <f t="shared" si="67"/>
        <v>231953.17334681388</v>
      </c>
      <c r="AY36" s="346">
        <f t="shared" si="67"/>
        <v>223460.6810695625</v>
      </c>
      <c r="AZ36" s="346">
        <f t="shared" si="67"/>
        <v>223083.0100182824</v>
      </c>
      <c r="BA36" s="346">
        <f t="shared" si="67"/>
        <v>257944.39031857328</v>
      </c>
      <c r="BB36" s="346">
        <f t="shared" si="67"/>
        <v>196388.25275728136</v>
      </c>
      <c r="BC36" s="346">
        <f t="shared" si="67"/>
        <v>226798.22865595727</v>
      </c>
      <c r="BD36" s="346">
        <f t="shared" si="67"/>
        <v>238401.46192173651</v>
      </c>
      <c r="BE36" s="346">
        <f t="shared" si="67"/>
        <v>254919.84706789194</v>
      </c>
      <c r="BF36" s="346">
        <f t="shared" si="67"/>
        <v>256073.32194953717</v>
      </c>
      <c r="BG36" s="346">
        <f t="shared" si="67"/>
        <v>265028.86716895242</v>
      </c>
      <c r="BH36" s="346">
        <f t="shared" si="67"/>
        <v>262767.13184258738</v>
      </c>
      <c r="BI36" s="346">
        <f t="shared" si="67"/>
        <v>254493.97470973141</v>
      </c>
      <c r="BJ36" s="346">
        <f t="shared" si="67"/>
        <v>255101.37786899833</v>
      </c>
      <c r="BK36" s="346">
        <f>BJ36+BK43-BK38</f>
        <v>247308.20593437488</v>
      </c>
      <c r="BL36" s="346">
        <f t="shared" ref="BL36:BY36" si="68">BK36+BL43-BL38</f>
        <v>244797.95754544946</v>
      </c>
      <c r="BM36" s="346">
        <f t="shared" si="68"/>
        <v>285359.61163482477</v>
      </c>
      <c r="BN36" s="346">
        <f t="shared" si="68"/>
        <v>211082.42691220372</v>
      </c>
      <c r="BO36" s="346">
        <f t="shared" si="68"/>
        <v>245968.41308503575</v>
      </c>
      <c r="BP36" s="346">
        <f t="shared" si="68"/>
        <v>259412.84980103915</v>
      </c>
      <c r="BQ36" s="346">
        <f t="shared" si="68"/>
        <v>278405.5614233762</v>
      </c>
      <c r="BR36" s="346">
        <f t="shared" si="68"/>
        <v>279751.96171907906</v>
      </c>
      <c r="BS36" s="346">
        <f t="shared" si="68"/>
        <v>290036.13741002872</v>
      </c>
      <c r="BT36" s="346">
        <f t="shared" si="68"/>
        <v>287501.18767031934</v>
      </c>
      <c r="BU36" s="346">
        <f t="shared" si="68"/>
        <v>278054.32442000334</v>
      </c>
      <c r="BV36" s="346">
        <f t="shared" si="68"/>
        <v>281389.66235008673</v>
      </c>
      <c r="BW36" s="346">
        <f t="shared" si="68"/>
        <v>269970.90487317223</v>
      </c>
      <c r="BX36" s="346">
        <f t="shared" si="68"/>
        <v>267134.02843917161</v>
      </c>
      <c r="BY36" s="346">
        <f t="shared" si="68"/>
        <v>367085.11498387519</v>
      </c>
    </row>
    <row r="37" spans="1:77" ht="15.75" customHeight="1" x14ac:dyDescent="0.25">
      <c r="B37" s="347"/>
      <c r="C37" s="347"/>
      <c r="D37" s="347"/>
      <c r="F37" s="348"/>
      <c r="G37" s="348"/>
      <c r="H37" s="348"/>
      <c r="I37" s="348"/>
      <c r="J37" s="348"/>
      <c r="K37" s="348"/>
      <c r="L37" s="348"/>
      <c r="M37" s="348"/>
      <c r="N37" s="348"/>
      <c r="O37" s="348"/>
      <c r="P37" s="348"/>
      <c r="Q37" s="348"/>
      <c r="R37" s="348"/>
      <c r="S37" s="348"/>
      <c r="T37" s="348"/>
      <c r="U37" s="348"/>
      <c r="V37" s="348"/>
      <c r="W37" s="348"/>
      <c r="X37" s="348"/>
      <c r="Y37" s="348"/>
      <c r="Z37" s="348"/>
      <c r="AA37" s="348"/>
      <c r="AB37" s="348"/>
      <c r="AC37" s="348"/>
      <c r="AD37" s="348"/>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8"/>
      <c r="BA37" s="348"/>
      <c r="BB37" s="348"/>
      <c r="BC37" s="348"/>
      <c r="BD37" s="348"/>
      <c r="BE37" s="348"/>
      <c r="BF37" s="348"/>
      <c r="BG37" s="348"/>
      <c r="BH37" s="348"/>
      <c r="BI37" s="348"/>
      <c r="BJ37" s="348"/>
      <c r="BK37" s="348"/>
      <c r="BL37" s="348"/>
      <c r="BM37" s="348"/>
      <c r="BN37" s="348"/>
      <c r="BO37" s="348"/>
      <c r="BP37" s="348"/>
      <c r="BQ37" s="348"/>
      <c r="BR37" s="348"/>
      <c r="BS37" s="348"/>
      <c r="BT37" s="348"/>
      <c r="BU37" s="348"/>
      <c r="BV37" s="348"/>
      <c r="BW37" s="348"/>
      <c r="BX37" s="348"/>
      <c r="BY37" s="348"/>
    </row>
    <row r="38" spans="1:77" ht="15.75" customHeight="1" x14ac:dyDescent="0.25">
      <c r="B38" s="328" t="s">
        <v>405</v>
      </c>
      <c r="C38" s="328" t="s">
        <v>4</v>
      </c>
      <c r="F38" s="349"/>
      <c r="G38" s="349"/>
      <c r="H38" s="349"/>
      <c r="I38" s="349"/>
      <c r="J38" s="349"/>
      <c r="K38" s="349">
        <v>42981.83</v>
      </c>
      <c r="L38" s="350">
        <v>49596.872000000003</v>
      </c>
      <c r="M38" s="350">
        <v>43604.010999999999</v>
      </c>
      <c r="N38" s="350">
        <v>46410.065000000002</v>
      </c>
      <c r="O38" s="350">
        <v>44015.682999999997</v>
      </c>
      <c r="P38" s="350">
        <v>36604.54</v>
      </c>
      <c r="Q38" s="350">
        <f>59385.913+162</f>
        <v>59547.913</v>
      </c>
      <c r="R38" s="350">
        <f>R39+R41</f>
        <v>57240.983790322585</v>
      </c>
      <c r="S38" s="350">
        <f t="shared" ref="S38:BK38" si="69">S39+S41</f>
        <v>35573.300880184339</v>
      </c>
      <c r="T38" s="350">
        <f t="shared" si="69"/>
        <v>46454.274152073725</v>
      </c>
      <c r="U38" s="350">
        <f t="shared" si="69"/>
        <v>49704.708106854836</v>
      </c>
      <c r="V38" s="350">
        <f t="shared" si="69"/>
        <v>52807.060440669353</v>
      </c>
      <c r="W38" s="350">
        <f t="shared" si="69"/>
        <v>52960.996531711375</v>
      </c>
      <c r="X38" s="350">
        <f t="shared" si="69"/>
        <v>58286.905305105283</v>
      </c>
      <c r="Y38" s="350">
        <f t="shared" si="69"/>
        <v>63546.883488849293</v>
      </c>
      <c r="Z38" s="350">
        <f t="shared" si="69"/>
        <v>79066.108506662044</v>
      </c>
      <c r="AA38" s="350">
        <f t="shared" si="69"/>
        <v>91331.964746404847</v>
      </c>
      <c r="AB38" s="350">
        <f t="shared" si="69"/>
        <v>87664.797506585601</v>
      </c>
      <c r="AC38" s="350">
        <f t="shared" si="69"/>
        <v>100326.94012133042</v>
      </c>
      <c r="AD38" s="350">
        <f t="shared" si="69"/>
        <v>109221.18790963691</v>
      </c>
      <c r="AE38" s="350">
        <f t="shared" si="69"/>
        <v>90689.341464583966</v>
      </c>
      <c r="AF38" s="350">
        <f t="shared" si="69"/>
        <v>127177.41504557374</v>
      </c>
      <c r="AG38" s="350">
        <f t="shared" si="69"/>
        <v>133933.07003390131</v>
      </c>
      <c r="AH38" s="350">
        <f t="shared" si="69"/>
        <v>151273.57195157261</v>
      </c>
      <c r="AI38" s="350">
        <f t="shared" si="69"/>
        <v>148545.89653491345</v>
      </c>
      <c r="AJ38" s="350">
        <f t="shared" si="69"/>
        <v>159940.75358603825</v>
      </c>
      <c r="AK38" s="350">
        <f t="shared" si="69"/>
        <v>156796.03720090885</v>
      </c>
      <c r="AL38" s="350">
        <f t="shared" si="69"/>
        <v>145875.41653243432</v>
      </c>
      <c r="AM38" s="350">
        <f t="shared" si="69"/>
        <v>149445.76588622041</v>
      </c>
      <c r="AN38" s="350">
        <f t="shared" si="69"/>
        <v>137189.7280019364</v>
      </c>
      <c r="AO38" s="350">
        <f t="shared" si="69"/>
        <v>147421.52735502785</v>
      </c>
      <c r="AP38" s="350">
        <f t="shared" si="69"/>
        <v>166178.76087415172</v>
      </c>
      <c r="AQ38" s="350">
        <f t="shared" si="69"/>
        <v>105345.48400413331</v>
      </c>
      <c r="AR38" s="350">
        <f t="shared" si="69"/>
        <v>148049.83933016163</v>
      </c>
      <c r="AS38" s="350">
        <f t="shared" si="69"/>
        <v>155835.46146816819</v>
      </c>
      <c r="AT38" s="350">
        <f t="shared" si="69"/>
        <v>175976.55593376554</v>
      </c>
      <c r="AU38" s="350">
        <f t="shared" si="69"/>
        <v>172800.6724157955</v>
      </c>
      <c r="AV38" s="350">
        <f t="shared" si="69"/>
        <v>186050.9151230361</v>
      </c>
      <c r="AW38" s="350">
        <f t="shared" si="69"/>
        <v>182393.56852837393</v>
      </c>
      <c r="AX38" s="350">
        <f t="shared" si="69"/>
        <v>169709.11386963213</v>
      </c>
      <c r="AY38" s="350">
        <f t="shared" si="69"/>
        <v>173864.32712470891</v>
      </c>
      <c r="AZ38" s="350">
        <f t="shared" si="69"/>
        <v>159961.72531954158</v>
      </c>
      <c r="BA38" s="350">
        <f t="shared" si="69"/>
        <v>173270.25401594001</v>
      </c>
      <c r="BB38" s="350">
        <f t="shared" si="69"/>
        <v>193358.16130152083</v>
      </c>
      <c r="BC38" s="350">
        <f t="shared" si="69"/>
        <v>122696.18629256397</v>
      </c>
      <c r="BD38" s="350">
        <f t="shared" si="69"/>
        <v>172295.16983837404</v>
      </c>
      <c r="BE38" s="350">
        <f t="shared" si="69"/>
        <v>181269.87358163748</v>
      </c>
      <c r="BF38" s="350">
        <f t="shared" si="69"/>
        <v>204658.03465698086</v>
      </c>
      <c r="BG38" s="350">
        <f t="shared" si="69"/>
        <v>200963.53762965021</v>
      </c>
      <c r="BH38" s="350">
        <f t="shared" si="69"/>
        <v>216373.56913237335</v>
      </c>
      <c r="BI38" s="350">
        <f t="shared" si="69"/>
        <v>212126.27609412285</v>
      </c>
      <c r="BJ38" s="350">
        <f t="shared" si="69"/>
        <v>197398.69252985361</v>
      </c>
      <c r="BK38" s="350">
        <f t="shared" si="69"/>
        <v>202735.93761444825</v>
      </c>
      <c r="BL38" s="350">
        <f t="shared" ref="BL38:BY38" si="70">BL39+BL41</f>
        <v>188152.2396897873</v>
      </c>
      <c r="BM38" s="350">
        <f t="shared" si="70"/>
        <v>201564.85465900731</v>
      </c>
      <c r="BN38" s="350">
        <f t="shared" si="70"/>
        <v>224299.98441495345</v>
      </c>
      <c r="BO38" s="350">
        <f t="shared" si="70"/>
        <v>139690.78257897554</v>
      </c>
      <c r="BP38" s="350">
        <f t="shared" si="70"/>
        <v>196508.08735848492</v>
      </c>
      <c r="BQ38" s="350">
        <f t="shared" si="70"/>
        <v>206978.40433203679</v>
      </c>
      <c r="BR38" s="350">
        <f t="shared" si="70"/>
        <v>233826.622557155</v>
      </c>
      <c r="BS38" s="350">
        <f t="shared" si="70"/>
        <v>229643.63144740721</v>
      </c>
      <c r="BT38" s="350">
        <f t="shared" si="70"/>
        <v>247317.0127721052</v>
      </c>
      <c r="BU38" s="350">
        <f t="shared" si="70"/>
        <v>242514.81585232003</v>
      </c>
      <c r="BV38" s="350">
        <f t="shared" si="70"/>
        <v>226216.6991363432</v>
      </c>
      <c r="BW38" s="350">
        <f t="shared" si="70"/>
        <v>234463.26984084799</v>
      </c>
      <c r="BX38" s="350">
        <f t="shared" si="70"/>
        <v>215282.15280732908</v>
      </c>
      <c r="BY38" s="350">
        <f t="shared" si="70"/>
        <v>177037.73031110704</v>
      </c>
    </row>
    <row r="39" spans="1:77" ht="15.75" customHeight="1" x14ac:dyDescent="0.25">
      <c r="A39" s="342"/>
      <c r="B39" s="351" t="s">
        <v>406</v>
      </c>
      <c r="C39" s="342" t="s">
        <v>4</v>
      </c>
      <c r="D39" s="352"/>
      <c r="E39" s="361"/>
      <c r="F39" s="353"/>
      <c r="G39" s="353"/>
      <c r="H39" s="353"/>
      <c r="I39" s="353"/>
      <c r="J39" s="353"/>
      <c r="K39" s="353"/>
      <c r="L39" s="353"/>
      <c r="M39" s="353"/>
      <c r="N39" s="353"/>
      <c r="O39" s="353"/>
      <c r="P39" s="353"/>
      <c r="Q39" s="353"/>
      <c r="R39" s="353">
        <f t="shared" ref="R39:BK39" si="71">R43*R40+(R43*S42-S41)</f>
        <v>7484.7375483870965</v>
      </c>
      <c r="S39" s="353">
        <f t="shared" si="71"/>
        <v>4386.8944285714315</v>
      </c>
      <c r="T39" s="353">
        <f t="shared" si="71"/>
        <v>9896.8205806451588</v>
      </c>
      <c r="U39" s="353">
        <f t="shared" si="71"/>
        <v>8467.955687499998</v>
      </c>
      <c r="V39" s="353">
        <f t="shared" si="71"/>
        <v>10467.282003169348</v>
      </c>
      <c r="W39" s="353">
        <f t="shared" si="71"/>
        <v>9347.321518505727</v>
      </c>
      <c r="X39" s="353">
        <f t="shared" si="71"/>
        <v>11550.297712576634</v>
      </c>
      <c r="Y39" s="353">
        <f t="shared" si="71"/>
        <v>15420.64301978</v>
      </c>
      <c r="Z39" s="353">
        <f t="shared" si="71"/>
        <v>14813.429257578711</v>
      </c>
      <c r="AA39" s="353">
        <f t="shared" si="71"/>
        <v>17264.818458511247</v>
      </c>
      <c r="AB39" s="353">
        <f t="shared" si="71"/>
        <v>15728.053929455418</v>
      </c>
      <c r="AC39" s="353">
        <f t="shared" si="71"/>
        <v>21686.670474053302</v>
      </c>
      <c r="AD39" s="353">
        <f t="shared" si="71"/>
        <v>18860.060934414811</v>
      </c>
      <c r="AE39" s="353">
        <f t="shared" si="71"/>
        <v>12105.754237855581</v>
      </c>
      <c r="AF39" s="353">
        <f t="shared" si="71"/>
        <v>26296.129730110624</v>
      </c>
      <c r="AG39" s="353">
        <f t="shared" si="71"/>
        <v>24365.862825107091</v>
      </c>
      <c r="AH39" s="353">
        <f t="shared" si="71"/>
        <v>29444.25782603721</v>
      </c>
      <c r="AI39" s="353">
        <f t="shared" si="71"/>
        <v>25861.488926425067</v>
      </c>
      <c r="AJ39" s="353">
        <f t="shared" si="71"/>
        <v>30633.308953912885</v>
      </c>
      <c r="AK39" s="353">
        <f t="shared" si="71"/>
        <v>29157.249892938518</v>
      </c>
      <c r="AL39" s="353">
        <f t="shared" si="71"/>
        <v>24386.875311857162</v>
      </c>
      <c r="AM39" s="353">
        <f t="shared" si="71"/>
        <v>27511.389326934659</v>
      </c>
      <c r="AN39" s="353">
        <f t="shared" si="71"/>
        <v>22558.939139708644</v>
      </c>
      <c r="AO39" s="353">
        <f t="shared" si="71"/>
        <v>34626.831656484661</v>
      </c>
      <c r="AP39" s="353">
        <f t="shared" si="71"/>
        <v>21900.295638798954</v>
      </c>
      <c r="AQ39" s="353">
        <f t="shared" si="71"/>
        <v>14094.252175804402</v>
      </c>
      <c r="AR39" s="353">
        <f t="shared" si="71"/>
        <v>30597.737865124887</v>
      </c>
      <c r="AS39" s="353">
        <f t="shared" si="71"/>
        <v>28344.88703014786</v>
      </c>
      <c r="AT39" s="353">
        <f t="shared" si="71"/>
        <v>34252.120783026243</v>
      </c>
      <c r="AU39" s="353">
        <f t="shared" si="71"/>
        <v>30083.502486519428</v>
      </c>
      <c r="AV39" s="353">
        <f t="shared" si="71"/>
        <v>35633.402690438903</v>
      </c>
      <c r="AW39" s="353">
        <f t="shared" si="71"/>
        <v>33921.057318211766</v>
      </c>
      <c r="AX39" s="353">
        <f t="shared" si="71"/>
        <v>28371.375043749867</v>
      </c>
      <c r="AY39" s="353">
        <f t="shared" si="71"/>
        <v>32007.451905959519</v>
      </c>
      <c r="AZ39" s="353">
        <f t="shared" si="71"/>
        <v>26597.34237804357</v>
      </c>
      <c r="BA39" s="353">
        <f t="shared" si="71"/>
        <v>40283.542125722102</v>
      </c>
      <c r="BB39" s="353">
        <f t="shared" si="71"/>
        <v>25510.069111012039</v>
      </c>
      <c r="BC39" s="353">
        <f t="shared" si="71"/>
        <v>16404.231663347135</v>
      </c>
      <c r="BD39" s="353">
        <f t="shared" si="71"/>
        <v>35593.239310481295</v>
      </c>
      <c r="BE39" s="353">
        <f t="shared" si="71"/>
        <v>32964.70978796549</v>
      </c>
      <c r="BF39" s="353">
        <f t="shared" si="71"/>
        <v>39834.485717153439</v>
      </c>
      <c r="BG39" s="353">
        <f t="shared" si="71"/>
        <v>34986.51380817758</v>
      </c>
      <c r="BH39" s="353">
        <f t="shared" si="71"/>
        <v>41441.000091485475</v>
      </c>
      <c r="BI39" s="353">
        <f t="shared" si="71"/>
        <v>39455.442379600048</v>
      </c>
      <c r="BJ39" s="353">
        <f t="shared" si="71"/>
        <v>33001.015948186774</v>
      </c>
      <c r="BK39" s="353">
        <f t="shared" si="71"/>
        <v>37730.857873514498</v>
      </c>
      <c r="BL39" s="353">
        <f t="shared" ref="BL39" si="72">BL43*BL40+(BL43*BM42-BM41)</f>
        <v>30940.331883476989</v>
      </c>
      <c r="BM39" s="353">
        <f t="shared" ref="BM39" si="73">BM43*BM40+(BM43*BN42-BN41)</f>
        <v>46863.195241622452</v>
      </c>
      <c r="BN39" s="353">
        <f t="shared" ref="BN39" si="74">BN43*BN40+(BN43*BO42-BO41)</f>
        <v>29036.670908193351</v>
      </c>
      <c r="BO39" s="353">
        <f t="shared" ref="BO39" si="75">BO43*BO40+(BO43*BP42-BP41)</f>
        <v>18704.653794836544</v>
      </c>
      <c r="BP39" s="353">
        <f t="shared" ref="BP39" si="76">BP43*BP40+(BP43*BQ42-BQ41)</f>
        <v>40635.972401513864</v>
      </c>
      <c r="BQ39" s="353">
        <f t="shared" ref="BQ39" si="77">BQ43*BQ40+(BQ43*BR42-BR41)</f>
        <v>37661.852659062308</v>
      </c>
      <c r="BR39" s="353">
        <f t="shared" ref="BR39" si="78">BR43*BR40+(BR43*BS42-BS41)</f>
        <v>45517.359261843463</v>
      </c>
      <c r="BS39" s="353">
        <f t="shared" ref="BS39" si="79">BS43*BS40+(BS43*BT42-BT41)</f>
        <v>39987.967856392788</v>
      </c>
      <c r="BT39" s="353">
        <f t="shared" ref="BT39" si="80">BT43*BT40+(BT43*BU42-BU41)</f>
        <v>47377.17349014114</v>
      </c>
      <c r="BU39" s="353">
        <f t="shared" ref="BU39" si="81">BU43*BU40+(BU43*BV42-BV41)</f>
        <v>45109.926310065319</v>
      </c>
      <c r="BV39" s="353">
        <f t="shared" ref="BV39" si="82">BV43*BV40+(BV43*BW42-BW41)</f>
        <v>38258.672844404442</v>
      </c>
      <c r="BW39" s="353">
        <f t="shared" ref="BW39" si="83">BW43*BW40+(BW43*BX42-BX41)</f>
        <v>43169.90561882584</v>
      </c>
      <c r="BX39" s="353">
        <f t="shared" ref="BX39" si="84">BX43*BX40+(BX43*BY42-BY41)</f>
        <v>35407.54606222143</v>
      </c>
      <c r="BY39" s="353">
        <f t="shared" ref="BY39" si="85">BY43*BY40+(BY43*BZ42-BZ41)</f>
        <v>0</v>
      </c>
    </row>
    <row r="40" spans="1:77" ht="15.75" customHeight="1" x14ac:dyDescent="0.25">
      <c r="A40" s="342"/>
      <c r="B40" s="354" t="s">
        <v>406</v>
      </c>
      <c r="C40" s="355" t="s">
        <v>59</v>
      </c>
      <c r="D40" s="355"/>
      <c r="E40" s="352"/>
      <c r="F40" s="357">
        <f>1-C28</f>
        <v>0</v>
      </c>
      <c r="G40" s="357">
        <f t="shared" ref="G40" si="86">F40</f>
        <v>0</v>
      </c>
      <c r="H40" s="357">
        <f t="shared" ref="H40" si="87">G40</f>
        <v>0</v>
      </c>
      <c r="I40" s="357">
        <f t="shared" ref="I40" si="88">H40</f>
        <v>0</v>
      </c>
      <c r="J40" s="357">
        <f t="shared" ref="J40" si="89">I40</f>
        <v>0</v>
      </c>
      <c r="K40" s="357">
        <f t="shared" ref="K40" si="90">J40</f>
        <v>0</v>
      </c>
      <c r="L40" s="357">
        <f t="shared" ref="L40" si="91">K40</f>
        <v>0</v>
      </c>
      <c r="M40" s="357">
        <f t="shared" ref="M40:N40" si="92">L40</f>
        <v>0</v>
      </c>
      <c r="N40" s="357">
        <f t="shared" si="92"/>
        <v>0</v>
      </c>
      <c r="O40" s="357">
        <f t="shared" ref="O40" si="93">N40</f>
        <v>0</v>
      </c>
      <c r="P40" s="357">
        <f t="shared" ref="P40" si="94">O40</f>
        <v>0</v>
      </c>
      <c r="Q40" s="357">
        <f t="shared" ref="Q40" si="95">P40</f>
        <v>0</v>
      </c>
      <c r="R40" s="357">
        <f t="shared" ref="R40" si="96">Q40</f>
        <v>0</v>
      </c>
      <c r="S40" s="357">
        <f t="shared" ref="S40" si="97">R40</f>
        <v>0</v>
      </c>
      <c r="T40" s="357">
        <f t="shared" ref="T40" si="98">S40</f>
        <v>0</v>
      </c>
      <c r="U40" s="357">
        <f t="shared" ref="U40" si="99">T40</f>
        <v>0</v>
      </c>
      <c r="V40" s="357">
        <f t="shared" ref="V40" si="100">U40</f>
        <v>0</v>
      </c>
      <c r="W40" s="357">
        <f t="shared" ref="W40" si="101">V40</f>
        <v>0</v>
      </c>
      <c r="X40" s="357">
        <f t="shared" ref="X40" si="102">W40</f>
        <v>0</v>
      </c>
      <c r="Y40" s="357">
        <f t="shared" ref="Y40" si="103">X40</f>
        <v>0</v>
      </c>
      <c r="Z40" s="357">
        <f t="shared" ref="Z40" si="104">Y40</f>
        <v>0</v>
      </c>
      <c r="AA40" s="357">
        <f t="shared" ref="AA40" si="105">Z40</f>
        <v>0</v>
      </c>
      <c r="AB40" s="357">
        <f t="shared" ref="AB40" si="106">AA40</f>
        <v>0</v>
      </c>
      <c r="AC40" s="357">
        <f t="shared" ref="AC40" si="107">AB40</f>
        <v>0</v>
      </c>
      <c r="AD40" s="357">
        <f t="shared" ref="AD40" si="108">AC40</f>
        <v>0</v>
      </c>
      <c r="AE40" s="357">
        <f t="shared" ref="AE40" si="109">AD40</f>
        <v>0</v>
      </c>
      <c r="AF40" s="357">
        <f t="shared" ref="AF40" si="110">AE40</f>
        <v>0</v>
      </c>
      <c r="AG40" s="357">
        <f t="shared" ref="AG40" si="111">AF40</f>
        <v>0</v>
      </c>
      <c r="AH40" s="357">
        <f t="shared" ref="AH40" si="112">AG40</f>
        <v>0</v>
      </c>
      <c r="AI40" s="357">
        <f t="shared" ref="AI40" si="113">AH40</f>
        <v>0</v>
      </c>
      <c r="AJ40" s="357">
        <f t="shared" ref="AJ40" si="114">AI40</f>
        <v>0</v>
      </c>
      <c r="AK40" s="357">
        <f t="shared" ref="AK40" si="115">AJ40</f>
        <v>0</v>
      </c>
      <c r="AL40" s="357">
        <f t="shared" ref="AL40" si="116">AK40</f>
        <v>0</v>
      </c>
      <c r="AM40" s="357">
        <f t="shared" ref="AM40" si="117">AL40</f>
        <v>0</v>
      </c>
      <c r="AN40" s="357">
        <f t="shared" ref="AN40" si="118">AM40</f>
        <v>0</v>
      </c>
      <c r="AO40" s="357">
        <f t="shared" ref="AO40" si="119">AN40</f>
        <v>0</v>
      </c>
      <c r="AP40" s="357">
        <f t="shared" ref="AP40" si="120">AO40</f>
        <v>0</v>
      </c>
      <c r="AQ40" s="357">
        <f t="shared" ref="AQ40" si="121">AP40</f>
        <v>0</v>
      </c>
      <c r="AR40" s="357">
        <f t="shared" ref="AR40" si="122">AQ40</f>
        <v>0</v>
      </c>
      <c r="AS40" s="357">
        <f t="shared" ref="AS40" si="123">AR40</f>
        <v>0</v>
      </c>
      <c r="AT40" s="357">
        <f t="shared" ref="AT40" si="124">AS40</f>
        <v>0</v>
      </c>
      <c r="AU40" s="357">
        <f t="shared" ref="AU40" si="125">AT40</f>
        <v>0</v>
      </c>
      <c r="AV40" s="357">
        <f t="shared" ref="AV40" si="126">AU40</f>
        <v>0</v>
      </c>
      <c r="AW40" s="357">
        <f t="shared" ref="AW40" si="127">AV40</f>
        <v>0</v>
      </c>
      <c r="AX40" s="357">
        <f t="shared" ref="AX40" si="128">AW40</f>
        <v>0</v>
      </c>
      <c r="AY40" s="357">
        <f t="shared" ref="AY40" si="129">AX40</f>
        <v>0</v>
      </c>
      <c r="AZ40" s="357">
        <f t="shared" ref="AZ40" si="130">AY40</f>
        <v>0</v>
      </c>
      <c r="BA40" s="357">
        <f t="shared" ref="BA40" si="131">AZ40</f>
        <v>0</v>
      </c>
      <c r="BB40" s="357">
        <f t="shared" ref="BB40" si="132">BA40</f>
        <v>0</v>
      </c>
      <c r="BC40" s="357">
        <f t="shared" ref="BC40" si="133">BB40</f>
        <v>0</v>
      </c>
      <c r="BD40" s="357">
        <f t="shared" ref="BD40" si="134">BC40</f>
        <v>0</v>
      </c>
      <c r="BE40" s="357">
        <f t="shared" ref="BE40" si="135">BD40</f>
        <v>0</v>
      </c>
      <c r="BF40" s="357">
        <f t="shared" ref="BF40" si="136">BE40</f>
        <v>0</v>
      </c>
      <c r="BG40" s="357">
        <f t="shared" ref="BG40" si="137">BF40</f>
        <v>0</v>
      </c>
      <c r="BH40" s="357">
        <f t="shared" ref="BH40" si="138">BG40</f>
        <v>0</v>
      </c>
      <c r="BI40" s="357">
        <f t="shared" ref="BI40" si="139">BH40</f>
        <v>0</v>
      </c>
      <c r="BJ40" s="357">
        <f t="shared" ref="BJ40" si="140">BI40</f>
        <v>0</v>
      </c>
      <c r="BK40" s="357">
        <f t="shared" ref="BK40" si="141">BJ40</f>
        <v>0</v>
      </c>
      <c r="BL40" s="357">
        <f t="shared" ref="BL40" si="142">BK40</f>
        <v>0</v>
      </c>
      <c r="BM40" s="357">
        <f t="shared" ref="BM40" si="143">BL40</f>
        <v>0</v>
      </c>
      <c r="BN40" s="357">
        <f t="shared" ref="BN40" si="144">BM40</f>
        <v>0</v>
      </c>
      <c r="BO40" s="357">
        <f t="shared" ref="BO40" si="145">BN40</f>
        <v>0</v>
      </c>
      <c r="BP40" s="357">
        <f t="shared" ref="BP40" si="146">BO40</f>
        <v>0</v>
      </c>
      <c r="BQ40" s="357">
        <f t="shared" ref="BQ40" si="147">BP40</f>
        <v>0</v>
      </c>
      <c r="BR40" s="357">
        <f t="shared" ref="BR40" si="148">BQ40</f>
        <v>0</v>
      </c>
      <c r="BS40" s="357">
        <f t="shared" ref="BS40" si="149">BR40</f>
        <v>0</v>
      </c>
      <c r="BT40" s="357">
        <f t="shared" ref="BT40" si="150">BS40</f>
        <v>0</v>
      </c>
      <c r="BU40" s="357">
        <f t="shared" ref="BU40" si="151">BT40</f>
        <v>0</v>
      </c>
      <c r="BV40" s="357">
        <f t="shared" ref="BV40" si="152">BU40</f>
        <v>0</v>
      </c>
      <c r="BW40" s="357">
        <f t="shared" ref="BW40" si="153">BV40</f>
        <v>0</v>
      </c>
      <c r="BX40" s="357">
        <f t="shared" ref="BX40" si="154">BW40</f>
        <v>0</v>
      </c>
      <c r="BY40" s="357">
        <f t="shared" ref="BY40" si="155">BX40</f>
        <v>0</v>
      </c>
    </row>
    <row r="41" spans="1:77" ht="15.75" customHeight="1" x14ac:dyDescent="0.25">
      <c r="A41" s="342"/>
      <c r="B41" s="351" t="s">
        <v>407</v>
      </c>
      <c r="C41" s="342" t="s">
        <v>4</v>
      </c>
      <c r="D41" s="352"/>
      <c r="E41" s="361"/>
      <c r="F41" s="353"/>
      <c r="G41" s="353"/>
      <c r="H41" s="353"/>
      <c r="I41" s="353"/>
      <c r="J41" s="353"/>
      <c r="K41" s="353"/>
      <c r="L41" s="353"/>
      <c r="M41" s="353"/>
      <c r="N41" s="353"/>
      <c r="O41" s="353"/>
      <c r="P41" s="353"/>
      <c r="Q41" s="353"/>
      <c r="R41" s="353">
        <f t="shared" ref="R41" si="156">Q43*R42*$D42/Q33</f>
        <v>49756.246241935492</v>
      </c>
      <c r="S41" s="353">
        <f t="shared" ref="S41" si="157">R43*S42*$D42/R33</f>
        <v>31186.406451612904</v>
      </c>
      <c r="T41" s="353">
        <f t="shared" ref="T41" si="158">S43*T42*$D42/S33</f>
        <v>36557.453571428567</v>
      </c>
      <c r="U41" s="353">
        <f t="shared" ref="U41" si="159">T43*U42*$D42/T33</f>
        <v>41236.752419354838</v>
      </c>
      <c r="V41" s="353">
        <f t="shared" ref="V41" si="160">U43*V42*$D42/U33</f>
        <v>42339.778437500005</v>
      </c>
      <c r="W41" s="353">
        <f t="shared" ref="W41" si="161">V43*W42*$D42/V33</f>
        <v>43613.675013205648</v>
      </c>
      <c r="X41" s="353">
        <f t="shared" ref="X41" si="162">W43*X42*$D42/W33</f>
        <v>46736.60759252865</v>
      </c>
      <c r="Y41" s="353">
        <f t="shared" ref="Y41" si="163">X43*Y42*$D42/X33</f>
        <v>48126.240469069293</v>
      </c>
      <c r="Z41" s="353">
        <f t="shared" ref="Z41" si="164">Y43*Z42*$D42/Y33</f>
        <v>64252.67924908334</v>
      </c>
      <c r="AA41" s="353">
        <f t="shared" ref="AA41" si="165">Z43*AA42*$D42/Z33</f>
        <v>74067.1462878936</v>
      </c>
      <c r="AB41" s="353">
        <f t="shared" ref="AB41" si="166">AA43*AB42*$D42/AA33</f>
        <v>71936.743577130183</v>
      </c>
      <c r="AC41" s="353">
        <f t="shared" ref="AC41" si="167">AB43*AC42*$D42/AB33</f>
        <v>78640.26964727712</v>
      </c>
      <c r="AD41" s="353">
        <f t="shared" ref="AD41" si="168">AC43*AD42*$D42/AC33</f>
        <v>90361.126975222098</v>
      </c>
      <c r="AE41" s="353">
        <f t="shared" ref="AE41" si="169">AD43*AE42*$D42/AD33</f>
        <v>78583.587226728385</v>
      </c>
      <c r="AF41" s="353">
        <f t="shared" ref="AF41" si="170">AE43*AF42*$D42/AE33</f>
        <v>100881.28531546312</v>
      </c>
      <c r="AG41" s="353">
        <f t="shared" ref="AG41" si="171">AF43*AG42*$D42/AF33</f>
        <v>109567.20720879424</v>
      </c>
      <c r="AH41" s="353">
        <f t="shared" ref="AH41" si="172">AG43*AH42*$D42/AG33</f>
        <v>121829.3141255354</v>
      </c>
      <c r="AI41" s="353">
        <f t="shared" ref="AI41" si="173">AH43*AI42*$D42/AH33</f>
        <v>122684.4076084884</v>
      </c>
      <c r="AJ41" s="353">
        <f t="shared" ref="AJ41" si="174">AI43*AJ42*$D42/AI33</f>
        <v>129307.44463212536</v>
      </c>
      <c r="AK41" s="353">
        <f t="shared" ref="AK41" si="175">AJ43*AK42*$D42/AJ33</f>
        <v>127638.78730797033</v>
      </c>
      <c r="AL41" s="353">
        <f t="shared" ref="AL41" si="176">AK43*AL42*$D42/AK33</f>
        <v>121488.54122057716</v>
      </c>
      <c r="AM41" s="353">
        <f t="shared" ref="AM41" si="177">AL43*AM42*$D42/AL33</f>
        <v>121934.37655928575</v>
      </c>
      <c r="AN41" s="353">
        <f t="shared" ref="AN41" si="178">AM43*AN42*$D42/AM33</f>
        <v>114630.78886222777</v>
      </c>
      <c r="AO41" s="353">
        <f t="shared" ref="AO41" si="179">AN43*AO42*$D42/AN33</f>
        <v>112794.69569854319</v>
      </c>
      <c r="AP41" s="353">
        <f t="shared" ref="AP41" si="180">AO43*AP42*$D42/AO33</f>
        <v>144278.46523535278</v>
      </c>
      <c r="AQ41" s="353">
        <f t="shared" ref="AQ41" si="181">AP43*AQ42*$D42/AP33</f>
        <v>91251.231828328906</v>
      </c>
      <c r="AR41" s="353">
        <f t="shared" ref="AR41" si="182">AQ43*AR42*$D42/AQ33</f>
        <v>117452.10146503674</v>
      </c>
      <c r="AS41" s="353">
        <f t="shared" ref="AS41" si="183">AR43*AS42*$D42/AR33</f>
        <v>127490.57443802033</v>
      </c>
      <c r="AT41" s="353">
        <f t="shared" ref="AT41" si="184">AS43*AT42*$D42/AS33</f>
        <v>141724.4351507393</v>
      </c>
      <c r="AU41" s="353">
        <f t="shared" ref="AU41" si="185">AT43*AU42*$D42/AT33</f>
        <v>142717.16992927607</v>
      </c>
      <c r="AV41" s="353">
        <f t="shared" ref="AV41" si="186">AU43*AV42*$D42/AU33</f>
        <v>150417.5124325972</v>
      </c>
      <c r="AW41" s="353">
        <f t="shared" ref="AW41" si="187">AV43*AW42*$D42/AV33</f>
        <v>148472.51121016216</v>
      </c>
      <c r="AX41" s="353">
        <f t="shared" ref="AX41" si="188">AW43*AX42*$D42/AW33</f>
        <v>141337.73882588226</v>
      </c>
      <c r="AY41" s="353">
        <f t="shared" ref="AY41" si="189">AX43*AY42*$D42/AX33</f>
        <v>141856.8752187494</v>
      </c>
      <c r="AZ41" s="353">
        <f t="shared" ref="AZ41" si="190">AY43*AZ42*$D42/AY33</f>
        <v>133364.38294149801</v>
      </c>
      <c r="BA41" s="353">
        <f t="shared" ref="BA41" si="191">AZ43*BA42*$D42/AZ33</f>
        <v>132986.71189021791</v>
      </c>
      <c r="BB41" s="353">
        <f t="shared" ref="BB41" si="192">BA43*BB42*$D42/BA33</f>
        <v>167848.09219050879</v>
      </c>
      <c r="BC41" s="353">
        <f t="shared" ref="BC41" si="193">BB43*BC42*$D42/BB33</f>
        <v>106291.95462921684</v>
      </c>
      <c r="BD41" s="353">
        <f t="shared" ref="BD41" si="194">BC43*BD42*$D42/BC33</f>
        <v>136701.93052789275</v>
      </c>
      <c r="BE41" s="353">
        <f t="shared" ref="BE41" si="195">BD43*BE42*$D42/BD33</f>
        <v>148305.16379367199</v>
      </c>
      <c r="BF41" s="353">
        <f t="shared" ref="BF41" si="196">BE43*BF42*$D42/BE33</f>
        <v>164823.54893982742</v>
      </c>
      <c r="BG41" s="353">
        <f t="shared" ref="BG41" si="197">BF43*BG42*$D42/BF33</f>
        <v>165977.02382147263</v>
      </c>
      <c r="BH41" s="353">
        <f t="shared" ref="BH41" si="198">BG43*BH42*$D42/BG33</f>
        <v>174932.56904088787</v>
      </c>
      <c r="BI41" s="353">
        <f t="shared" ref="BI41" si="199">BH43*BI42*$D42/BH33</f>
        <v>172670.8337145228</v>
      </c>
      <c r="BJ41" s="353">
        <f t="shared" ref="BJ41" si="200">BI43*BJ42*$D42/BI33</f>
        <v>164397.67658166683</v>
      </c>
      <c r="BK41" s="353">
        <f t="shared" ref="BK41" si="201">BJ43*BK42*$D42/BJ33</f>
        <v>165005.07974093375</v>
      </c>
      <c r="BL41" s="353">
        <f t="shared" ref="BL41" si="202">BK43*BL42*$D42/BK33</f>
        <v>157211.90780631031</v>
      </c>
      <c r="BM41" s="353">
        <f t="shared" ref="BM41" si="203">BL43*BM42*$D42/BL33</f>
        <v>154701.65941738486</v>
      </c>
      <c r="BN41" s="353">
        <f t="shared" ref="BN41" si="204">BM43*BN42*$D42/BM33</f>
        <v>195263.31350676011</v>
      </c>
      <c r="BO41" s="353">
        <f t="shared" ref="BO41" si="205">BN43*BO42*$D42/BN33</f>
        <v>120986.12878413901</v>
      </c>
      <c r="BP41" s="353">
        <f t="shared" ref="BP41" si="206">BO43*BP42*$D42/BO33</f>
        <v>155872.11495697105</v>
      </c>
      <c r="BQ41" s="353">
        <f t="shared" ref="BQ41" si="207">BP43*BQ42*$D42/BP33</f>
        <v>169316.55167297448</v>
      </c>
      <c r="BR41" s="353">
        <f t="shared" ref="BR41" si="208">BQ43*BR42*$D42/BQ33</f>
        <v>188309.26329531154</v>
      </c>
      <c r="BS41" s="353">
        <f t="shared" ref="BS41" si="209">BR43*BS42*$D42/BR33</f>
        <v>189655.66359101443</v>
      </c>
      <c r="BT41" s="353">
        <f t="shared" ref="BT41" si="210">BS43*BT42*$D42/BS33</f>
        <v>199939.83928196406</v>
      </c>
      <c r="BU41" s="353">
        <f t="shared" ref="BU41" si="211">BT43*BU42*$D42/BT33</f>
        <v>197404.88954225471</v>
      </c>
      <c r="BV41" s="353">
        <f t="shared" ref="BV41" si="212">BU43*BV42*$D42/BU33</f>
        <v>187958.02629193876</v>
      </c>
      <c r="BW41" s="353">
        <f t="shared" ref="BW41" si="213">BV43*BW42*$D42/BV33</f>
        <v>191293.36422202215</v>
      </c>
      <c r="BX41" s="353">
        <f t="shared" ref="BX41" si="214">BW43*BX42*$D42/BW33</f>
        <v>179874.60674510765</v>
      </c>
      <c r="BY41" s="353">
        <f t="shared" ref="BY41" si="215">BX43*BY42*$D42/BX33</f>
        <v>177037.73031110704</v>
      </c>
    </row>
    <row r="42" spans="1:77" ht="15.75" customHeight="1" x14ac:dyDescent="0.25">
      <c r="B42" s="354" t="s">
        <v>407</v>
      </c>
      <c r="C42" s="355" t="s">
        <v>59</v>
      </c>
      <c r="D42" s="355">
        <v>25</v>
      </c>
      <c r="E42" s="352"/>
      <c r="F42" s="356"/>
      <c r="G42" s="357">
        <f t="shared" ref="G42" si="216">1-F40</f>
        <v>1</v>
      </c>
      <c r="H42" s="357">
        <f t="shared" ref="H42" si="217">1-G40</f>
        <v>1</v>
      </c>
      <c r="I42" s="357">
        <f t="shared" ref="I42" si="218">1-H40</f>
        <v>1</v>
      </c>
      <c r="J42" s="357">
        <f t="shared" ref="J42" si="219">1-I40</f>
        <v>1</v>
      </c>
      <c r="K42" s="357">
        <f t="shared" ref="K42" si="220">1-J40</f>
        <v>1</v>
      </c>
      <c r="L42" s="357">
        <f t="shared" ref="L42" si="221">1-K40</f>
        <v>1</v>
      </c>
      <c r="M42" s="357">
        <f t="shared" ref="M42:N42" si="222">1-L40</f>
        <v>1</v>
      </c>
      <c r="N42" s="357">
        <f t="shared" si="222"/>
        <v>1</v>
      </c>
      <c r="O42" s="357">
        <f t="shared" ref="O42" si="223">1-N40</f>
        <v>1</v>
      </c>
      <c r="P42" s="357">
        <f t="shared" ref="P42" si="224">1-O40</f>
        <v>1</v>
      </c>
      <c r="Q42" s="357">
        <f t="shared" ref="Q42" si="225">1-P40</f>
        <v>1</v>
      </c>
      <c r="R42" s="357">
        <f t="shared" ref="R42" si="226">1-Q40</f>
        <v>1</v>
      </c>
      <c r="S42" s="357">
        <f t="shared" ref="S42" si="227">1-R40</f>
        <v>1</v>
      </c>
      <c r="T42" s="357">
        <f t="shared" ref="T42" si="228">1-S40</f>
        <v>1</v>
      </c>
      <c r="U42" s="357">
        <f t="shared" ref="U42" si="229">1-T40</f>
        <v>1</v>
      </c>
      <c r="V42" s="357">
        <f t="shared" ref="V42" si="230">1-U40</f>
        <v>1</v>
      </c>
      <c r="W42" s="357">
        <f t="shared" ref="W42" si="231">1-V40</f>
        <v>1</v>
      </c>
      <c r="X42" s="357">
        <f t="shared" ref="X42" si="232">1-W40</f>
        <v>1</v>
      </c>
      <c r="Y42" s="357">
        <f t="shared" ref="Y42" si="233">1-X40</f>
        <v>1</v>
      </c>
      <c r="Z42" s="357">
        <f t="shared" ref="Z42" si="234">1-Y40</f>
        <v>1</v>
      </c>
      <c r="AA42" s="357">
        <f t="shared" ref="AA42" si="235">1-Z40</f>
        <v>1</v>
      </c>
      <c r="AB42" s="357">
        <f t="shared" ref="AB42" si="236">1-AA40</f>
        <v>1</v>
      </c>
      <c r="AC42" s="357">
        <f t="shared" ref="AC42" si="237">1-AB40</f>
        <v>1</v>
      </c>
      <c r="AD42" s="357">
        <f t="shared" ref="AD42" si="238">1-AC40</f>
        <v>1</v>
      </c>
      <c r="AE42" s="357">
        <f t="shared" ref="AE42" si="239">1-AD40</f>
        <v>1</v>
      </c>
      <c r="AF42" s="357">
        <f t="shared" ref="AF42" si="240">1-AE40</f>
        <v>1</v>
      </c>
      <c r="AG42" s="357">
        <f t="shared" ref="AG42" si="241">1-AF40</f>
        <v>1</v>
      </c>
      <c r="AH42" s="357">
        <f t="shared" ref="AH42" si="242">1-AG40</f>
        <v>1</v>
      </c>
      <c r="AI42" s="357">
        <f t="shared" ref="AI42" si="243">1-AH40</f>
        <v>1</v>
      </c>
      <c r="AJ42" s="357">
        <f t="shared" ref="AJ42" si="244">1-AI40</f>
        <v>1</v>
      </c>
      <c r="AK42" s="357">
        <f t="shared" ref="AK42" si="245">1-AJ40</f>
        <v>1</v>
      </c>
      <c r="AL42" s="357">
        <f t="shared" ref="AL42" si="246">1-AK40</f>
        <v>1</v>
      </c>
      <c r="AM42" s="357">
        <f t="shared" ref="AM42" si="247">1-AL40</f>
        <v>1</v>
      </c>
      <c r="AN42" s="357">
        <f t="shared" ref="AN42" si="248">1-AM40</f>
        <v>1</v>
      </c>
      <c r="AO42" s="357">
        <f t="shared" ref="AO42" si="249">1-AN40</f>
        <v>1</v>
      </c>
      <c r="AP42" s="357">
        <f t="shared" ref="AP42" si="250">1-AO40</f>
        <v>1</v>
      </c>
      <c r="AQ42" s="357">
        <f t="shared" ref="AQ42" si="251">1-AP40</f>
        <v>1</v>
      </c>
      <c r="AR42" s="357">
        <f t="shared" ref="AR42" si="252">1-AQ40</f>
        <v>1</v>
      </c>
      <c r="AS42" s="357">
        <f t="shared" ref="AS42" si="253">1-AR40</f>
        <v>1</v>
      </c>
      <c r="AT42" s="357">
        <f t="shared" ref="AT42" si="254">1-AS40</f>
        <v>1</v>
      </c>
      <c r="AU42" s="357">
        <f t="shared" ref="AU42" si="255">1-AT40</f>
        <v>1</v>
      </c>
      <c r="AV42" s="357">
        <f t="shared" ref="AV42" si="256">1-AU40</f>
        <v>1</v>
      </c>
      <c r="AW42" s="357">
        <f t="shared" ref="AW42" si="257">1-AV40</f>
        <v>1</v>
      </c>
      <c r="AX42" s="357">
        <f t="shared" ref="AX42" si="258">1-AW40</f>
        <v>1</v>
      </c>
      <c r="AY42" s="357">
        <f t="shared" ref="AY42" si="259">1-AX40</f>
        <v>1</v>
      </c>
      <c r="AZ42" s="357">
        <f t="shared" ref="AZ42" si="260">1-AY40</f>
        <v>1</v>
      </c>
      <c r="BA42" s="357">
        <f t="shared" ref="BA42" si="261">1-AZ40</f>
        <v>1</v>
      </c>
      <c r="BB42" s="357">
        <f t="shared" ref="BB42" si="262">1-BA40</f>
        <v>1</v>
      </c>
      <c r="BC42" s="357">
        <f t="shared" ref="BC42" si="263">1-BB40</f>
        <v>1</v>
      </c>
      <c r="BD42" s="357">
        <f t="shared" ref="BD42" si="264">1-BC40</f>
        <v>1</v>
      </c>
      <c r="BE42" s="357">
        <f t="shared" ref="BE42" si="265">1-BD40</f>
        <v>1</v>
      </c>
      <c r="BF42" s="357">
        <f t="shared" ref="BF42" si="266">1-BE40</f>
        <v>1</v>
      </c>
      <c r="BG42" s="357">
        <f t="shared" ref="BG42" si="267">1-BF40</f>
        <v>1</v>
      </c>
      <c r="BH42" s="357">
        <f t="shared" ref="BH42" si="268">1-BG40</f>
        <v>1</v>
      </c>
      <c r="BI42" s="357">
        <f t="shared" ref="BI42" si="269">1-BH40</f>
        <v>1</v>
      </c>
      <c r="BJ42" s="357">
        <f t="shared" ref="BJ42" si="270">1-BI40</f>
        <v>1</v>
      </c>
      <c r="BK42" s="357">
        <f t="shared" ref="BK42" si="271">1-BJ40</f>
        <v>1</v>
      </c>
      <c r="BL42" s="357">
        <f t="shared" ref="BL42" si="272">1-BK40</f>
        <v>1</v>
      </c>
      <c r="BM42" s="357">
        <f t="shared" ref="BM42" si="273">1-BL40</f>
        <v>1</v>
      </c>
      <c r="BN42" s="357">
        <f t="shared" ref="BN42" si="274">1-BM40</f>
        <v>1</v>
      </c>
      <c r="BO42" s="357">
        <f t="shared" ref="BO42" si="275">1-BN40</f>
        <v>1</v>
      </c>
      <c r="BP42" s="357">
        <f t="shared" ref="BP42" si="276">1-BO40</f>
        <v>1</v>
      </c>
      <c r="BQ42" s="357">
        <f t="shared" ref="BQ42" si="277">1-BP40</f>
        <v>1</v>
      </c>
      <c r="BR42" s="357">
        <f t="shared" ref="BR42" si="278">1-BQ40</f>
        <v>1</v>
      </c>
      <c r="BS42" s="357">
        <f t="shared" ref="BS42" si="279">1-BR40</f>
        <v>1</v>
      </c>
      <c r="BT42" s="357">
        <f t="shared" ref="BT42" si="280">1-BS40</f>
        <v>1</v>
      </c>
      <c r="BU42" s="357">
        <f t="shared" ref="BU42" si="281">1-BT40</f>
        <v>1</v>
      </c>
      <c r="BV42" s="357">
        <f t="shared" ref="BV42" si="282">1-BU40</f>
        <v>1</v>
      </c>
      <c r="BW42" s="357">
        <f t="shared" ref="BW42" si="283">1-BV40</f>
        <v>1</v>
      </c>
      <c r="BX42" s="357">
        <f t="shared" ref="BX42" si="284">1-BW40</f>
        <v>1</v>
      </c>
      <c r="BY42" s="357">
        <f t="shared" ref="BY42" si="285">1-BX40</f>
        <v>1</v>
      </c>
    </row>
    <row r="43" spans="1:77" ht="15.75" customHeight="1" x14ac:dyDescent="0.25">
      <c r="B43" s="162" t="s">
        <v>0</v>
      </c>
      <c r="C43" s="162" t="s">
        <v>4</v>
      </c>
      <c r="F43" s="346">
        <f>Свод_ОФР!R48</f>
        <v>40944.953509999999</v>
      </c>
      <c r="G43" s="346">
        <f>Свод_ОФР!S48</f>
        <v>37592.646399999998</v>
      </c>
      <c r="H43" s="346">
        <f>Свод_ОФР!T48</f>
        <v>52424.71142</v>
      </c>
      <c r="I43" s="346">
        <f>Свод_ОФР!U48</f>
        <v>42119.144490000006</v>
      </c>
      <c r="J43" s="346">
        <f>Свод_ОФР!V48</f>
        <v>43341.810040000004</v>
      </c>
      <c r="K43" s="346">
        <f>Свод_ОФР!W48</f>
        <v>44640.878140000001</v>
      </c>
      <c r="L43" s="346">
        <f>Свод_ОФР!X48</f>
        <v>58100.817309999999</v>
      </c>
      <c r="M43" s="346">
        <f>Свод_ОФР!Y48</f>
        <v>56408.323090000005</v>
      </c>
      <c r="N43" s="346">
        <f>Свод_ОФР!Z48</f>
        <v>57011.189790000004</v>
      </c>
      <c r="O43" s="346">
        <f>Свод_ОФР!AA48</f>
        <v>53840.798139999999</v>
      </c>
      <c r="P43" s="346">
        <f>Свод_ОФР!AB48</f>
        <v>52151.136889999994</v>
      </c>
      <c r="Q43" s="346">
        <f>Свод_ОФР!AC48</f>
        <v>61697.745340000009</v>
      </c>
      <c r="R43" s="346">
        <f>Свод_ОФР!AD48</f>
        <v>38671.144</v>
      </c>
      <c r="S43" s="346">
        <f>Свод_ОФР!AE48</f>
        <v>40944.347999999998</v>
      </c>
      <c r="T43" s="346">
        <f>Свод_ОФР!AF48</f>
        <v>51133.572999999997</v>
      </c>
      <c r="U43" s="346">
        <f>Свод_ОФР!AG48</f>
        <v>50807.734125000003</v>
      </c>
      <c r="V43" s="346">
        <f>Свод_ОФР!AH48</f>
        <v>54080.957016374996</v>
      </c>
      <c r="W43" s="346">
        <f>Свод_ОФР!AI48</f>
        <v>56083.929111034377</v>
      </c>
      <c r="X43" s="346">
        <f>Свод_ОФР!AJ48</f>
        <v>59676.538181645927</v>
      </c>
      <c r="Y43" s="346">
        <f>Свод_ОФР!AK48</f>
        <v>79673.32226886334</v>
      </c>
      <c r="Z43" s="346">
        <f>Свод_ОФР!AL48</f>
        <v>88880.575545472311</v>
      </c>
      <c r="AA43" s="346">
        <f>Свод_ОФР!AM48</f>
        <v>89201.562035641429</v>
      </c>
      <c r="AB43" s="346">
        <f>Свод_ОФР!AN48</f>
        <v>94368.323576732539</v>
      </c>
      <c r="AC43" s="346">
        <f>Свод_ОФР!AO48</f>
        <v>112047.7974492754</v>
      </c>
      <c r="AD43" s="346">
        <f>Свод_ОФР!AP48</f>
        <v>97443.648161143195</v>
      </c>
      <c r="AE43" s="346">
        <f>Свод_ОФР!AQ48</f>
        <v>112987.0395533187</v>
      </c>
      <c r="AF43" s="346">
        <f>Свод_ОФР!AR48</f>
        <v>135863.33693890486</v>
      </c>
      <c r="AG43" s="346">
        <f>Свод_ОФР!AS48</f>
        <v>146195.17695064249</v>
      </c>
      <c r="AH43" s="346">
        <f>Свод_ОФР!AT48</f>
        <v>152128.66543452561</v>
      </c>
      <c r="AI43" s="346">
        <f>Свод_ОФР!AU48</f>
        <v>155168.93355855043</v>
      </c>
      <c r="AJ43" s="346">
        <f>Свод_ОФР!AV48</f>
        <v>158272.09626188321</v>
      </c>
      <c r="AK43" s="346">
        <f>Свод_ОФР!AW48</f>
        <v>150645.79111351568</v>
      </c>
      <c r="AL43" s="346">
        <f>Свод_ОФР!AX48</f>
        <v>146321.25187114291</v>
      </c>
      <c r="AM43" s="346">
        <f>Свод_ОФР!AY48</f>
        <v>142142.17818916243</v>
      </c>
      <c r="AN43" s="346">
        <f>Свод_ОФР!AZ48</f>
        <v>135353.63483825183</v>
      </c>
      <c r="AO43" s="346">
        <f>Свод_ОФР!BA48</f>
        <v>178905.29689183744</v>
      </c>
      <c r="AP43" s="346">
        <f>Свод_ОФР!BB48</f>
        <v>113151.52746712786</v>
      </c>
      <c r="AQ43" s="346">
        <f>Свод_ОФР!BC48</f>
        <v>131546.35364084115</v>
      </c>
      <c r="AR43" s="346">
        <f>Свод_ОФР!BD48</f>
        <v>158088.31230314521</v>
      </c>
      <c r="AS43" s="346">
        <f>Свод_ОФР!BE48</f>
        <v>170069.32218088716</v>
      </c>
      <c r="AT43" s="346">
        <f>Свод_ОФР!BF48</f>
        <v>176969.29071230232</v>
      </c>
      <c r="AU43" s="346">
        <f>Свод_ОФР!BG48</f>
        <v>180501.01491911663</v>
      </c>
      <c r="AV43" s="346">
        <f>Свод_ОФР!BH48</f>
        <v>184105.91390060107</v>
      </c>
      <c r="AW43" s="346">
        <f>Свод_ОФР!BI48</f>
        <v>175258.79614409403</v>
      </c>
      <c r="AX43" s="346">
        <f>Свод_ОФР!BJ48</f>
        <v>170228.25026249926</v>
      </c>
      <c r="AY43" s="346">
        <f>Свод_ОФР!BK48</f>
        <v>165371.83484745753</v>
      </c>
      <c r="AZ43" s="346">
        <f>Свод_ОФР!BL48</f>
        <v>159584.05426826148</v>
      </c>
      <c r="BA43" s="346">
        <f>Свод_ОФР!BM48</f>
        <v>208131.63431623089</v>
      </c>
      <c r="BB43" s="346">
        <f>Свод_ОФР!BN48</f>
        <v>131802.02374022888</v>
      </c>
      <c r="BC43" s="346">
        <f>Свод_ОФР!BO48</f>
        <v>153106.16219123988</v>
      </c>
      <c r="BD43" s="346">
        <f>Свод_ОФР!BP48</f>
        <v>183898.40310415329</v>
      </c>
      <c r="BE43" s="346">
        <f>Свод_ОФР!BQ48</f>
        <v>197788.25872779291</v>
      </c>
      <c r="BF43" s="346">
        <f>Свод_ОФР!BR48</f>
        <v>205811.50953862607</v>
      </c>
      <c r="BG43" s="346">
        <f>Свод_ОФР!BS48</f>
        <v>209919.08284906545</v>
      </c>
      <c r="BH43" s="346">
        <f>Свод_ОФР!BT48</f>
        <v>214111.83380600828</v>
      </c>
      <c r="BI43" s="346">
        <f>Свод_ОФР!BU48</f>
        <v>203853.11896126688</v>
      </c>
      <c r="BJ43" s="346">
        <f>Свод_ОФР!BV48</f>
        <v>198006.09568912053</v>
      </c>
      <c r="BK43" s="346">
        <f>Свод_ОФР!BW48</f>
        <v>194942.76567982481</v>
      </c>
      <c r="BL43" s="346">
        <f>Свод_ОФР!BX48</f>
        <v>185641.99130086185</v>
      </c>
      <c r="BM43" s="346">
        <f>Свод_ОФР!BY48</f>
        <v>242126.50874838256</v>
      </c>
      <c r="BN43" s="346">
        <f>Свод_ОФР!BZ48</f>
        <v>150022.79969233237</v>
      </c>
      <c r="BO43" s="346">
        <f>Свод_ОФР!CA48</f>
        <v>174576.7687518076</v>
      </c>
      <c r="BP43" s="346">
        <f>Свод_ОФР!CB48</f>
        <v>209952.52407448835</v>
      </c>
      <c r="BQ43" s="346">
        <f>Свод_ОФР!CC48</f>
        <v>225971.11595437385</v>
      </c>
      <c r="BR43" s="346">
        <f>Свод_ОФР!CD48</f>
        <v>235173.02285285789</v>
      </c>
      <c r="BS43" s="346">
        <f>Свод_ОФР!CE48</f>
        <v>239927.80713835685</v>
      </c>
      <c r="BT43" s="346">
        <f>Свод_ОФР!CF48</f>
        <v>244782.06303239585</v>
      </c>
      <c r="BU43" s="346">
        <f>Свод_ОФР!CG48</f>
        <v>233067.95260200408</v>
      </c>
      <c r="BV43" s="346">
        <f>Свод_ОФР!CH48</f>
        <v>229552.03706642659</v>
      </c>
      <c r="BW43" s="346">
        <f>Свод_ОФР!CI48</f>
        <v>223044.51236393349</v>
      </c>
      <c r="BX43" s="346">
        <f>Свод_ОФР!CJ48</f>
        <v>212445.27637332847</v>
      </c>
      <c r="BY43" s="346">
        <f>Свод_ОФР!CK48</f>
        <v>276988.81685581052</v>
      </c>
    </row>
    <row r="44" spans="1:77" ht="15.75" customHeight="1" x14ac:dyDescent="0.25">
      <c r="D44" s="162"/>
    </row>
    <row r="46" spans="1:77" x14ac:dyDescent="0.25">
      <c r="B46" s="328" t="s">
        <v>376</v>
      </c>
    </row>
    <row r="47" spans="1:77" ht="15.75" customHeight="1" x14ac:dyDescent="0.25">
      <c r="B47" s="343" t="s">
        <v>1</v>
      </c>
      <c r="C47" s="343" t="s">
        <v>2</v>
      </c>
      <c r="D47" s="343" t="s">
        <v>38</v>
      </c>
      <c r="F47" s="344">
        <f>F34</f>
        <v>45658</v>
      </c>
      <c r="G47" s="344">
        <f t="shared" ref="G47:BL47" si="286">G34</f>
        <v>45689</v>
      </c>
      <c r="H47" s="344">
        <f t="shared" si="286"/>
        <v>45717</v>
      </c>
      <c r="I47" s="344">
        <f t="shared" si="286"/>
        <v>45748</v>
      </c>
      <c r="J47" s="344">
        <f t="shared" si="286"/>
        <v>45778</v>
      </c>
      <c r="K47" s="344">
        <f t="shared" si="286"/>
        <v>45809</v>
      </c>
      <c r="L47" s="344">
        <f t="shared" si="286"/>
        <v>45839</v>
      </c>
      <c r="M47" s="344">
        <f t="shared" si="286"/>
        <v>45870</v>
      </c>
      <c r="N47" s="344">
        <f t="shared" si="286"/>
        <v>45901</v>
      </c>
      <c r="O47" s="344">
        <f t="shared" si="286"/>
        <v>45931</v>
      </c>
      <c r="P47" s="344">
        <f t="shared" si="286"/>
        <v>45962</v>
      </c>
      <c r="Q47" s="344">
        <f t="shared" si="286"/>
        <v>45992</v>
      </c>
      <c r="R47" s="344">
        <f t="shared" si="286"/>
        <v>46023</v>
      </c>
      <c r="S47" s="344">
        <f t="shared" si="286"/>
        <v>46054</v>
      </c>
      <c r="T47" s="344">
        <f t="shared" si="286"/>
        <v>46082</v>
      </c>
      <c r="U47" s="344">
        <f t="shared" si="286"/>
        <v>46113</v>
      </c>
      <c r="V47" s="344">
        <f t="shared" si="286"/>
        <v>46143</v>
      </c>
      <c r="W47" s="344">
        <f t="shared" si="286"/>
        <v>46174</v>
      </c>
      <c r="X47" s="344">
        <f t="shared" si="286"/>
        <v>46204</v>
      </c>
      <c r="Y47" s="344">
        <f t="shared" si="286"/>
        <v>46235</v>
      </c>
      <c r="Z47" s="344">
        <f t="shared" si="286"/>
        <v>46266</v>
      </c>
      <c r="AA47" s="344">
        <f t="shared" si="286"/>
        <v>46296</v>
      </c>
      <c r="AB47" s="344">
        <f t="shared" si="286"/>
        <v>46327</v>
      </c>
      <c r="AC47" s="344">
        <f t="shared" si="286"/>
        <v>46357</v>
      </c>
      <c r="AD47" s="344">
        <f t="shared" si="286"/>
        <v>46388</v>
      </c>
      <c r="AE47" s="344">
        <f t="shared" si="286"/>
        <v>46419</v>
      </c>
      <c r="AF47" s="344">
        <f t="shared" si="286"/>
        <v>46447</v>
      </c>
      <c r="AG47" s="344">
        <f t="shared" si="286"/>
        <v>46478</v>
      </c>
      <c r="AH47" s="344">
        <f t="shared" si="286"/>
        <v>46508</v>
      </c>
      <c r="AI47" s="344">
        <f t="shared" si="286"/>
        <v>46539</v>
      </c>
      <c r="AJ47" s="344">
        <f t="shared" si="286"/>
        <v>46569</v>
      </c>
      <c r="AK47" s="344">
        <f t="shared" si="286"/>
        <v>46600</v>
      </c>
      <c r="AL47" s="344">
        <f t="shared" si="286"/>
        <v>46631</v>
      </c>
      <c r="AM47" s="344">
        <f t="shared" si="286"/>
        <v>46661</v>
      </c>
      <c r="AN47" s="344">
        <f t="shared" si="286"/>
        <v>46692</v>
      </c>
      <c r="AO47" s="344">
        <f t="shared" si="286"/>
        <v>46722</v>
      </c>
      <c r="AP47" s="344">
        <f t="shared" si="286"/>
        <v>46753</v>
      </c>
      <c r="AQ47" s="344">
        <f t="shared" si="286"/>
        <v>46784</v>
      </c>
      <c r="AR47" s="344">
        <f t="shared" si="286"/>
        <v>46813</v>
      </c>
      <c r="AS47" s="344">
        <f t="shared" si="286"/>
        <v>46844</v>
      </c>
      <c r="AT47" s="344">
        <f t="shared" si="286"/>
        <v>46874</v>
      </c>
      <c r="AU47" s="344">
        <f t="shared" si="286"/>
        <v>46905</v>
      </c>
      <c r="AV47" s="344">
        <f t="shared" si="286"/>
        <v>46935</v>
      </c>
      <c r="AW47" s="344">
        <f t="shared" si="286"/>
        <v>46966</v>
      </c>
      <c r="AX47" s="344">
        <f t="shared" si="286"/>
        <v>46997</v>
      </c>
      <c r="AY47" s="344">
        <f t="shared" si="286"/>
        <v>47027</v>
      </c>
      <c r="AZ47" s="344">
        <f t="shared" si="286"/>
        <v>47058</v>
      </c>
      <c r="BA47" s="344">
        <f t="shared" si="286"/>
        <v>47088</v>
      </c>
      <c r="BB47" s="344">
        <f t="shared" si="286"/>
        <v>47119</v>
      </c>
      <c r="BC47" s="344">
        <f t="shared" si="286"/>
        <v>47150</v>
      </c>
      <c r="BD47" s="344">
        <f t="shared" si="286"/>
        <v>47178</v>
      </c>
      <c r="BE47" s="344">
        <f t="shared" si="286"/>
        <v>47209</v>
      </c>
      <c r="BF47" s="344">
        <f t="shared" si="286"/>
        <v>47239</v>
      </c>
      <c r="BG47" s="344">
        <f t="shared" si="286"/>
        <v>47270</v>
      </c>
      <c r="BH47" s="344">
        <f t="shared" si="286"/>
        <v>47300</v>
      </c>
      <c r="BI47" s="344">
        <f t="shared" si="286"/>
        <v>47331</v>
      </c>
      <c r="BJ47" s="344">
        <f t="shared" si="286"/>
        <v>47362</v>
      </c>
      <c r="BK47" s="344">
        <f t="shared" si="286"/>
        <v>47392</v>
      </c>
      <c r="BL47" s="344">
        <f t="shared" si="286"/>
        <v>47423</v>
      </c>
      <c r="BM47" s="344">
        <f t="shared" ref="BM47:BY47" si="287">BM34</f>
        <v>47453</v>
      </c>
      <c r="BN47" s="344">
        <f t="shared" si="287"/>
        <v>47484</v>
      </c>
      <c r="BO47" s="344">
        <f t="shared" si="287"/>
        <v>47515</v>
      </c>
      <c r="BP47" s="344">
        <f t="shared" si="287"/>
        <v>47543</v>
      </c>
      <c r="BQ47" s="344">
        <f t="shared" si="287"/>
        <v>47574</v>
      </c>
      <c r="BR47" s="344">
        <f t="shared" si="287"/>
        <v>47604</v>
      </c>
      <c r="BS47" s="344">
        <f t="shared" si="287"/>
        <v>47635</v>
      </c>
      <c r="BT47" s="344">
        <f t="shared" si="287"/>
        <v>47665</v>
      </c>
      <c r="BU47" s="344">
        <f t="shared" si="287"/>
        <v>47696</v>
      </c>
      <c r="BV47" s="344">
        <f t="shared" si="287"/>
        <v>47727</v>
      </c>
      <c r="BW47" s="344">
        <f t="shared" si="287"/>
        <v>47757</v>
      </c>
      <c r="BX47" s="344">
        <f t="shared" si="287"/>
        <v>47788</v>
      </c>
      <c r="BY47" s="344">
        <f t="shared" si="287"/>
        <v>47818</v>
      </c>
    </row>
    <row r="48" spans="1:77" ht="15.75" customHeight="1" x14ac:dyDescent="0.25">
      <c r="A48" s="162"/>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row>
    <row r="49" spans="1:77" ht="15.75" customHeight="1" x14ac:dyDescent="0.25">
      <c r="B49" s="162" t="s">
        <v>408</v>
      </c>
      <c r="C49" s="162" t="s">
        <v>4</v>
      </c>
      <c r="F49" s="271">
        <v>62783.922000000006</v>
      </c>
      <c r="G49" s="271">
        <v>61704.08554</v>
      </c>
      <c r="H49" s="271">
        <v>56211.077199999992</v>
      </c>
      <c r="I49" s="271">
        <v>52442.644199999995</v>
      </c>
      <c r="J49" s="271">
        <v>40961.011525999995</v>
      </c>
      <c r="K49" s="271">
        <v>69274</v>
      </c>
      <c r="L49" s="346">
        <v>68483.5</v>
      </c>
      <c r="M49" s="346">
        <v>68088.25</v>
      </c>
      <c r="N49" s="400">
        <v>67693</v>
      </c>
      <c r="O49" s="346">
        <f t="shared" ref="O49" si="288">IF((N49+O56-O51)&lt;0,0,(N49+O56-O51))</f>
        <v>73920.286327476002</v>
      </c>
      <c r="P49" s="346">
        <f t="shared" ref="P49" si="289">IF((O49+P56-P51)&lt;0,0,(O49+P56-P51))</f>
        <v>80452.018452356002</v>
      </c>
      <c r="Q49" s="346">
        <f t="shared" ref="Q49" si="290">IF((P49+Q56-Q51)&lt;0,0,(P49+Q56-Q51))</f>
        <v>87690.753530228016</v>
      </c>
      <c r="R49" s="346">
        <f t="shared" ref="R49" si="291">IF((Q49+R56-R51)&lt;0,0,(Q49+R56-R51))</f>
        <v>87319.535929311882</v>
      </c>
      <c r="S49" s="346">
        <f t="shared" ref="S49" si="292">IF((R49+S56-S51)&lt;0,0,(R49+S56-S51))</f>
        <v>87681.467458787694</v>
      </c>
      <c r="T49" s="346">
        <f t="shared" ref="T49" si="293">IF((S49+T56-T51)&lt;0,0,(S49+T56-T51))</f>
        <v>87691.853007860263</v>
      </c>
      <c r="U49" s="346">
        <f t="shared" ref="U49" si="294">IF((T49+U56-U51)&lt;0,0,(T49+U56-U51))</f>
        <v>87812.763926079351</v>
      </c>
      <c r="V49" s="346">
        <f t="shared" ref="V49" si="295">IF((U49+V56-V51)&lt;0,0,(U49+V56-V51))</f>
        <v>87978.103030774582</v>
      </c>
      <c r="W49" s="346">
        <f t="shared" ref="W49" si="296">IF((V49+W56-W51)&lt;0,0,(V49+W56-W51))</f>
        <v>88357.413610693082</v>
      </c>
      <c r="X49" s="346">
        <f t="shared" ref="X49" si="297">IF((W49+X56-X51)&lt;0,0,(W49+X56-X51))</f>
        <v>88783.554123770577</v>
      </c>
      <c r="Y49" s="346">
        <f t="shared" ref="Y49" si="298">IF((X49+Y56-Y51)&lt;0,0,(X49+Y56-Y51))</f>
        <v>89468.915194196758</v>
      </c>
      <c r="Z49" s="346">
        <f t="shared" ref="Z49" si="299">IF((Y49+Z56-Z51)&lt;0,0,(Y49+Z56-Z51))</f>
        <v>89938.333840105115</v>
      </c>
      <c r="AA49" s="346">
        <f t="shared" ref="AA49" si="300">IF((Z49+AA56-AA51)&lt;0,0,(Z49+AA56-AA51))</f>
        <v>89376.417615843835</v>
      </c>
      <c r="AB49" s="346">
        <f t="shared" ref="AB49" si="301">IF((AA49+AB56-AB51)&lt;0,0,(AA49+AB56-AB51))</f>
        <v>89465.353497330158</v>
      </c>
      <c r="AC49" s="346">
        <f t="shared" ref="AC49" si="302">IF((AB49+AC56-AC51)&lt;0,0,(AB49+AC56-AC51))</f>
        <v>89512.260848020611</v>
      </c>
      <c r="AD49" s="346">
        <f t="shared" ref="AD49" si="303">IF((AC49+AD56-AD51)&lt;0,0,(AC49+AD56-AD51))</f>
        <v>88718.910590281972</v>
      </c>
      <c r="AE49" s="346">
        <f t="shared" ref="AE49" si="304">IF((AD49+AE56-AE51)&lt;0,0,(AD49+AE56-AE51))</f>
        <v>89588.194654771549</v>
      </c>
      <c r="AF49" s="346">
        <f t="shared" ref="AF49" si="305">IF((AE49+AF56-AF51)&lt;0,0,(AE49+AF56-AF51))</f>
        <v>89634.08145498966</v>
      </c>
      <c r="AG49" s="346">
        <f t="shared" ref="AG49" si="306">IF((AF49+AG56-AG51)&lt;0,0,(AF49+AG56-AG51))</f>
        <v>90063.133638762229</v>
      </c>
      <c r="AH49" s="346">
        <f t="shared" ref="AH49" si="307">IF((AG49+AH56-AH51)&lt;0,0,(AG49+AH56-AH51))</f>
        <v>90025.031524402802</v>
      </c>
      <c r="AI49" s="346">
        <f t="shared" ref="AI49" si="308">IF((AH49+AI56-AI51)&lt;0,0,(AH49+AI56-AI51))</f>
        <v>90286.534636809491</v>
      </c>
      <c r="AJ49" s="346">
        <f t="shared" ref="AJ49" si="309">IF((AI49+AJ56-AJ51)&lt;0,0,(AI49+AJ56-AJ51))</f>
        <v>90171.962935703341</v>
      </c>
      <c r="AK49" s="346">
        <f t="shared" ref="AK49" si="310">IF((AJ49+AK56-AK51)&lt;0,0,(AJ49+AK56-AK51))</f>
        <v>89991.824582001951</v>
      </c>
      <c r="AL49" s="346">
        <f t="shared" ref="AL49" si="311">IF((AK49+AL56-AL51)&lt;0,0,(AK49+AL56-AL51))</f>
        <v>90097.081973049571</v>
      </c>
      <c r="AM49" s="346">
        <f t="shared" ref="AM49" si="312">IF((AL49+AM56-AM51)&lt;0,0,(AL49+AM56-AM51))</f>
        <v>89816.263483302973</v>
      </c>
      <c r="AN49" s="346">
        <f t="shared" ref="AN49" si="313">IF((AM49+AN56-AN51)&lt;0,0,(AM49+AN56-AN51))</f>
        <v>89830.385807683546</v>
      </c>
      <c r="AO49" s="346">
        <f t="shared" ref="AO49" si="314">IF((AN49+AO56-AO51)&lt;0,0,(AN49+AO56-AO51))</f>
        <v>90691.927725335379</v>
      </c>
      <c r="AP49" s="346">
        <f t="shared" ref="AP49" si="315">IF((AO49+AP56-AP51)&lt;0,0,(AO49+AP56-AP51))</f>
        <v>89228.255814641598</v>
      </c>
      <c r="AQ49" s="346">
        <f t="shared" ref="AQ49" si="316">IF((AP49+AQ56-AQ51)&lt;0,0,(AP49+AQ56-AQ51))</f>
        <v>90225.070560796536</v>
      </c>
      <c r="AR49" s="346">
        <f t="shared" ref="AR49" si="317">IF((AQ49+AR56-AR51)&lt;0,0,(AQ49+AR56-AR51))</f>
        <v>90296.770104528638</v>
      </c>
      <c r="AS49" s="346">
        <f t="shared" ref="AS49" si="318">IF((AR49+AS56-AS51)&lt;0,0,(AR49+AS56-AS51))</f>
        <v>90788.917602122048</v>
      </c>
      <c r="AT49" s="346">
        <f t="shared" ref="AT49" si="319">IF((AS49+AT56-AT51)&lt;0,0,(AS49+AT56-AT51))</f>
        <v>90748.456021213249</v>
      </c>
      <c r="AU49" s="346">
        <f t="shared" ref="AU49" si="320">IF((AT49+AU56-AU51)&lt;0,0,(AT49+AU56-AU51))</f>
        <v>91046.162864050697</v>
      </c>
      <c r="AV49" s="346">
        <f t="shared" ref="AV49" si="321">IF((AU49+AV56-AV51)&lt;0,0,(AU49+AV56-AV51))</f>
        <v>90919.035491083807</v>
      </c>
      <c r="AW49" s="346">
        <f t="shared" ref="AW49" si="322">IF((AV49+AW56-AW51)&lt;0,0,(AV49+AW56-AW51))</f>
        <v>90710.010222723577</v>
      </c>
      <c r="AX49" s="346">
        <f t="shared" ref="AX49" si="323">IF((AW49+AX56-AX51)&lt;0,0,(AW49+AX56-AX51))</f>
        <v>90796.768273069349</v>
      </c>
      <c r="AY49" s="346">
        <f t="shared" ref="AY49" si="324">IF((AX49+AY56-AY51)&lt;0,0,(AX49+AY56-AY51))</f>
        <v>90477.506175925198</v>
      </c>
      <c r="AZ49" s="346">
        <f t="shared" ref="AZ49" si="325">IF((AY49+AZ56-AZ51)&lt;0,0,(AY49+AZ56-AZ51))</f>
        <v>90538.391619095404</v>
      </c>
      <c r="BA49" s="346">
        <f t="shared" ref="BA49" si="326">IF((AZ49+BA56-BA51)&lt;0,0,(AZ49+BA56-BA51))</f>
        <v>91496.250149607469</v>
      </c>
      <c r="BB49" s="346">
        <f t="shared" ref="BB49" si="327">IF((BA49+BB56-BB51)&lt;0,0,(BA49+BB56-BB51))</f>
        <v>89790.761994596658</v>
      </c>
      <c r="BC49" s="346">
        <f t="shared" ref="BC49" si="328">IF((BB49+BC56-BC51)&lt;0,0,(BB49+BC56-BC51))</f>
        <v>90924.262146816618</v>
      </c>
      <c r="BD49" s="346">
        <f t="shared" ref="BD49" si="329">IF((BC49+BD56-BD51)&lt;0,0,(BC49+BD56-BD51))</f>
        <v>91029.668328783591</v>
      </c>
      <c r="BE49" s="346">
        <f t="shared" ref="BE49" si="330">IF((BD49+BE56-BE51)&lt;0,0,(BD49+BE56-BE51))</f>
        <v>91593.68401656815</v>
      </c>
      <c r="BF49" s="346">
        <f t="shared" ref="BF49" si="331">IF((BE49+BF56-BF51)&lt;0,0,(BE49+BF56-BF51))</f>
        <v>91554.074698677607</v>
      </c>
      <c r="BG49" s="346">
        <f t="shared" ref="BG49" si="332">IF((BF49+BG56-BG51)&lt;0,0,(BF49+BG56-BG51))</f>
        <v>91892.885735910473</v>
      </c>
      <c r="BH49" s="346">
        <f t="shared" ref="BH49" si="333">IF((BG49+BH56-BH51)&lt;0,0,(BG49+BH56-BH51))</f>
        <v>91752.526830039729</v>
      </c>
      <c r="BI49" s="346">
        <f t="shared" ref="BI49" si="334">IF((BH49+BI56-BI51)&lt;0,0,(BH49+BI56-BI51))</f>
        <v>91510.184990933834</v>
      </c>
      <c r="BJ49" s="346">
        <f t="shared" ref="BJ49" si="335">IF((BI49+BJ56-BJ51)&lt;0,0,(BI49+BJ56-BJ51))</f>
        <v>91603.777440487247</v>
      </c>
      <c r="BK49" s="346">
        <f t="shared" ref="BK49" si="336">IF((BJ49+BK56-BK51)&lt;0,0,(BJ49+BK56-BK51))</f>
        <v>91301.217371475097</v>
      </c>
      <c r="BL49" s="346">
        <f t="shared" ref="BL49" si="337">IF((BK49+BL56-BL51)&lt;0,0,(BK49+BL56-BL51))</f>
        <v>91303.731660229096</v>
      </c>
      <c r="BM49" s="346">
        <f t="shared" ref="BM49" si="338">IF((BL49+BM56-BM51)&lt;0,0,(BL49+BM56-BM51))</f>
        <v>92425.874948556069</v>
      </c>
      <c r="BN49" s="346">
        <f t="shared" ref="BN49" si="339">IF((BM49+BN56-BN51)&lt;0,0,(BM49+BN56-BN51))</f>
        <v>90275.505989926474</v>
      </c>
      <c r="BO49" s="346">
        <f t="shared" ref="BO49" si="340">IF((BN49+BO56-BO51)&lt;0,0,(BN49+BO56-BO51))</f>
        <v>91546.753048536542</v>
      </c>
      <c r="BP49" s="346">
        <f t="shared" ref="BP49" si="341">IF((BO49+BP56-BP51)&lt;0,0,(BO49+BP56-BP51))</f>
        <v>91701.331004069216</v>
      </c>
      <c r="BQ49" s="346">
        <f t="shared" ref="BQ49" si="342">IF((BP49+BQ56-BQ51)&lt;0,0,(BP49+BQ56-BQ51))</f>
        <v>92340.719493663521</v>
      </c>
      <c r="BR49" s="346">
        <f t="shared" ref="BR49" si="343">IF((BQ49+BR56-BR51)&lt;0,0,(BQ49+BR56-BR51))</f>
        <v>92305.187769060067</v>
      </c>
      <c r="BS49" s="346">
        <f t="shared" ref="BS49" si="344">IF((BR49+BS56-BS51)&lt;0,0,(BR49+BS56-BS51))</f>
        <v>92685.513579929015</v>
      </c>
      <c r="BT49" s="346">
        <f t="shared" ref="BT49" si="345">IF((BS49+BT56-BT51)&lt;0,0,(BS49+BT56-BT51))</f>
        <v>92535.890455385277</v>
      </c>
      <c r="BU49" s="346">
        <f t="shared" ref="BU49" si="346">IF((BT49+BU56-BU51)&lt;0,0,(BT49+BU56-BU51))</f>
        <v>92259.682400890262</v>
      </c>
      <c r="BV49" s="346">
        <f t="shared" ref="BV49" si="347">IF((BU49+BV56-BV51)&lt;0,0,(BU49+BV56-BV51))</f>
        <v>92436.054538515658</v>
      </c>
      <c r="BW49" s="346">
        <f t="shared" ref="BW49" si="348">IF((BV49+BW56-BW51)&lt;0,0,(BV49+BW56-BW51))</f>
        <v>92025.298419425002</v>
      </c>
      <c r="BX49" s="346">
        <f t="shared" ref="BX49" si="349">IF((BW49+BX56-BX51)&lt;0,0,(BW49+BX56-BX51))</f>
        <v>92020.474234986366</v>
      </c>
      <c r="BY49" s="346">
        <f t="shared" ref="BY49" si="350">IF((BX49+BY56-BY51)&lt;0,0,(BX49+BY56-BY51))</f>
        <v>95442.239560086688</v>
      </c>
    </row>
    <row r="50" spans="1:77" ht="15.75" customHeight="1" x14ac:dyDescent="0.25">
      <c r="B50" s="162"/>
      <c r="C50" s="162"/>
      <c r="F50" s="346"/>
      <c r="G50" s="346"/>
      <c r="H50" s="346"/>
      <c r="I50" s="346"/>
      <c r="J50" s="346"/>
      <c r="K50" s="346"/>
      <c r="L50" s="346"/>
      <c r="M50" s="346"/>
      <c r="N50" s="346"/>
      <c r="O50" s="346"/>
      <c r="P50" s="346"/>
      <c r="Q50" s="346"/>
      <c r="R50" s="346"/>
      <c r="S50" s="346"/>
      <c r="T50" s="346"/>
      <c r="U50" s="346"/>
      <c r="V50" s="346"/>
      <c r="W50" s="346"/>
      <c r="X50" s="346"/>
      <c r="Y50" s="346"/>
      <c r="Z50" s="346"/>
      <c r="AA50" s="346"/>
      <c r="AB50" s="346"/>
      <c r="AC50" s="346"/>
      <c r="AD50" s="346"/>
      <c r="AE50" s="346"/>
      <c r="AF50" s="346"/>
      <c r="AG50" s="346"/>
      <c r="AH50" s="346"/>
      <c r="AI50" s="346"/>
      <c r="AJ50" s="346"/>
      <c r="AK50" s="346"/>
      <c r="AL50" s="346"/>
      <c r="AM50" s="346"/>
      <c r="AN50" s="346"/>
      <c r="AO50" s="346"/>
      <c r="AP50" s="346"/>
      <c r="AQ50" s="346"/>
      <c r="AR50" s="346"/>
      <c r="AS50" s="346"/>
      <c r="AT50" s="346"/>
      <c r="AU50" s="346"/>
      <c r="AV50" s="346"/>
      <c r="AW50" s="346"/>
      <c r="AX50" s="346"/>
      <c r="AY50" s="346"/>
      <c r="AZ50" s="346"/>
      <c r="BA50" s="346"/>
      <c r="BB50" s="346"/>
      <c r="BC50" s="346"/>
      <c r="BD50" s="346"/>
      <c r="BE50" s="346"/>
      <c r="BF50" s="346"/>
      <c r="BG50" s="346"/>
      <c r="BH50" s="346"/>
      <c r="BI50" s="346"/>
      <c r="BJ50" s="346"/>
      <c r="BK50" s="346"/>
      <c r="BL50" s="346"/>
      <c r="BM50" s="346"/>
      <c r="BN50" s="346"/>
      <c r="BO50" s="346"/>
      <c r="BP50" s="346"/>
      <c r="BQ50" s="346"/>
      <c r="BR50" s="346"/>
      <c r="BS50" s="346"/>
      <c r="BT50" s="346"/>
      <c r="BU50" s="346"/>
      <c r="BV50" s="346"/>
      <c r="BW50" s="346"/>
      <c r="BX50" s="346"/>
      <c r="BY50" s="346"/>
    </row>
    <row r="51" spans="1:77" ht="15.75" customHeight="1" x14ac:dyDescent="0.25">
      <c r="B51" s="328" t="s">
        <v>409</v>
      </c>
      <c r="C51" s="328" t="s">
        <v>4</v>
      </c>
      <c r="F51" s="349"/>
      <c r="G51" s="349"/>
      <c r="H51" s="349"/>
      <c r="I51" s="349"/>
      <c r="J51" s="349"/>
      <c r="K51" s="350"/>
      <c r="L51" s="350">
        <v>703.15</v>
      </c>
      <c r="M51" s="350">
        <v>444.29899999999998</v>
      </c>
      <c r="N51" s="350">
        <v>624.13099999999997</v>
      </c>
      <c r="O51" s="350">
        <v>1348.319</v>
      </c>
      <c r="P51" s="350">
        <v>922.08699999999999</v>
      </c>
      <c r="Q51" s="350">
        <v>838.39599999999996</v>
      </c>
      <c r="R51" s="350">
        <f t="shared" ref="R51:BK51" si="351">R52+R54</f>
        <v>7527.7290285161307</v>
      </c>
      <c r="S51" s="350">
        <f t="shared" si="351"/>
        <v>6912.7409021241938</v>
      </c>
      <c r="T51" s="350">
        <f>T52+T54</f>
        <v>8069.4722333274203</v>
      </c>
      <c r="U51" s="350">
        <f t="shared" si="351"/>
        <v>7988.4924942809139</v>
      </c>
      <c r="V51" s="350">
        <f t="shared" si="351"/>
        <v>8624.4187345322716</v>
      </c>
      <c r="W51" s="350">
        <f t="shared" si="351"/>
        <v>9037.2520756544418</v>
      </c>
      <c r="X51" s="350">
        <f t="shared" si="351"/>
        <v>10361.136036780068</v>
      </c>
      <c r="Y51" s="350">
        <f t="shared" si="351"/>
        <v>11801.610934088314</v>
      </c>
      <c r="Z51" s="350">
        <f t="shared" si="351"/>
        <v>12741.352560253466</v>
      </c>
      <c r="AA51" s="350">
        <f t="shared" si="351"/>
        <v>12819.494234460508</v>
      </c>
      <c r="AB51" s="350">
        <f t="shared" si="351"/>
        <v>11986.682502015574</v>
      </c>
      <c r="AC51" s="350">
        <f t="shared" si="351"/>
        <v>12547.561875307154</v>
      </c>
      <c r="AD51" s="350">
        <f t="shared" si="351"/>
        <v>11420.310844544425</v>
      </c>
      <c r="AE51" s="350">
        <f t="shared" si="351"/>
        <v>10676.457286114248</v>
      </c>
      <c r="AF51" s="350">
        <f t="shared" si="351"/>
        <v>12850.697531062749</v>
      </c>
      <c r="AG51" s="350">
        <f t="shared" si="351"/>
        <v>13081.238539166276</v>
      </c>
      <c r="AH51" s="350">
        <f t="shared" si="351"/>
        <v>13904.242617784843</v>
      </c>
      <c r="AI51" s="350">
        <f t="shared" si="351"/>
        <v>13784.950005845563</v>
      </c>
      <c r="AJ51" s="350">
        <f t="shared" si="351"/>
        <v>14345.102104556869</v>
      </c>
      <c r="AK51" s="350">
        <f t="shared" si="351"/>
        <v>13963.925639972669</v>
      </c>
      <c r="AL51" s="350">
        <f t="shared" si="351"/>
        <v>13486.50933418081</v>
      </c>
      <c r="AM51" s="350">
        <f t="shared" si="351"/>
        <v>13629.214251244397</v>
      </c>
      <c r="AN51" s="350">
        <f t="shared" si="351"/>
        <v>12937.573603969366</v>
      </c>
      <c r="AO51" s="350">
        <f t="shared" si="351"/>
        <v>14658.50116408633</v>
      </c>
      <c r="AP51" s="350">
        <f t="shared" si="351"/>
        <v>13353.808653911377</v>
      </c>
      <c r="AQ51" s="350">
        <f t="shared" si="351"/>
        <v>11975.528633944799</v>
      </c>
      <c r="AR51" s="350">
        <f t="shared" si="351"/>
        <v>14468.352638405348</v>
      </c>
      <c r="AS51" s="350">
        <f t="shared" si="351"/>
        <v>14760.02473740895</v>
      </c>
      <c r="AT51" s="350">
        <f t="shared" si="351"/>
        <v>15700.694836424093</v>
      </c>
      <c r="AU51" s="350">
        <f t="shared" si="351"/>
        <v>15571.854020793671</v>
      </c>
      <c r="AV51" s="350">
        <f t="shared" si="351"/>
        <v>16210.39771376114</v>
      </c>
      <c r="AW51" s="350">
        <f t="shared" si="351"/>
        <v>15773.912943621102</v>
      </c>
      <c r="AX51" s="350">
        <f t="shared" si="351"/>
        <v>15184.255794930086</v>
      </c>
      <c r="AY51" s="350">
        <f t="shared" si="351"/>
        <v>15307.539736345054</v>
      </c>
      <c r="AZ51" s="350">
        <f t="shared" si="351"/>
        <v>14590.024432568205</v>
      </c>
      <c r="BA51" s="350">
        <f t="shared" si="351"/>
        <v>16556.904163420884</v>
      </c>
      <c r="BB51" s="350">
        <f t="shared" si="351"/>
        <v>14990.640224516957</v>
      </c>
      <c r="BC51" s="350">
        <f t="shared" si="351"/>
        <v>13405.032380564753</v>
      </c>
      <c r="BD51" s="350">
        <f t="shared" si="351"/>
        <v>16252.233596322771</v>
      </c>
      <c r="BE51" s="350">
        <f t="shared" si="351"/>
        <v>16619.595941888459</v>
      </c>
      <c r="BF51" s="350">
        <f t="shared" si="351"/>
        <v>17697.776893517446</v>
      </c>
      <c r="BG51" s="350">
        <f t="shared" si="351"/>
        <v>17562.884718861729</v>
      </c>
      <c r="BH51" s="350">
        <f t="shared" si="351"/>
        <v>18290.687767275715</v>
      </c>
      <c r="BI51" s="350">
        <f t="shared" si="351"/>
        <v>17791.662939528247</v>
      </c>
      <c r="BJ51" s="350">
        <f t="shared" si="351"/>
        <v>17114.243397525443</v>
      </c>
      <c r="BK51" s="350">
        <f t="shared" si="351"/>
        <v>17333.641473176831</v>
      </c>
      <c r="BL51" s="350">
        <f t="shared" ref="BL51:BY51" si="352">BL52+BL54</f>
        <v>16485.21168570529</v>
      </c>
      <c r="BM51" s="350">
        <f t="shared" si="352"/>
        <v>18698.088906998528</v>
      </c>
      <c r="BN51" s="350">
        <f t="shared" si="352"/>
        <v>16637.686136553715</v>
      </c>
      <c r="BO51" s="350">
        <f t="shared" si="352"/>
        <v>14661.66509402731</v>
      </c>
      <c r="BP51" s="350">
        <f t="shared" si="352"/>
        <v>17868.785257465446</v>
      </c>
      <c r="BQ51" s="350">
        <f t="shared" si="352"/>
        <v>18337.108285107628</v>
      </c>
      <c r="BR51" s="350">
        <f t="shared" si="352"/>
        <v>19556.459714778888</v>
      </c>
      <c r="BS51" s="350">
        <f t="shared" si="352"/>
        <v>19423.676770870188</v>
      </c>
      <c r="BT51" s="350">
        <f t="shared" si="352"/>
        <v>20242.693776805721</v>
      </c>
      <c r="BU51" s="350">
        <f t="shared" si="352"/>
        <v>19684.282731609372</v>
      </c>
      <c r="BV51" s="350">
        <f t="shared" si="352"/>
        <v>19028.928744721707</v>
      </c>
      <c r="BW51" s="350">
        <f t="shared" si="352"/>
        <v>19237.558522171166</v>
      </c>
      <c r="BX51" s="350">
        <f t="shared" si="352"/>
        <v>18212.732338315433</v>
      </c>
      <c r="BY51" s="350">
        <f t="shared" si="352"/>
        <v>18595.022119997659</v>
      </c>
    </row>
    <row r="52" spans="1:77" ht="15.75" customHeight="1" x14ac:dyDescent="0.25">
      <c r="A52" s="342"/>
      <c r="B52" s="351" t="s">
        <v>406</v>
      </c>
      <c r="C52" s="342" t="s">
        <v>4</v>
      </c>
      <c r="D52" s="352"/>
      <c r="E52" s="352"/>
      <c r="F52" s="353"/>
      <c r="G52" s="353"/>
      <c r="H52" s="353"/>
      <c r="I52" s="353"/>
      <c r="J52" s="353"/>
      <c r="K52" s="353"/>
      <c r="L52" s="353"/>
      <c r="M52" s="353"/>
      <c r="N52" s="353"/>
      <c r="O52" s="353"/>
      <c r="P52" s="353"/>
      <c r="Q52" s="353"/>
      <c r="R52" s="353">
        <f t="shared" ref="R52:BK52" si="353">R56*R53+(R56*S55-S54)</f>
        <v>4270.8213358258072</v>
      </c>
      <c r="S52" s="353">
        <f t="shared" si="353"/>
        <v>4027.0508103500001</v>
      </c>
      <c r="T52" s="353">
        <f t="shared" si="353"/>
        <v>4821.85061207742</v>
      </c>
      <c r="U52" s="353">
        <f t="shared" si="353"/>
        <v>4730.4853239583335</v>
      </c>
      <c r="V52" s="353">
        <f t="shared" si="353"/>
        <v>5245.5006459906044</v>
      </c>
      <c r="W52" s="353">
        <f t="shared" si="353"/>
        <v>5492.9948824175472</v>
      </c>
      <c r="X52" s="353">
        <f t="shared" si="353"/>
        <v>6437.5682636246775</v>
      </c>
      <c r="Y52" s="353">
        <f t="shared" si="353"/>
        <v>7451.9026478554233</v>
      </c>
      <c r="Z52" s="353">
        <f t="shared" si="353"/>
        <v>7706.2832035943966</v>
      </c>
      <c r="AA52" s="353">
        <f t="shared" si="353"/>
        <v>7315.0062318930832</v>
      </c>
      <c r="AB52" s="353">
        <f t="shared" si="353"/>
        <v>7044.1107237094357</v>
      </c>
      <c r="AC52" s="353">
        <f t="shared" si="353"/>
        <v>7516.0542155147004</v>
      </c>
      <c r="AD52" s="353">
        <f t="shared" si="353"/>
        <v>6341.8958340615181</v>
      </c>
      <c r="AE52" s="353">
        <f t="shared" si="353"/>
        <v>6391.3925333699781</v>
      </c>
      <c r="AF52" s="353">
        <f t="shared" si="353"/>
        <v>7696.3487138288947</v>
      </c>
      <c r="AG52" s="353">
        <f t="shared" si="353"/>
        <v>7881.002921714321</v>
      </c>
      <c r="AH52" s="353">
        <f t="shared" si="353"/>
        <v>8274.9548165603264</v>
      </c>
      <c r="AI52" s="353">
        <f t="shared" si="353"/>
        <v>8193.7643189804785</v>
      </c>
      <c r="AJ52" s="353">
        <f t="shared" si="353"/>
        <v>8492.4133052850993</v>
      </c>
      <c r="AK52" s="353">
        <f t="shared" si="353"/>
        <v>8225.8085418070605</v>
      </c>
      <c r="AL52" s="353">
        <f t="shared" si="353"/>
        <v>7928.5305897165799</v>
      </c>
      <c r="AM52" s="353">
        <f t="shared" si="353"/>
        <v>7965.9781157325533</v>
      </c>
      <c r="AN52" s="353">
        <f t="shared" si="353"/>
        <v>7555.1559582041264</v>
      </c>
      <c r="AO52" s="353">
        <f t="shared" si="353"/>
        <v>9261.9611939405258</v>
      </c>
      <c r="AP52" s="353">
        <f t="shared" si="353"/>
        <v>7095.7267661137248</v>
      </c>
      <c r="AQ52" s="353">
        <f t="shared" si="353"/>
        <v>7181.1186568409303</v>
      </c>
      <c r="AR52" s="353">
        <f t="shared" si="353"/>
        <v>8677.1279151465333</v>
      </c>
      <c r="AS52" s="353">
        <f t="shared" si="353"/>
        <v>8897.1004704180486</v>
      </c>
      <c r="AT52" s="353">
        <f t="shared" si="353"/>
        <v>9345.623071839771</v>
      </c>
      <c r="AU52" s="353">
        <f t="shared" si="353"/>
        <v>9257.2438371181506</v>
      </c>
      <c r="AV52" s="353">
        <f t="shared" si="353"/>
        <v>9598.0806872481753</v>
      </c>
      <c r="AW52" s="353">
        <f t="shared" si="353"/>
        <v>9288.7232900750387</v>
      </c>
      <c r="AX52" s="353">
        <f t="shared" si="353"/>
        <v>8908.0914097442474</v>
      </c>
      <c r="AY52" s="353">
        <f t="shared" si="353"/>
        <v>8944.6173008134465</v>
      </c>
      <c r="AZ52" s="353">
        <f t="shared" si="353"/>
        <v>8546.3640941807407</v>
      </c>
      <c r="BA52" s="353">
        <f t="shared" si="353"/>
        <v>10452.358381863211</v>
      </c>
      <c r="BB52" s="353">
        <f t="shared" si="353"/>
        <v>7928.2359124472196</v>
      </c>
      <c r="BC52" s="353">
        <f t="shared" si="353"/>
        <v>8048.1162235058209</v>
      </c>
      <c r="BD52" s="353">
        <f t="shared" si="353"/>
        <v>9761.8172870438812</v>
      </c>
      <c r="BE52" s="353">
        <f t="shared" si="353"/>
        <v>10023.773450642593</v>
      </c>
      <c r="BF52" s="353">
        <f t="shared" si="353"/>
        <v>10537.93871448702</v>
      </c>
      <c r="BG52" s="353">
        <f t="shared" si="353"/>
        <v>10442.655857721853</v>
      </c>
      <c r="BH52" s="353">
        <f t="shared" si="353"/>
        <v>10831.647868902965</v>
      </c>
      <c r="BI52" s="353">
        <f t="shared" si="353"/>
        <v>10472.981947026245</v>
      </c>
      <c r="BJ52" s="353">
        <f t="shared" si="353"/>
        <v>10037.904244129331</v>
      </c>
      <c r="BK52" s="353">
        <f t="shared" si="353"/>
        <v>10163.709870227311</v>
      </c>
      <c r="BL52" s="353">
        <f t="shared" ref="BL52" si="354">BL56*BL53+(BL56*BM55-BM54)</f>
        <v>9617.8401517679176</v>
      </c>
      <c r="BM52" s="353">
        <f t="shared" ref="BM52" si="355">BM56*BM53+(BM56*BN55-BN54)</f>
        <v>11828.203084307155</v>
      </c>
      <c r="BN52" s="353">
        <f t="shared" ref="BN52" si="356">BN56*BN53+(BN56*BO55-BO54)</f>
        <v>8645.657025535369</v>
      </c>
      <c r="BO52" s="353">
        <f t="shared" ref="BO52" si="357">BO56*BO53+(BO56*BP55-BP54)</f>
        <v>8820.0049416385482</v>
      </c>
      <c r="BP52" s="353">
        <f t="shared" ref="BP52" si="358">BP56*BP53+(BP56*BQ55-BQ54)</f>
        <v>10755.878046466616</v>
      </c>
      <c r="BQ52" s="353">
        <f t="shared" ref="BQ52" si="359">BQ56*BQ53+(BQ56*BR55-BR54)</f>
        <v>11069.623118576132</v>
      </c>
      <c r="BR52" s="353">
        <f t="shared" ref="BR52" si="360">BR56*BR53+(BR56*BS55-BS54)</f>
        <v>11649.586058653082</v>
      </c>
      <c r="BS52" s="353">
        <f t="shared" ref="BS52" si="361">BS56*BS53+(BS56*BT55-BT54)</f>
        <v>11552.334839347834</v>
      </c>
      <c r="BT52" s="353">
        <f t="shared" ref="BT52" si="362">BT56*BT53+(BT56*BU55-BU54)</f>
        <v>11991.026034414412</v>
      </c>
      <c r="BU52" s="353">
        <f t="shared" ref="BU52" si="363">BU56*BU53+(BU56*BV55-BV54)</f>
        <v>11582.238113761796</v>
      </c>
      <c r="BV52" s="353">
        <f t="shared" ref="BV52" si="364">BV56*BV53+(BV56*BW55-BW54)</f>
        <v>11203.092181369142</v>
      </c>
      <c r="BW52" s="353">
        <f t="shared" ref="BW52" si="365">BW56*BW53+(BW56*BX55-BX54)</f>
        <v>11235.349821193207</v>
      </c>
      <c r="BX52" s="353">
        <f t="shared" ref="BX52" si="366">BX56*BX53+(BX56*BY55-BY54)</f>
        <v>10621.27975642813</v>
      </c>
      <c r="BY52" s="353">
        <f t="shared" ref="BY52" si="367">BY56*BY53+(BY56*BZ55-BZ54)</f>
        <v>11008.393722548994</v>
      </c>
    </row>
    <row r="53" spans="1:77" ht="15.75" customHeight="1" x14ac:dyDescent="0.25">
      <c r="A53" s="342"/>
      <c r="B53" s="354" t="s">
        <v>410</v>
      </c>
      <c r="C53" s="355" t="s">
        <v>59</v>
      </c>
      <c r="D53" s="355"/>
      <c r="E53" s="352"/>
      <c r="F53" s="356"/>
      <c r="G53" s="356"/>
      <c r="H53" s="356"/>
      <c r="I53" s="356"/>
      <c r="J53" s="356"/>
      <c r="K53" s="357">
        <f>C29</f>
        <v>0.5</v>
      </c>
      <c r="L53" s="357">
        <f>K53</f>
        <v>0.5</v>
      </c>
      <c r="M53" s="357">
        <f t="shared" ref="M53:O53" si="368">L53</f>
        <v>0.5</v>
      </c>
      <c r="N53" s="357">
        <f t="shared" si="368"/>
        <v>0.5</v>
      </c>
      <c r="O53" s="357">
        <f t="shared" si="368"/>
        <v>0.5</v>
      </c>
      <c r="P53" s="357">
        <f t="shared" ref="P53" si="369">O53</f>
        <v>0.5</v>
      </c>
      <c r="Q53" s="357">
        <f t="shared" ref="Q53" si="370">P53</f>
        <v>0.5</v>
      </c>
      <c r="R53" s="357">
        <f t="shared" ref="R53" si="371">Q53</f>
        <v>0.5</v>
      </c>
      <c r="S53" s="357">
        <f t="shared" ref="S53" si="372">R53</f>
        <v>0.5</v>
      </c>
      <c r="T53" s="357">
        <f t="shared" ref="T53" si="373">S53</f>
        <v>0.5</v>
      </c>
      <c r="U53" s="357">
        <f t="shared" ref="U53" si="374">T53</f>
        <v>0.5</v>
      </c>
      <c r="V53" s="357">
        <f t="shared" ref="V53" si="375">U53</f>
        <v>0.5</v>
      </c>
      <c r="W53" s="357">
        <f t="shared" ref="W53" si="376">V53</f>
        <v>0.5</v>
      </c>
      <c r="X53" s="357">
        <f t="shared" ref="X53" si="377">W53</f>
        <v>0.5</v>
      </c>
      <c r="Y53" s="357">
        <f t="shared" ref="Y53" si="378">X53</f>
        <v>0.5</v>
      </c>
      <c r="Z53" s="357">
        <f t="shared" ref="Z53" si="379">Y53</f>
        <v>0.5</v>
      </c>
      <c r="AA53" s="357">
        <f t="shared" ref="AA53" si="380">Z53</f>
        <v>0.5</v>
      </c>
      <c r="AB53" s="357">
        <f t="shared" ref="AB53" si="381">AA53</f>
        <v>0.5</v>
      </c>
      <c r="AC53" s="357">
        <f t="shared" ref="AC53" si="382">AB53</f>
        <v>0.5</v>
      </c>
      <c r="AD53" s="357">
        <f t="shared" ref="AD53" si="383">AC53</f>
        <v>0.5</v>
      </c>
      <c r="AE53" s="357">
        <f t="shared" ref="AE53" si="384">AD53</f>
        <v>0.5</v>
      </c>
      <c r="AF53" s="357">
        <f t="shared" ref="AF53" si="385">AE53</f>
        <v>0.5</v>
      </c>
      <c r="AG53" s="357">
        <f t="shared" ref="AG53" si="386">AF53</f>
        <v>0.5</v>
      </c>
      <c r="AH53" s="357">
        <f t="shared" ref="AH53" si="387">AG53</f>
        <v>0.5</v>
      </c>
      <c r="AI53" s="357">
        <f t="shared" ref="AI53" si="388">AH53</f>
        <v>0.5</v>
      </c>
      <c r="AJ53" s="357">
        <f t="shared" ref="AJ53" si="389">AI53</f>
        <v>0.5</v>
      </c>
      <c r="AK53" s="357">
        <f t="shared" ref="AK53" si="390">AJ53</f>
        <v>0.5</v>
      </c>
      <c r="AL53" s="357">
        <f t="shared" ref="AL53" si="391">AK53</f>
        <v>0.5</v>
      </c>
      <c r="AM53" s="357">
        <f t="shared" ref="AM53" si="392">AL53</f>
        <v>0.5</v>
      </c>
      <c r="AN53" s="357">
        <f t="shared" ref="AN53" si="393">AM53</f>
        <v>0.5</v>
      </c>
      <c r="AO53" s="357">
        <f t="shared" ref="AO53" si="394">AN53</f>
        <v>0.5</v>
      </c>
      <c r="AP53" s="357">
        <f t="shared" ref="AP53" si="395">AO53</f>
        <v>0.5</v>
      </c>
      <c r="AQ53" s="357">
        <f t="shared" ref="AQ53" si="396">AP53</f>
        <v>0.5</v>
      </c>
      <c r="AR53" s="357">
        <f t="shared" ref="AR53" si="397">AQ53</f>
        <v>0.5</v>
      </c>
      <c r="AS53" s="357">
        <f t="shared" ref="AS53" si="398">AR53</f>
        <v>0.5</v>
      </c>
      <c r="AT53" s="357">
        <f t="shared" ref="AT53" si="399">AS53</f>
        <v>0.5</v>
      </c>
      <c r="AU53" s="357">
        <f t="shared" ref="AU53" si="400">AT53</f>
        <v>0.5</v>
      </c>
      <c r="AV53" s="357">
        <f t="shared" ref="AV53" si="401">AU53</f>
        <v>0.5</v>
      </c>
      <c r="AW53" s="357">
        <f t="shared" ref="AW53" si="402">AV53</f>
        <v>0.5</v>
      </c>
      <c r="AX53" s="357">
        <f t="shared" ref="AX53" si="403">AW53</f>
        <v>0.5</v>
      </c>
      <c r="AY53" s="357">
        <f t="shared" ref="AY53" si="404">AX53</f>
        <v>0.5</v>
      </c>
      <c r="AZ53" s="357">
        <f t="shared" ref="AZ53" si="405">AY53</f>
        <v>0.5</v>
      </c>
      <c r="BA53" s="357">
        <f t="shared" ref="BA53" si="406">AZ53</f>
        <v>0.5</v>
      </c>
      <c r="BB53" s="357">
        <f t="shared" ref="BB53" si="407">BA53</f>
        <v>0.5</v>
      </c>
      <c r="BC53" s="357">
        <f t="shared" ref="BC53" si="408">BB53</f>
        <v>0.5</v>
      </c>
      <c r="BD53" s="357">
        <f t="shared" ref="BD53" si="409">BC53</f>
        <v>0.5</v>
      </c>
      <c r="BE53" s="357">
        <f t="shared" ref="BE53" si="410">BD53</f>
        <v>0.5</v>
      </c>
      <c r="BF53" s="357">
        <f t="shared" ref="BF53" si="411">BE53</f>
        <v>0.5</v>
      </c>
      <c r="BG53" s="357">
        <f t="shared" ref="BG53" si="412">BF53</f>
        <v>0.5</v>
      </c>
      <c r="BH53" s="357">
        <f t="shared" ref="BH53" si="413">BG53</f>
        <v>0.5</v>
      </c>
      <c r="BI53" s="357">
        <f t="shared" ref="BI53" si="414">BH53</f>
        <v>0.5</v>
      </c>
      <c r="BJ53" s="357">
        <f t="shared" ref="BJ53" si="415">BI53</f>
        <v>0.5</v>
      </c>
      <c r="BK53" s="357">
        <f t="shared" ref="BK53" si="416">BJ53</f>
        <v>0.5</v>
      </c>
      <c r="BL53" s="357">
        <f t="shared" ref="BL53" si="417">BK53</f>
        <v>0.5</v>
      </c>
      <c r="BM53" s="357">
        <f t="shared" ref="BM53" si="418">BL53</f>
        <v>0.5</v>
      </c>
      <c r="BN53" s="357">
        <f t="shared" ref="BN53" si="419">BM53</f>
        <v>0.5</v>
      </c>
      <c r="BO53" s="357">
        <f t="shared" ref="BO53" si="420">BN53</f>
        <v>0.5</v>
      </c>
      <c r="BP53" s="357">
        <f t="shared" ref="BP53" si="421">BO53</f>
        <v>0.5</v>
      </c>
      <c r="BQ53" s="357">
        <f t="shared" ref="BQ53" si="422">BP53</f>
        <v>0.5</v>
      </c>
      <c r="BR53" s="357">
        <f t="shared" ref="BR53" si="423">BQ53</f>
        <v>0.5</v>
      </c>
      <c r="BS53" s="357">
        <f t="shared" ref="BS53" si="424">BR53</f>
        <v>0.5</v>
      </c>
      <c r="BT53" s="357">
        <f t="shared" ref="BT53" si="425">BS53</f>
        <v>0.5</v>
      </c>
      <c r="BU53" s="357">
        <f t="shared" ref="BU53" si="426">BT53</f>
        <v>0.5</v>
      </c>
      <c r="BV53" s="357">
        <f t="shared" ref="BV53" si="427">BU53</f>
        <v>0.5</v>
      </c>
      <c r="BW53" s="357">
        <f t="shared" ref="BW53" si="428">BV53</f>
        <v>0.5</v>
      </c>
      <c r="BX53" s="357">
        <f t="shared" ref="BX53" si="429">BW53</f>
        <v>0.5</v>
      </c>
      <c r="BY53" s="357">
        <f t="shared" ref="BY53" si="430">BX53</f>
        <v>0.5</v>
      </c>
    </row>
    <row r="54" spans="1:77" ht="15.75" customHeight="1" x14ac:dyDescent="0.25">
      <c r="A54" s="342"/>
      <c r="B54" s="351" t="s">
        <v>407</v>
      </c>
      <c r="C54" s="342" t="s">
        <v>4</v>
      </c>
      <c r="D54" s="352"/>
      <c r="E54" s="361"/>
      <c r="F54" s="353"/>
      <c r="G54" s="353"/>
      <c r="H54" s="353"/>
      <c r="I54" s="353"/>
      <c r="J54" s="353"/>
      <c r="K54" s="353"/>
      <c r="L54" s="353"/>
      <c r="M54" s="353"/>
      <c r="N54" s="353"/>
      <c r="O54" s="353"/>
      <c r="P54" s="353"/>
      <c r="Q54" s="353"/>
      <c r="R54" s="353">
        <f t="shared" ref="R54:BK54" si="431">Q56*R55*$D55/Q33</f>
        <v>3256.9076926903231</v>
      </c>
      <c r="S54" s="353">
        <f t="shared" si="431"/>
        <v>2885.6900917741937</v>
      </c>
      <c r="T54" s="353">
        <f t="shared" si="431"/>
        <v>3247.6216212499999</v>
      </c>
      <c r="U54" s="353">
        <f t="shared" si="431"/>
        <v>3258.0071703225808</v>
      </c>
      <c r="V54" s="353">
        <f t="shared" si="431"/>
        <v>3378.9180885416663</v>
      </c>
      <c r="W54" s="353">
        <f t="shared" si="431"/>
        <v>3544.2571932368946</v>
      </c>
      <c r="X54" s="353">
        <f t="shared" si="431"/>
        <v>3923.5677731553906</v>
      </c>
      <c r="Y54" s="353">
        <f t="shared" si="431"/>
        <v>4349.7082862328907</v>
      </c>
      <c r="Z54" s="353">
        <f t="shared" si="431"/>
        <v>5035.0693566590699</v>
      </c>
      <c r="AA54" s="353">
        <f t="shared" si="431"/>
        <v>5504.4880025674256</v>
      </c>
      <c r="AB54" s="353">
        <f t="shared" si="431"/>
        <v>4942.5717783061373</v>
      </c>
      <c r="AC54" s="353">
        <f t="shared" si="431"/>
        <v>5031.5076597924535</v>
      </c>
      <c r="AD54" s="353">
        <f t="shared" si="431"/>
        <v>5078.4150104829068</v>
      </c>
      <c r="AE54" s="353">
        <f t="shared" si="431"/>
        <v>4285.0647527442698</v>
      </c>
      <c r="AF54" s="353">
        <f t="shared" si="431"/>
        <v>5154.3488172338539</v>
      </c>
      <c r="AG54" s="353">
        <f t="shared" si="431"/>
        <v>5200.2356174519555</v>
      </c>
      <c r="AH54" s="353">
        <f t="shared" si="431"/>
        <v>5629.2878012245155</v>
      </c>
      <c r="AI54" s="353">
        <f t="shared" si="431"/>
        <v>5591.1856868650857</v>
      </c>
      <c r="AJ54" s="353">
        <f t="shared" si="431"/>
        <v>5852.6887992717693</v>
      </c>
      <c r="AK54" s="353">
        <f t="shared" si="431"/>
        <v>5738.1170981656078</v>
      </c>
      <c r="AL54" s="353">
        <f t="shared" si="431"/>
        <v>5557.9787444642297</v>
      </c>
      <c r="AM54" s="353">
        <f t="shared" si="431"/>
        <v>5663.2361355118428</v>
      </c>
      <c r="AN54" s="353">
        <f t="shared" si="431"/>
        <v>5382.4176457652384</v>
      </c>
      <c r="AO54" s="353">
        <f t="shared" si="431"/>
        <v>5396.5399701458045</v>
      </c>
      <c r="AP54" s="353">
        <f t="shared" si="431"/>
        <v>6258.0818877976526</v>
      </c>
      <c r="AQ54" s="353">
        <f t="shared" si="431"/>
        <v>4794.4099771038691</v>
      </c>
      <c r="AR54" s="353">
        <f t="shared" si="431"/>
        <v>5791.2247232588143</v>
      </c>
      <c r="AS54" s="353">
        <f t="shared" si="431"/>
        <v>5862.9242669909017</v>
      </c>
      <c r="AT54" s="353">
        <f t="shared" si="431"/>
        <v>6355.0717645843215</v>
      </c>
      <c r="AU54" s="353">
        <f t="shared" si="431"/>
        <v>6314.6101836755197</v>
      </c>
      <c r="AV54" s="353">
        <f t="shared" si="431"/>
        <v>6612.3170265129647</v>
      </c>
      <c r="AW54" s="353">
        <f t="shared" si="431"/>
        <v>6485.1896535460637</v>
      </c>
      <c r="AX54" s="353">
        <f t="shared" si="431"/>
        <v>6276.164385185838</v>
      </c>
      <c r="AY54" s="353">
        <f t="shared" si="431"/>
        <v>6362.9224355316064</v>
      </c>
      <c r="AZ54" s="353">
        <f t="shared" si="431"/>
        <v>6043.6603383874644</v>
      </c>
      <c r="BA54" s="353">
        <f t="shared" si="431"/>
        <v>6104.5457815576719</v>
      </c>
      <c r="BB54" s="353">
        <f t="shared" si="431"/>
        <v>7062.4043120697379</v>
      </c>
      <c r="BC54" s="353">
        <f t="shared" si="431"/>
        <v>5356.9161570589322</v>
      </c>
      <c r="BD54" s="353">
        <f t="shared" si="431"/>
        <v>6490.4163092788885</v>
      </c>
      <c r="BE54" s="353">
        <f t="shared" si="431"/>
        <v>6595.8224912458663</v>
      </c>
      <c r="BF54" s="353">
        <f t="shared" si="431"/>
        <v>7159.8381790304247</v>
      </c>
      <c r="BG54" s="353">
        <f t="shared" si="431"/>
        <v>7120.2288611398772</v>
      </c>
      <c r="BH54" s="353">
        <f t="shared" si="431"/>
        <v>7459.0398983727509</v>
      </c>
      <c r="BI54" s="353">
        <f t="shared" si="431"/>
        <v>7318.6809925020025</v>
      </c>
      <c r="BJ54" s="353">
        <f t="shared" si="431"/>
        <v>7076.3391533961112</v>
      </c>
      <c r="BK54" s="353">
        <f t="shared" si="431"/>
        <v>7169.9316029495212</v>
      </c>
      <c r="BL54" s="353">
        <f t="shared" ref="BL54" si="432">BK56*BL55*$D55/BK33</f>
        <v>6867.3715339373712</v>
      </c>
      <c r="BM54" s="353">
        <f t="shared" ref="BM54" si="433">BL56*BM55*$D55/BL33</f>
        <v>6869.8858226913708</v>
      </c>
      <c r="BN54" s="353">
        <f t="shared" ref="BN54" si="434">BM56*BN55*$D55/BM33</f>
        <v>7992.0291110183471</v>
      </c>
      <c r="BO54" s="353">
        <f t="shared" ref="BO54" si="435">BN56*BO55*$D55/BN33</f>
        <v>5841.660152388763</v>
      </c>
      <c r="BP54" s="353">
        <f t="shared" ref="BP54" si="436">BO56*BP55*$D55/BO33</f>
        <v>7112.9072109988292</v>
      </c>
      <c r="BQ54" s="353">
        <f t="shared" ref="BQ54" si="437">BP56*BQ55*$D55/BP33</f>
        <v>7267.4851665314973</v>
      </c>
      <c r="BR54" s="353">
        <f t="shared" ref="BR54" si="438">BQ56*BR55*$D55/BQ33</f>
        <v>7906.8736561258083</v>
      </c>
      <c r="BS54" s="353">
        <f t="shared" ref="BS54" si="439">BR56*BS55*$D55/BR33</f>
        <v>7871.3419315223528</v>
      </c>
      <c r="BT54" s="353">
        <f t="shared" ref="BT54" si="440">BS56*BT55*$D55/BS33</f>
        <v>8251.6677423913097</v>
      </c>
      <c r="BU54" s="353">
        <f t="shared" ref="BU54" si="441">BT56*BU55*$D55/BT33</f>
        <v>8102.044617847575</v>
      </c>
      <c r="BV54" s="353">
        <f t="shared" ref="BV54" si="442">BU56*BV55*$D55/BU33</f>
        <v>7825.8365633525646</v>
      </c>
      <c r="BW54" s="353">
        <f t="shared" ref="BW54" si="443">BV56*BW55*$D55/BV33</f>
        <v>8002.2087009779598</v>
      </c>
      <c r="BX54" s="353">
        <f t="shared" ref="BX54" si="444">BW56*BX55*$D55/BW33</f>
        <v>7591.4525818873026</v>
      </c>
      <c r="BY54" s="353">
        <f t="shared" ref="BY54" si="445">BX56*BY55*$D55/BX33</f>
        <v>7586.6283974486632</v>
      </c>
    </row>
    <row r="55" spans="1:77" ht="15.75" customHeight="1" x14ac:dyDescent="0.25">
      <c r="B55" s="354" t="s">
        <v>411</v>
      </c>
      <c r="C55" s="355" t="s">
        <v>59</v>
      </c>
      <c r="D55" s="355">
        <v>25</v>
      </c>
      <c r="E55" s="352"/>
      <c r="F55" s="356"/>
      <c r="G55" s="356"/>
      <c r="H55" s="356"/>
      <c r="I55" s="356"/>
      <c r="J55" s="356"/>
      <c r="K55" s="356"/>
      <c r="L55" s="357">
        <f t="shared" ref="L55:O55" si="446">1-K53</f>
        <v>0.5</v>
      </c>
      <c r="M55" s="357">
        <f t="shared" si="446"/>
        <v>0.5</v>
      </c>
      <c r="N55" s="357">
        <f t="shared" si="446"/>
        <v>0.5</v>
      </c>
      <c r="O55" s="357">
        <f t="shared" si="446"/>
        <v>0.5</v>
      </c>
      <c r="P55" s="357">
        <f t="shared" ref="P55" si="447">1-O53</f>
        <v>0.5</v>
      </c>
      <c r="Q55" s="357">
        <f t="shared" ref="Q55" si="448">1-P53</f>
        <v>0.5</v>
      </c>
      <c r="R55" s="357">
        <f t="shared" ref="R55" si="449">1-Q53</f>
        <v>0.5</v>
      </c>
      <c r="S55" s="357">
        <f t="shared" ref="S55" si="450">1-R53</f>
        <v>0.5</v>
      </c>
      <c r="T55" s="357">
        <f t="shared" ref="T55" si="451">1-S53</f>
        <v>0.5</v>
      </c>
      <c r="U55" s="357">
        <f t="shared" ref="U55" si="452">1-T53</f>
        <v>0.5</v>
      </c>
      <c r="V55" s="357">
        <f t="shared" ref="V55" si="453">1-U53</f>
        <v>0.5</v>
      </c>
      <c r="W55" s="357">
        <f t="shared" ref="W55" si="454">1-V53</f>
        <v>0.5</v>
      </c>
      <c r="X55" s="357">
        <f t="shared" ref="X55" si="455">1-W53</f>
        <v>0.5</v>
      </c>
      <c r="Y55" s="357">
        <f t="shared" ref="Y55" si="456">1-X53</f>
        <v>0.5</v>
      </c>
      <c r="Z55" s="357">
        <f t="shared" ref="Z55" si="457">1-Y53</f>
        <v>0.5</v>
      </c>
      <c r="AA55" s="357">
        <f t="shared" ref="AA55" si="458">1-Z53</f>
        <v>0.5</v>
      </c>
      <c r="AB55" s="357">
        <f t="shared" ref="AB55" si="459">1-AA53</f>
        <v>0.5</v>
      </c>
      <c r="AC55" s="357">
        <f t="shared" ref="AC55" si="460">1-AB53</f>
        <v>0.5</v>
      </c>
      <c r="AD55" s="357">
        <f t="shared" ref="AD55" si="461">1-AC53</f>
        <v>0.5</v>
      </c>
      <c r="AE55" s="357">
        <f t="shared" ref="AE55" si="462">1-AD53</f>
        <v>0.5</v>
      </c>
      <c r="AF55" s="357">
        <f t="shared" ref="AF55" si="463">1-AE53</f>
        <v>0.5</v>
      </c>
      <c r="AG55" s="357">
        <f t="shared" ref="AG55" si="464">1-AF53</f>
        <v>0.5</v>
      </c>
      <c r="AH55" s="357">
        <f t="shared" ref="AH55" si="465">1-AG53</f>
        <v>0.5</v>
      </c>
      <c r="AI55" s="357">
        <f t="shared" ref="AI55" si="466">1-AH53</f>
        <v>0.5</v>
      </c>
      <c r="AJ55" s="357">
        <f t="shared" ref="AJ55" si="467">1-AI53</f>
        <v>0.5</v>
      </c>
      <c r="AK55" s="357">
        <f t="shared" ref="AK55" si="468">1-AJ53</f>
        <v>0.5</v>
      </c>
      <c r="AL55" s="357">
        <f t="shared" ref="AL55" si="469">1-AK53</f>
        <v>0.5</v>
      </c>
      <c r="AM55" s="357">
        <f t="shared" ref="AM55" si="470">1-AL53</f>
        <v>0.5</v>
      </c>
      <c r="AN55" s="357">
        <f t="shared" ref="AN55" si="471">1-AM53</f>
        <v>0.5</v>
      </c>
      <c r="AO55" s="357">
        <f t="shared" ref="AO55" si="472">1-AN53</f>
        <v>0.5</v>
      </c>
      <c r="AP55" s="357">
        <f t="shared" ref="AP55" si="473">1-AO53</f>
        <v>0.5</v>
      </c>
      <c r="AQ55" s="357">
        <f t="shared" ref="AQ55" si="474">1-AP53</f>
        <v>0.5</v>
      </c>
      <c r="AR55" s="357">
        <f t="shared" ref="AR55" si="475">1-AQ53</f>
        <v>0.5</v>
      </c>
      <c r="AS55" s="357">
        <f t="shared" ref="AS55" si="476">1-AR53</f>
        <v>0.5</v>
      </c>
      <c r="AT55" s="357">
        <f t="shared" ref="AT55" si="477">1-AS53</f>
        <v>0.5</v>
      </c>
      <c r="AU55" s="357">
        <f t="shared" ref="AU55" si="478">1-AT53</f>
        <v>0.5</v>
      </c>
      <c r="AV55" s="357">
        <f t="shared" ref="AV55" si="479">1-AU53</f>
        <v>0.5</v>
      </c>
      <c r="AW55" s="357">
        <f t="shared" ref="AW55" si="480">1-AV53</f>
        <v>0.5</v>
      </c>
      <c r="AX55" s="357">
        <f t="shared" ref="AX55" si="481">1-AW53</f>
        <v>0.5</v>
      </c>
      <c r="AY55" s="357">
        <f t="shared" ref="AY55" si="482">1-AX53</f>
        <v>0.5</v>
      </c>
      <c r="AZ55" s="357">
        <f t="shared" ref="AZ55" si="483">1-AY53</f>
        <v>0.5</v>
      </c>
      <c r="BA55" s="357">
        <f t="shared" ref="BA55" si="484">1-AZ53</f>
        <v>0.5</v>
      </c>
      <c r="BB55" s="357">
        <f t="shared" ref="BB55" si="485">1-BA53</f>
        <v>0.5</v>
      </c>
      <c r="BC55" s="357">
        <f t="shared" ref="BC55" si="486">1-BB53</f>
        <v>0.5</v>
      </c>
      <c r="BD55" s="357">
        <f t="shared" ref="BD55" si="487">1-BC53</f>
        <v>0.5</v>
      </c>
      <c r="BE55" s="357">
        <f t="shared" ref="BE55" si="488">1-BD53</f>
        <v>0.5</v>
      </c>
      <c r="BF55" s="357">
        <f t="shared" ref="BF55" si="489">1-BE53</f>
        <v>0.5</v>
      </c>
      <c r="BG55" s="357">
        <f t="shared" ref="BG55" si="490">1-BF53</f>
        <v>0.5</v>
      </c>
      <c r="BH55" s="357">
        <f t="shared" ref="BH55" si="491">1-BG53</f>
        <v>0.5</v>
      </c>
      <c r="BI55" s="357">
        <f t="shared" ref="BI55" si="492">1-BH53</f>
        <v>0.5</v>
      </c>
      <c r="BJ55" s="357">
        <f t="shared" ref="BJ55" si="493">1-BI53</f>
        <v>0.5</v>
      </c>
      <c r="BK55" s="357">
        <f t="shared" ref="BK55" si="494">1-BJ53</f>
        <v>0.5</v>
      </c>
      <c r="BL55" s="357">
        <f t="shared" ref="BL55" si="495">1-BK53</f>
        <v>0.5</v>
      </c>
      <c r="BM55" s="357">
        <f t="shared" ref="BM55" si="496">1-BL53</f>
        <v>0.5</v>
      </c>
      <c r="BN55" s="357">
        <f t="shared" ref="BN55" si="497">1-BM53</f>
        <v>0.5</v>
      </c>
      <c r="BO55" s="357">
        <f t="shared" ref="BO55" si="498">1-BN53</f>
        <v>0.5</v>
      </c>
      <c r="BP55" s="357">
        <f t="shared" ref="BP55" si="499">1-BO53</f>
        <v>0.5</v>
      </c>
      <c r="BQ55" s="357">
        <f t="shared" ref="BQ55" si="500">1-BP53</f>
        <v>0.5</v>
      </c>
      <c r="BR55" s="357">
        <f t="shared" ref="BR55" si="501">1-BQ53</f>
        <v>0.5</v>
      </c>
      <c r="BS55" s="357">
        <f t="shared" ref="BS55" si="502">1-BR53</f>
        <v>0.5</v>
      </c>
      <c r="BT55" s="357">
        <f t="shared" ref="BT55" si="503">1-BS53</f>
        <v>0.5</v>
      </c>
      <c r="BU55" s="357">
        <f t="shared" ref="BU55" si="504">1-BT53</f>
        <v>0.5</v>
      </c>
      <c r="BV55" s="357">
        <f t="shared" ref="BV55" si="505">1-BU53</f>
        <v>0.5</v>
      </c>
      <c r="BW55" s="357">
        <f t="shared" ref="BW55" si="506">1-BV53</f>
        <v>0.5</v>
      </c>
      <c r="BX55" s="357">
        <f t="shared" ref="BX55" si="507">1-BW53</f>
        <v>0.5</v>
      </c>
      <c r="BY55" s="357">
        <f t="shared" ref="BY55" si="508">1-BX53</f>
        <v>0.5</v>
      </c>
    </row>
    <row r="56" spans="1:77" ht="15.75" customHeight="1" x14ac:dyDescent="0.25">
      <c r="B56" s="162" t="s">
        <v>10</v>
      </c>
      <c r="C56" s="162" t="s">
        <v>4</v>
      </c>
      <c r="F56" s="346">
        <f>Свод_ОФР!R56-Свод_ОФР!R66</f>
        <v>7263.439899168</v>
      </c>
      <c r="G56" s="346">
        <f>Свод_ОФР!S56-Свод_ОФР!S66</f>
        <v>4891.4550899200003</v>
      </c>
      <c r="H56" s="346">
        <f>Свод_ОФР!T56-Свод_ОФР!T66</f>
        <v>5340.8549532000006</v>
      </c>
      <c r="I56" s="346">
        <f>Свод_ОФР!U56-Свод_ОФР!U66</f>
        <v>6121.2228928120003</v>
      </c>
      <c r="J56" s="346">
        <f>Свод_ОФР!V56-Свод_ОФР!V66</f>
        <v>4971.4508334960001</v>
      </c>
      <c r="K56" s="346">
        <f>Свод_ОФР!W56-Свод_ОФР!W66</f>
        <v>5350.0161533720002</v>
      </c>
      <c r="L56" s="346">
        <f>Свод_ОФР!X56-Свод_ОФР!X66</f>
        <v>8572.1792033720012</v>
      </c>
      <c r="M56" s="346">
        <f>Свод_ОФР!Y56-Свод_ОФР!Y66</f>
        <v>8417.1299923000006</v>
      </c>
      <c r="N56" s="346">
        <f>Свод_ОФР!Z56-Свод_ОФР!Z66</f>
        <v>8477.5431575919993</v>
      </c>
      <c r="O56" s="346">
        <f>Свод_ОФР!AA56-Свод_ОФР!AA66</f>
        <v>7575.6053274759997</v>
      </c>
      <c r="P56" s="346">
        <f>Свод_ОФР!AB56-Свод_ОФР!AB66</f>
        <v>7453.8191248800003</v>
      </c>
      <c r="Q56" s="346">
        <f>Свод_ОФР!AC56-Свод_ОФР!AC66</f>
        <v>8077.1310778720017</v>
      </c>
      <c r="R56" s="346">
        <f>Свод_ОФР!AD56-Свод_ОФР!AD66</f>
        <v>7156.5114276000004</v>
      </c>
      <c r="S56" s="346">
        <f>Свод_ОФР!AE56-Свод_ОФР!AE66</f>
        <v>7274.6724316</v>
      </c>
      <c r="T56" s="346">
        <f>Свод_ОФР!AF56-Свод_ОФР!AF66</f>
        <v>8079.8577824000004</v>
      </c>
      <c r="U56" s="346">
        <f>Свод_ОФР!AG56-Свод_ОФР!AG66</f>
        <v>8109.4034124999998</v>
      </c>
      <c r="V56" s="346">
        <f>Свод_ОФР!AH56-Свод_ОФР!AH66</f>
        <v>8789.7578392274991</v>
      </c>
      <c r="W56" s="346">
        <f>Свод_ОФР!AI56-Свод_ОФР!AI66</f>
        <v>9416.5626555729377</v>
      </c>
      <c r="X56" s="346">
        <f>Свод_ОФР!AJ56-Свод_ОФР!AJ66</f>
        <v>10787.276549857568</v>
      </c>
      <c r="Y56" s="346">
        <f>Свод_ОФР!AK56-Свод_ОФР!AK66</f>
        <v>12486.972004514493</v>
      </c>
      <c r="Z56" s="346">
        <f>Свод_ОФР!AL56-Свод_ОФР!AL66</f>
        <v>13210.771206161822</v>
      </c>
      <c r="AA56" s="346">
        <f>Свод_ОФР!AM56-Свод_ОФР!AM66</f>
        <v>12257.57801019922</v>
      </c>
      <c r="AB56" s="346">
        <f>Свод_ОФР!AN56-Свод_ОФР!AN66</f>
        <v>12075.618383501889</v>
      </c>
      <c r="AC56" s="346">
        <f>Свод_ОФР!AO56-Свод_ОФР!AO66</f>
        <v>12594.469225997607</v>
      </c>
      <c r="AD56" s="346">
        <f>Свод_ОФР!AP56-Свод_ОФР!AP66</f>
        <v>10626.960586805788</v>
      </c>
      <c r="AE56" s="346">
        <f>Свод_ОФР!AQ56-Свод_ОФР!AQ66</f>
        <v>11545.741350603832</v>
      </c>
      <c r="AF56" s="346">
        <f>Свод_ОФР!AR56-Свод_ОФР!AR66</f>
        <v>12896.58433128085</v>
      </c>
      <c r="AG56" s="346">
        <f>Свод_ОФР!AS56-Свод_ОФР!AS66</f>
        <v>13510.290722938837</v>
      </c>
      <c r="AH56" s="346">
        <f>Свод_ОФР!AT56-Свод_ОФР!AT66</f>
        <v>13866.140503425413</v>
      </c>
      <c r="AI56" s="346">
        <f>Свод_ОФР!AU56-Свод_ОФР!AU66</f>
        <v>14046.453118252248</v>
      </c>
      <c r="AJ56" s="346">
        <f>Свод_ОФР!AV56-Свод_ОФР!AV66</f>
        <v>14230.530403450706</v>
      </c>
      <c r="AK56" s="346">
        <f>Свод_ОФР!AW56-Свод_ОФР!AW66</f>
        <v>13783.78728627129</v>
      </c>
      <c r="AL56" s="346">
        <f>Свод_ОФР!AX56-Свод_ОФР!AX66</f>
        <v>13591.766725228423</v>
      </c>
      <c r="AM56" s="346">
        <f>Свод_ОФР!AY56-Свод_ОФР!AY66</f>
        <v>13348.395761497792</v>
      </c>
      <c r="AN56" s="346">
        <f>Свод_ОФР!AZ56-Свод_ОФР!AZ66</f>
        <v>12951.695928349931</v>
      </c>
      <c r="AO56" s="346">
        <f>Свод_ОФР!BA56-Свод_ОФР!BA66</f>
        <v>15520.043081738178</v>
      </c>
      <c r="AP56" s="346">
        <f>Свод_ОФР!BB56-Свод_ОФР!BB66</f>
        <v>11890.136743217594</v>
      </c>
      <c r="AQ56" s="346">
        <f>Свод_ОФР!BC56-Свод_ОФР!BC66</f>
        <v>12972.343380099745</v>
      </c>
      <c r="AR56" s="346">
        <f>Свод_ОФР!BD56-Свод_ОФР!BD66</f>
        <v>14540.052182137435</v>
      </c>
      <c r="AS56" s="346">
        <f>Свод_ОФР!BE56-Свод_ОФР!BE66</f>
        <v>15252.17223500237</v>
      </c>
      <c r="AT56" s="346">
        <f>Свод_ОФР!BF56-Свод_ОФР!BF66</f>
        <v>15660.23325551529</v>
      </c>
      <c r="AU56" s="346">
        <f>Свод_ОФР!BG56-Свод_ОФР!BG66</f>
        <v>15869.560863631115</v>
      </c>
      <c r="AV56" s="346">
        <f>Свод_ОФР!BH56-Свод_ОФР!BH66</f>
        <v>16083.270340794239</v>
      </c>
      <c r="AW56" s="346">
        <f>Свод_ОФР!BI56-Свод_ОФР!BI66</f>
        <v>15564.887675260878</v>
      </c>
      <c r="AX56" s="346">
        <f>Свод_ОФР!BJ56-Свод_ОФР!BJ66</f>
        <v>15271.013845275855</v>
      </c>
      <c r="AY56" s="346">
        <f>Свод_ОФР!BK56-Свод_ОФР!BK66</f>
        <v>14988.277639200911</v>
      </c>
      <c r="AZ56" s="346">
        <f>Свод_ОФР!BL56-Свод_ОФР!BL66</f>
        <v>14650.909875738413</v>
      </c>
      <c r="BA56" s="346">
        <f>Свод_ОФР!BM56-Свод_ОФР!BM66</f>
        <v>17514.762693932949</v>
      </c>
      <c r="BB56" s="346">
        <f>Свод_ОФР!BN56-Свод_ОФР!BN66</f>
        <v>13285.152069506152</v>
      </c>
      <c r="BC56" s="346">
        <f>Свод_ОФР!BO56-Свод_ОФР!BO66</f>
        <v>14538.532532784709</v>
      </c>
      <c r="BD56" s="346">
        <f>Свод_ОФР!BP56-Свод_ОФР!BP66</f>
        <v>16357.639778289747</v>
      </c>
      <c r="BE56" s="346">
        <f>Свод_ОФР!BQ56-Свод_ОФР!BQ66</f>
        <v>17183.611629673018</v>
      </c>
      <c r="BF56" s="346">
        <f>Свод_ОФР!BR56-Свод_ОФР!BR66</f>
        <v>17658.167575626896</v>
      </c>
      <c r="BG56" s="346">
        <f>Свод_ОФР!BS56-Свод_ОФР!BS66</f>
        <v>17901.695756094603</v>
      </c>
      <c r="BH56" s="346">
        <f>Свод_ОФР!BT56-Свод_ОФР!BT66</f>
        <v>18150.328861404967</v>
      </c>
      <c r="BI56" s="346">
        <f>Свод_ОФР!BU56-Свод_ОФР!BU66</f>
        <v>17549.321100422356</v>
      </c>
      <c r="BJ56" s="346">
        <f>Свод_ОФР!BV56-Свод_ОФР!BV66</f>
        <v>17207.835847078852</v>
      </c>
      <c r="BK56" s="346">
        <f>Свод_ОФР!BW56-Свод_ОФР!BW66</f>
        <v>17031.081404164681</v>
      </c>
      <c r="BL56" s="346">
        <f>Свод_ОФР!BX56-Свод_ОФР!BX66</f>
        <v>16487.725974459288</v>
      </c>
      <c r="BM56" s="346">
        <f>Свод_ОФР!BY56-Свод_ОФР!BY66</f>
        <v>19820.232195325501</v>
      </c>
      <c r="BN56" s="346">
        <f>Свод_ОФР!BZ56-Свод_ОФР!BZ66</f>
        <v>14487.317177924131</v>
      </c>
      <c r="BO56" s="346">
        <f>Свод_ОФР!CA56-Свод_ОФР!CA66</f>
        <v>15932.912152637378</v>
      </c>
      <c r="BP56" s="346">
        <f>Свод_ОФР!CB56-Свод_ОФР!CB66</f>
        <v>18023.363212998112</v>
      </c>
      <c r="BQ56" s="346">
        <f>Свод_ОФР!CC56-Свод_ОФР!CC66</f>
        <v>18976.49677470194</v>
      </c>
      <c r="BR56" s="346">
        <f>Свод_ОФР!CD56-Свод_ОФР!CD66</f>
        <v>19520.927990175434</v>
      </c>
      <c r="BS56" s="346">
        <f>Свод_ОФР!CE56-Свод_ОФР!CE66</f>
        <v>19804.002581739143</v>
      </c>
      <c r="BT56" s="346">
        <f>Свод_ОФР!CF56-Свод_ОФР!CF66</f>
        <v>20093.070652261988</v>
      </c>
      <c r="BU56" s="346">
        <f>Свод_ОФР!CG56-Свод_ОФР!CG66</f>
        <v>19408.07467711436</v>
      </c>
      <c r="BV56" s="346">
        <f>Свод_ОФР!CH56-Свод_ОФР!CH66</f>
        <v>19205.300882347103</v>
      </c>
      <c r="BW56" s="346">
        <f>Свод_ОФР!CI56-Свод_ОФР!CI66</f>
        <v>18826.80240308051</v>
      </c>
      <c r="BX56" s="346">
        <f>Свод_ОФР!CJ56-Свод_ОФР!CJ66</f>
        <v>18207.908153876793</v>
      </c>
      <c r="BY56" s="346">
        <f>Свод_ОФР!CK56-Свод_ОФР!CK66</f>
        <v>22016.787445097987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A953"/>
  <sheetViews>
    <sheetView showGridLines="0" zoomScale="95" zoomScaleNormal="95" workbookViewId="0">
      <pane xSplit="2" ySplit="4" topLeftCell="I5" activePane="bottomRight" state="frozen"/>
      <selection pane="topRight" activeCell="C1" sqref="C1"/>
      <selection pane="bottomLeft" activeCell="A5" sqref="A5"/>
      <selection pane="bottomRight" activeCell="P41" sqref="P41"/>
    </sheetView>
  </sheetViews>
  <sheetFormatPr defaultColWidth="14.42578125" defaultRowHeight="15" x14ac:dyDescent="0.25"/>
  <cols>
    <col min="1" max="1" width="8.7109375" customWidth="1"/>
    <col min="2" max="2" width="39.140625" customWidth="1"/>
    <col min="3" max="3" width="11.42578125" customWidth="1"/>
    <col min="4" max="5" width="8.7109375" customWidth="1"/>
    <col min="6" max="6" width="11.140625" customWidth="1"/>
    <col min="7" max="7" width="8.7109375" customWidth="1"/>
    <col min="8" max="8" width="9.42578125" customWidth="1"/>
    <col min="9" max="15" width="11.140625" customWidth="1"/>
    <col min="16" max="26" width="10.28515625" customWidth="1"/>
    <col min="27" max="27" width="9.42578125" customWidth="1"/>
    <col min="28" max="77" width="10.28515625" customWidth="1"/>
    <col min="78" max="79" width="8.7109375" customWidth="1"/>
  </cols>
  <sheetData>
    <row r="1" spans="2:79" ht="14.25" customHeight="1" x14ac:dyDescent="0.25">
      <c r="F1" s="286"/>
      <c r="G1" s="286"/>
      <c r="H1" s="286"/>
      <c r="I1" s="286"/>
      <c r="J1" s="286"/>
      <c r="K1" s="286"/>
      <c r="N1" s="376"/>
    </row>
    <row r="2" spans="2:79" ht="14.25" customHeight="1" x14ac:dyDescent="0.25">
      <c r="E2" s="367"/>
      <c r="F2" s="188" t="s">
        <v>165</v>
      </c>
      <c r="G2" s="188" t="s">
        <v>165</v>
      </c>
      <c r="H2" s="188" t="s">
        <v>165</v>
      </c>
      <c r="I2" s="188" t="s">
        <v>165</v>
      </c>
      <c r="J2" s="188" t="s">
        <v>165</v>
      </c>
      <c r="K2" s="188" t="s">
        <v>165</v>
      </c>
      <c r="N2" s="188" t="s">
        <v>165</v>
      </c>
    </row>
    <row r="3" spans="2:79" ht="14.25" customHeight="1" x14ac:dyDescent="0.25">
      <c r="F3" s="287">
        <f>YEAR(F4)</f>
        <v>2025</v>
      </c>
      <c r="G3" s="287">
        <f t="shared" ref="G3:BY3" si="0">YEAR(G4)</f>
        <v>2025</v>
      </c>
      <c r="H3" s="287">
        <f t="shared" si="0"/>
        <v>2025</v>
      </c>
      <c r="I3" s="287">
        <f t="shared" si="0"/>
        <v>2025</v>
      </c>
      <c r="J3" s="287">
        <f t="shared" si="0"/>
        <v>2025</v>
      </c>
      <c r="K3" s="287">
        <f t="shared" si="0"/>
        <v>2025</v>
      </c>
      <c r="L3" s="287">
        <f t="shared" si="0"/>
        <v>2025</v>
      </c>
      <c r="M3" s="287">
        <f t="shared" si="0"/>
        <v>2025</v>
      </c>
      <c r="N3" s="287">
        <f t="shared" si="0"/>
        <v>2025</v>
      </c>
      <c r="O3" s="287">
        <f t="shared" si="0"/>
        <v>2025</v>
      </c>
      <c r="P3" s="287">
        <f t="shared" si="0"/>
        <v>2025</v>
      </c>
      <c r="Q3" s="287">
        <f t="shared" si="0"/>
        <v>2025</v>
      </c>
      <c r="R3" s="287">
        <f t="shared" si="0"/>
        <v>2026</v>
      </c>
      <c r="S3" s="287">
        <f t="shared" si="0"/>
        <v>2026</v>
      </c>
      <c r="T3" s="287">
        <f t="shared" si="0"/>
        <v>2026</v>
      </c>
      <c r="U3" s="287">
        <f t="shared" si="0"/>
        <v>2026</v>
      </c>
      <c r="V3" s="287">
        <f t="shared" si="0"/>
        <v>2026</v>
      </c>
      <c r="W3" s="287">
        <f t="shared" si="0"/>
        <v>2026</v>
      </c>
      <c r="X3" s="287">
        <f t="shared" si="0"/>
        <v>2026</v>
      </c>
      <c r="Y3" s="287">
        <f t="shared" si="0"/>
        <v>2026</v>
      </c>
      <c r="Z3" s="287">
        <f t="shared" si="0"/>
        <v>2026</v>
      </c>
      <c r="AA3" s="287">
        <f t="shared" si="0"/>
        <v>2026</v>
      </c>
      <c r="AB3" s="287">
        <f t="shared" si="0"/>
        <v>2026</v>
      </c>
      <c r="AC3" s="287">
        <f t="shared" si="0"/>
        <v>2026</v>
      </c>
      <c r="AD3" s="287">
        <f t="shared" si="0"/>
        <v>2027</v>
      </c>
      <c r="AE3" s="287">
        <f t="shared" si="0"/>
        <v>2027</v>
      </c>
      <c r="AF3" s="287">
        <f t="shared" si="0"/>
        <v>2027</v>
      </c>
      <c r="AG3" s="287">
        <f t="shared" si="0"/>
        <v>2027</v>
      </c>
      <c r="AH3" s="287">
        <f t="shared" si="0"/>
        <v>2027</v>
      </c>
      <c r="AI3" s="287">
        <f t="shared" si="0"/>
        <v>2027</v>
      </c>
      <c r="AJ3" s="287">
        <f t="shared" si="0"/>
        <v>2027</v>
      </c>
      <c r="AK3" s="287">
        <f t="shared" si="0"/>
        <v>2027</v>
      </c>
      <c r="AL3" s="287">
        <f t="shared" si="0"/>
        <v>2027</v>
      </c>
      <c r="AM3" s="287">
        <f t="shared" si="0"/>
        <v>2027</v>
      </c>
      <c r="AN3" s="287">
        <f t="shared" si="0"/>
        <v>2027</v>
      </c>
      <c r="AO3" s="287">
        <f t="shared" si="0"/>
        <v>2027</v>
      </c>
      <c r="AP3" s="287">
        <f t="shared" si="0"/>
        <v>2028</v>
      </c>
      <c r="AQ3" s="287">
        <f t="shared" si="0"/>
        <v>2028</v>
      </c>
      <c r="AR3" s="287">
        <f t="shared" si="0"/>
        <v>2028</v>
      </c>
      <c r="AS3" s="287">
        <f t="shared" si="0"/>
        <v>2028</v>
      </c>
      <c r="AT3" s="287">
        <f t="shared" si="0"/>
        <v>2028</v>
      </c>
      <c r="AU3" s="287">
        <f t="shared" si="0"/>
        <v>2028</v>
      </c>
      <c r="AV3" s="287">
        <f t="shared" si="0"/>
        <v>2028</v>
      </c>
      <c r="AW3" s="287">
        <f t="shared" si="0"/>
        <v>2028</v>
      </c>
      <c r="AX3" s="287">
        <f t="shared" si="0"/>
        <v>2028</v>
      </c>
      <c r="AY3" s="287">
        <f t="shared" si="0"/>
        <v>2028</v>
      </c>
      <c r="AZ3" s="287">
        <f t="shared" si="0"/>
        <v>2028</v>
      </c>
      <c r="BA3" s="287">
        <f t="shared" si="0"/>
        <v>2028</v>
      </c>
      <c r="BB3" s="287">
        <f t="shared" si="0"/>
        <v>2029</v>
      </c>
      <c r="BC3" s="287">
        <f t="shared" si="0"/>
        <v>2029</v>
      </c>
      <c r="BD3" s="287">
        <f t="shared" si="0"/>
        <v>2029</v>
      </c>
      <c r="BE3" s="287">
        <f t="shared" si="0"/>
        <v>2029</v>
      </c>
      <c r="BF3" s="287">
        <f t="shared" si="0"/>
        <v>2029</v>
      </c>
      <c r="BG3" s="287">
        <f t="shared" si="0"/>
        <v>2029</v>
      </c>
      <c r="BH3" s="287">
        <f t="shared" si="0"/>
        <v>2029</v>
      </c>
      <c r="BI3" s="287">
        <f t="shared" si="0"/>
        <v>2029</v>
      </c>
      <c r="BJ3" s="287">
        <f t="shared" si="0"/>
        <v>2029</v>
      </c>
      <c r="BK3" s="287">
        <f t="shared" si="0"/>
        <v>2029</v>
      </c>
      <c r="BL3" s="287">
        <f t="shared" si="0"/>
        <v>2029</v>
      </c>
      <c r="BM3" s="287">
        <f t="shared" si="0"/>
        <v>2029</v>
      </c>
      <c r="BN3" s="287">
        <f t="shared" si="0"/>
        <v>2030</v>
      </c>
      <c r="BO3" s="287">
        <f t="shared" si="0"/>
        <v>2030</v>
      </c>
      <c r="BP3" s="287">
        <f t="shared" si="0"/>
        <v>2030</v>
      </c>
      <c r="BQ3" s="287">
        <f t="shared" si="0"/>
        <v>2030</v>
      </c>
      <c r="BR3" s="287">
        <f t="shared" si="0"/>
        <v>2030</v>
      </c>
      <c r="BS3" s="287">
        <f t="shared" si="0"/>
        <v>2030</v>
      </c>
      <c r="BT3" s="287">
        <f t="shared" si="0"/>
        <v>2030</v>
      </c>
      <c r="BU3" s="287">
        <f t="shared" si="0"/>
        <v>2030</v>
      </c>
      <c r="BV3" s="287">
        <f t="shared" si="0"/>
        <v>2030</v>
      </c>
      <c r="BW3" s="287">
        <f t="shared" si="0"/>
        <v>2030</v>
      </c>
      <c r="BX3" s="287">
        <f t="shared" si="0"/>
        <v>2030</v>
      </c>
      <c r="BY3" s="287">
        <f t="shared" si="0"/>
        <v>2030</v>
      </c>
    </row>
    <row r="4" spans="2:79" ht="14.25" customHeight="1" x14ac:dyDescent="0.25">
      <c r="B4" s="288" t="s">
        <v>354</v>
      </c>
      <c r="C4" s="288" t="s">
        <v>2</v>
      </c>
      <c r="F4" s="289">
        <v>45658</v>
      </c>
      <c r="G4" s="289">
        <v>45689</v>
      </c>
      <c r="H4" s="289">
        <v>45717</v>
      </c>
      <c r="I4" s="289">
        <v>45748</v>
      </c>
      <c r="J4" s="289">
        <v>45778</v>
      </c>
      <c r="K4" s="289">
        <v>45809</v>
      </c>
      <c r="L4" s="289">
        <v>45839</v>
      </c>
      <c r="M4" s="289">
        <v>45870</v>
      </c>
      <c r="N4" s="289">
        <v>45901</v>
      </c>
      <c r="O4" s="289">
        <v>45931</v>
      </c>
      <c r="P4" s="289">
        <v>45962</v>
      </c>
      <c r="Q4" s="289">
        <v>45992</v>
      </c>
      <c r="R4" s="289">
        <v>46023</v>
      </c>
      <c r="S4" s="289">
        <v>46054</v>
      </c>
      <c r="T4" s="289">
        <v>46082</v>
      </c>
      <c r="U4" s="289">
        <v>46113</v>
      </c>
      <c r="V4" s="289">
        <v>46143</v>
      </c>
      <c r="W4" s="289">
        <v>46174</v>
      </c>
      <c r="X4" s="289">
        <v>46204</v>
      </c>
      <c r="Y4" s="289">
        <v>46235</v>
      </c>
      <c r="Z4" s="289">
        <v>46266</v>
      </c>
      <c r="AA4" s="289">
        <v>46296</v>
      </c>
      <c r="AB4" s="289">
        <v>46327</v>
      </c>
      <c r="AC4" s="289">
        <v>46357</v>
      </c>
      <c r="AD4" s="289">
        <v>46388</v>
      </c>
      <c r="AE4" s="289">
        <v>46419</v>
      </c>
      <c r="AF4" s="289">
        <v>46447</v>
      </c>
      <c r="AG4" s="289">
        <v>46478</v>
      </c>
      <c r="AH4" s="289">
        <v>46508</v>
      </c>
      <c r="AI4" s="289">
        <v>46539</v>
      </c>
      <c r="AJ4" s="289">
        <v>46569</v>
      </c>
      <c r="AK4" s="289">
        <v>46600</v>
      </c>
      <c r="AL4" s="289">
        <v>46631</v>
      </c>
      <c r="AM4" s="289">
        <v>46661</v>
      </c>
      <c r="AN4" s="289">
        <v>46692</v>
      </c>
      <c r="AO4" s="289">
        <v>46722</v>
      </c>
      <c r="AP4" s="289">
        <v>46753</v>
      </c>
      <c r="AQ4" s="289">
        <v>46784</v>
      </c>
      <c r="AR4" s="289">
        <v>46813</v>
      </c>
      <c r="AS4" s="289">
        <v>46844</v>
      </c>
      <c r="AT4" s="289">
        <v>46874</v>
      </c>
      <c r="AU4" s="289">
        <v>46905</v>
      </c>
      <c r="AV4" s="289">
        <v>46935</v>
      </c>
      <c r="AW4" s="289">
        <v>46966</v>
      </c>
      <c r="AX4" s="289">
        <v>46997</v>
      </c>
      <c r="AY4" s="289">
        <v>47027</v>
      </c>
      <c r="AZ4" s="289">
        <v>47058</v>
      </c>
      <c r="BA4" s="289">
        <v>47088</v>
      </c>
      <c r="BB4" s="289">
        <v>47119</v>
      </c>
      <c r="BC4" s="289">
        <v>47150</v>
      </c>
      <c r="BD4" s="289">
        <v>47178</v>
      </c>
      <c r="BE4" s="289">
        <v>47209</v>
      </c>
      <c r="BF4" s="289">
        <v>47239</v>
      </c>
      <c r="BG4" s="289">
        <v>47270</v>
      </c>
      <c r="BH4" s="289">
        <v>47300</v>
      </c>
      <c r="BI4" s="289">
        <v>47331</v>
      </c>
      <c r="BJ4" s="289">
        <v>47362</v>
      </c>
      <c r="BK4" s="289">
        <v>47392</v>
      </c>
      <c r="BL4" s="289">
        <v>47423</v>
      </c>
      <c r="BM4" s="289">
        <v>47453</v>
      </c>
      <c r="BN4" s="289">
        <v>47484</v>
      </c>
      <c r="BO4" s="289">
        <v>47515</v>
      </c>
      <c r="BP4" s="289">
        <v>47543</v>
      </c>
      <c r="BQ4" s="289">
        <v>47574</v>
      </c>
      <c r="BR4" s="289">
        <v>47604</v>
      </c>
      <c r="BS4" s="289">
        <v>47635</v>
      </c>
      <c r="BT4" s="289">
        <v>47665</v>
      </c>
      <c r="BU4" s="289">
        <v>47696</v>
      </c>
      <c r="BV4" s="289">
        <v>47727</v>
      </c>
      <c r="BW4" s="289">
        <v>47757</v>
      </c>
      <c r="BX4" s="289">
        <v>47788</v>
      </c>
      <c r="BY4" s="289">
        <v>47818</v>
      </c>
    </row>
    <row r="5" spans="2:79" ht="14.25" customHeight="1" x14ac:dyDescent="0.25">
      <c r="B5" s="290" t="s">
        <v>355</v>
      </c>
      <c r="C5" s="291" t="s">
        <v>4</v>
      </c>
      <c r="F5" s="292">
        <f>SUM(F6:F9)</f>
        <v>29737.33333333335</v>
      </c>
      <c r="G5" s="292">
        <f t="shared" ref="G5:BL5" si="1">SUM(G6:G9)</f>
        <v>29549.666666666682</v>
      </c>
      <c r="H5" s="292">
        <f t="shared" si="1"/>
        <v>29362.000000000015</v>
      </c>
      <c r="I5" s="292">
        <f t="shared" si="1"/>
        <v>29174.33333333335</v>
      </c>
      <c r="J5" s="292">
        <f t="shared" si="1"/>
        <v>28986.666666666686</v>
      </c>
      <c r="K5" s="292">
        <f t="shared" si="1"/>
        <v>28799.000000000018</v>
      </c>
      <c r="L5" s="292">
        <f t="shared" si="1"/>
        <v>28307.500000000018</v>
      </c>
      <c r="M5" s="292">
        <f t="shared" si="1"/>
        <v>27816.000000000018</v>
      </c>
      <c r="N5" s="292">
        <f t="shared" si="1"/>
        <v>27324.500000000018</v>
      </c>
      <c r="O5" s="292">
        <f t="shared" si="1"/>
        <v>26833.000000000018</v>
      </c>
      <c r="P5" s="292">
        <f t="shared" si="1"/>
        <v>26341.500000000018</v>
      </c>
      <c r="Q5" s="292">
        <f t="shared" si="1"/>
        <v>34183.33333333335</v>
      </c>
      <c r="R5" s="292">
        <f t="shared" si="1"/>
        <v>33907.501388888908</v>
      </c>
      <c r="S5" s="292">
        <f t="shared" si="1"/>
        <v>34789.41596064817</v>
      </c>
      <c r="T5" s="292">
        <f t="shared" si="1"/>
        <v>39629.929160976099</v>
      </c>
      <c r="U5" s="292">
        <f t="shared" si="1"/>
        <v>53948.386001301296</v>
      </c>
      <c r="V5" s="292">
        <f t="shared" si="1"/>
        <v>65847.970284623792</v>
      </c>
      <c r="W5" s="292">
        <f t="shared" si="1"/>
        <v>342647.17261558521</v>
      </c>
      <c r="X5" s="292">
        <f t="shared" si="1"/>
        <v>348388.496177122</v>
      </c>
      <c r="Y5" s="292">
        <f t="shared" si="1"/>
        <v>348247.42329231265</v>
      </c>
      <c r="Z5" s="292">
        <f t="shared" si="1"/>
        <v>345814.64059821004</v>
      </c>
      <c r="AA5" s="292">
        <f t="shared" si="1"/>
        <v>343400.91234322498</v>
      </c>
      <c r="AB5" s="292">
        <f t="shared" si="1"/>
        <v>341006.07974036474</v>
      </c>
      <c r="AC5" s="292">
        <f t="shared" si="1"/>
        <v>338629.98532586172</v>
      </c>
      <c r="AD5" s="292">
        <f t="shared" si="1"/>
        <v>336272.47294814623</v>
      </c>
      <c r="AE5" s="292">
        <f t="shared" si="1"/>
        <v>333933.38775691169</v>
      </c>
      <c r="AF5" s="292">
        <f t="shared" si="1"/>
        <v>331612.57619227073</v>
      </c>
      <c r="AG5" s="292">
        <f t="shared" si="1"/>
        <v>329309.88597400184</v>
      </c>
      <c r="AH5" s="292">
        <f t="shared" si="1"/>
        <v>327025.16609088518</v>
      </c>
      <c r="AI5" s="292">
        <f t="shared" si="1"/>
        <v>324758.26679012779</v>
      </c>
      <c r="AJ5" s="292">
        <f t="shared" si="1"/>
        <v>322509.03956687672</v>
      </c>
      <c r="AK5" s="292">
        <f t="shared" si="1"/>
        <v>320277.33715381939</v>
      </c>
      <c r="AL5" s="292">
        <f t="shared" si="1"/>
        <v>318063.01351087092</v>
      </c>
      <c r="AM5" s="292">
        <f t="shared" si="1"/>
        <v>315865.92381494702</v>
      </c>
      <c r="AN5" s="292">
        <f t="shared" si="1"/>
        <v>313685.92444982246</v>
      </c>
      <c r="AO5" s="292">
        <f t="shared" si="1"/>
        <v>311522.87299607391</v>
      </c>
      <c r="AP5" s="292">
        <f t="shared" si="1"/>
        <v>309376.62822110666</v>
      </c>
      <c r="AQ5" s="292">
        <f t="shared" si="1"/>
        <v>307247.05006926408</v>
      </c>
      <c r="AR5" s="292">
        <f t="shared" si="1"/>
        <v>305133.99965202023</v>
      </c>
      <c r="AS5" s="292">
        <f t="shared" si="1"/>
        <v>303037.33923825336</v>
      </c>
      <c r="AT5" s="292">
        <f t="shared" si="1"/>
        <v>300956.93224460125</v>
      </c>
      <c r="AU5" s="292">
        <f t="shared" si="1"/>
        <v>298892.64322589623</v>
      </c>
      <c r="AV5" s="292">
        <f t="shared" si="1"/>
        <v>296844.33786568046</v>
      </c>
      <c r="AW5" s="292">
        <f t="shared" si="1"/>
        <v>294811.88296679978</v>
      </c>
      <c r="AX5" s="292">
        <f t="shared" si="1"/>
        <v>292795.14644207642</v>
      </c>
      <c r="AY5" s="292">
        <f t="shared" si="1"/>
        <v>290793.99730505911</v>
      </c>
      <c r="AZ5" s="292">
        <f t="shared" si="1"/>
        <v>288808.30566085025</v>
      </c>
      <c r="BA5" s="292">
        <f t="shared" si="1"/>
        <v>286837.94269700983</v>
      </c>
      <c r="BB5" s="292">
        <f t="shared" si="1"/>
        <v>284882.78067453473</v>
      </c>
      <c r="BC5" s="292">
        <f t="shared" si="1"/>
        <v>282942.69291891361</v>
      </c>
      <c r="BD5" s="292">
        <f t="shared" si="1"/>
        <v>281017.55381125602</v>
      </c>
      <c r="BE5" s="292">
        <f t="shared" si="1"/>
        <v>279107.23877949553</v>
      </c>
      <c r="BF5" s="292">
        <f t="shared" si="1"/>
        <v>277211.62428966642</v>
      </c>
      <c r="BG5" s="292">
        <f t="shared" si="1"/>
        <v>275330.58783725253</v>
      </c>
      <c r="BH5" s="292">
        <f t="shared" si="1"/>
        <v>273464.00793860876</v>
      </c>
      <c r="BI5" s="292">
        <f t="shared" si="1"/>
        <v>271611.76412245369</v>
      </c>
      <c r="BJ5" s="292">
        <f t="shared" si="1"/>
        <v>269773.73692143324</v>
      </c>
      <c r="BK5" s="292">
        <f t="shared" si="1"/>
        <v>267949.80786375463</v>
      </c>
      <c r="BL5" s="292">
        <f t="shared" si="1"/>
        <v>266139.85946489003</v>
      </c>
      <c r="BM5" s="292">
        <f t="shared" ref="BM5:BY5" si="2">SUM(BM6:BM9)</f>
        <v>264343.77521934925</v>
      </c>
      <c r="BN5" s="292">
        <f t="shared" si="2"/>
        <v>262561.43959252135</v>
      </c>
      <c r="BO5" s="292">
        <f t="shared" si="2"/>
        <v>260792.73801258369</v>
      </c>
      <c r="BP5" s="292">
        <f t="shared" si="2"/>
        <v>259037.55686247884</v>
      </c>
      <c r="BQ5" s="292">
        <f t="shared" si="2"/>
        <v>257295.78347195819</v>
      </c>
      <c r="BR5" s="292">
        <f t="shared" si="2"/>
        <v>255567.30610969188</v>
      </c>
      <c r="BS5" s="292">
        <f t="shared" si="2"/>
        <v>253852.01397544445</v>
      </c>
      <c r="BT5" s="292">
        <f t="shared" si="2"/>
        <v>252149.79719231575</v>
      </c>
      <c r="BU5" s="292">
        <f t="shared" si="2"/>
        <v>250460.54679904645</v>
      </c>
      <c r="BV5" s="292">
        <f t="shared" si="2"/>
        <v>248784.15474238773</v>
      </c>
      <c r="BW5" s="292">
        <f t="shared" si="2"/>
        <v>247120.51386953451</v>
      </c>
      <c r="BX5" s="292">
        <f t="shared" si="2"/>
        <v>245469.51792062173</v>
      </c>
      <c r="BY5" s="292">
        <f t="shared" si="2"/>
        <v>243831.06152128321</v>
      </c>
      <c r="BZ5" s="293"/>
      <c r="CA5" s="293"/>
    </row>
    <row r="6" spans="2:79" ht="14.25" customHeight="1" x14ac:dyDescent="0.25">
      <c r="B6" s="294" t="s">
        <v>356</v>
      </c>
      <c r="C6" s="291" t="s">
        <v>4</v>
      </c>
      <c r="E6" s="293"/>
      <c r="F6" s="293">
        <f>Мясо!R127</f>
        <v>9934.6666666666661</v>
      </c>
      <c r="G6" s="293">
        <f>Мясо!S127</f>
        <v>9805.3333333333321</v>
      </c>
      <c r="H6" s="293">
        <f>Мясо!T127</f>
        <v>9675.9999999999982</v>
      </c>
      <c r="I6" s="293">
        <f>Мясо!U127</f>
        <v>9546.6666666666642</v>
      </c>
      <c r="J6" s="293">
        <f>Мясо!V127</f>
        <v>9417.3333333333303</v>
      </c>
      <c r="K6" s="293">
        <f>Мясо!W127</f>
        <v>9287.9999999999964</v>
      </c>
      <c r="L6" s="293">
        <f>Свод_ОФР!X127</f>
        <v>8942.7499999999964</v>
      </c>
      <c r="M6" s="293">
        <f>Свод_ОФР!Y127</f>
        <v>8597.4999999999964</v>
      </c>
      <c r="N6" s="293">
        <f>Свод_ОФР!Z127</f>
        <v>8252.2499999999964</v>
      </c>
      <c r="O6" s="293">
        <f>Свод_ОФР!AA127</f>
        <v>7906.9999999999964</v>
      </c>
      <c r="P6" s="293">
        <f>Свод_ОФР!AB127</f>
        <v>7561.7499999999964</v>
      </c>
      <c r="Q6" s="293">
        <f>Свод_ОФР!AC127</f>
        <v>15549.83333333333</v>
      </c>
      <c r="R6" s="293">
        <f>Свод_ОФР!AD127</f>
        <v>15420.251388888886</v>
      </c>
      <c r="S6" s="293">
        <f>Свод_ОФР!AE127</f>
        <v>16448.415960648144</v>
      </c>
      <c r="T6" s="293">
        <f>Свод_ОФР!AF127</f>
        <v>21435.179160976077</v>
      </c>
      <c r="U6" s="293">
        <f>Свод_ОФР!AG127</f>
        <v>35899.886001301275</v>
      </c>
      <c r="V6" s="293">
        <f>Свод_ОФР!AH127</f>
        <v>47945.720284623763</v>
      </c>
      <c r="W6" s="293">
        <f>Свод_ОФР!AI127</f>
        <v>324891.17261558521</v>
      </c>
      <c r="X6" s="293">
        <f>Свод_ОФР!AJ127</f>
        <v>330778.746177122</v>
      </c>
      <c r="Y6" s="293">
        <f>Свод_ОФР!AK127</f>
        <v>330783.92329231265</v>
      </c>
      <c r="Z6" s="293">
        <f>Свод_ОФР!AL127</f>
        <v>328497.39059821004</v>
      </c>
      <c r="AA6" s="293">
        <f>Свод_ОФР!AM127</f>
        <v>326229.91234322498</v>
      </c>
      <c r="AB6" s="293">
        <f>Свод_ОФР!AN127</f>
        <v>323981.32974036474</v>
      </c>
      <c r="AC6" s="293">
        <f>Свод_ОФР!AO127</f>
        <v>321751.48532586172</v>
      </c>
      <c r="AD6" s="293">
        <f>Свод_ОФР!AP127</f>
        <v>319540.22294814623</v>
      </c>
      <c r="AE6" s="293">
        <f>Свод_ОФР!AQ127</f>
        <v>317347.38775691169</v>
      </c>
      <c r="AF6" s="293">
        <f>Свод_ОФР!AR127</f>
        <v>315172.82619227073</v>
      </c>
      <c r="AG6" s="293">
        <f>Свод_ОФР!AS127</f>
        <v>313016.38597400184</v>
      </c>
      <c r="AH6" s="293">
        <f>Свод_ОФР!AT127</f>
        <v>310877.91609088518</v>
      </c>
      <c r="AI6" s="293">
        <f>Свод_ОФР!AU127</f>
        <v>308757.26679012779</v>
      </c>
      <c r="AJ6" s="293">
        <f>Свод_ОФР!AV127</f>
        <v>306654.28956687672</v>
      </c>
      <c r="AK6" s="293">
        <f>Свод_ОФР!AW127</f>
        <v>304568.83715381939</v>
      </c>
      <c r="AL6" s="293">
        <f>Свод_ОФР!AX127</f>
        <v>302500.76351087092</v>
      </c>
      <c r="AM6" s="293">
        <f>Свод_ОФР!AY127</f>
        <v>300449.92381494702</v>
      </c>
      <c r="AN6" s="293">
        <f>Свод_ОФР!AZ127</f>
        <v>298416.17444982246</v>
      </c>
      <c r="AO6" s="293">
        <f>Свод_ОФР!BA127</f>
        <v>296399.37299607391</v>
      </c>
      <c r="AP6" s="293">
        <f>Свод_ОФР!BB127</f>
        <v>294399.37822110666</v>
      </c>
      <c r="AQ6" s="293">
        <f>Свод_ОФР!BC127</f>
        <v>292416.05006926408</v>
      </c>
      <c r="AR6" s="293">
        <f>Свод_ОФР!BD127</f>
        <v>290449.24965202023</v>
      </c>
      <c r="AS6" s="293">
        <f>Свод_ОФР!BE127</f>
        <v>288498.83923825336</v>
      </c>
      <c r="AT6" s="293">
        <f>Свод_ОФР!BF127</f>
        <v>286564.68224460125</v>
      </c>
      <c r="AU6" s="293">
        <f>Свод_ОФР!BG127</f>
        <v>284646.64322589623</v>
      </c>
      <c r="AV6" s="293">
        <f>Свод_ОФР!BH127</f>
        <v>282744.58786568046</v>
      </c>
      <c r="AW6" s="293">
        <f>Свод_ОФР!BI127</f>
        <v>280858.38296679978</v>
      </c>
      <c r="AX6" s="293">
        <f>Свод_ОФР!BJ127</f>
        <v>278987.89644207642</v>
      </c>
      <c r="AY6" s="293">
        <f>Свод_ОФР!BK127</f>
        <v>277132.99730505911</v>
      </c>
      <c r="AZ6" s="293">
        <f>Свод_ОФР!BL127</f>
        <v>275293.55566085025</v>
      </c>
      <c r="BA6" s="293">
        <f>Свод_ОФР!BM127</f>
        <v>273469.44269700983</v>
      </c>
      <c r="BB6" s="293">
        <f>Свод_ОФР!BN127</f>
        <v>271660.53067453473</v>
      </c>
      <c r="BC6" s="293">
        <f>Свод_ОФР!BO127</f>
        <v>269866.69291891361</v>
      </c>
      <c r="BD6" s="293">
        <f>Свод_ОФР!BP127</f>
        <v>268087.80381125602</v>
      </c>
      <c r="BE6" s="293">
        <f>Свод_ОФР!BQ127</f>
        <v>266323.73877949553</v>
      </c>
      <c r="BF6" s="293">
        <f>Свод_ОФР!BR127</f>
        <v>264574.37428966642</v>
      </c>
      <c r="BG6" s="293">
        <f>Свод_ОФР!BS127</f>
        <v>262839.58783725253</v>
      </c>
      <c r="BH6" s="293">
        <f>Свод_ОФР!BT127</f>
        <v>261119.25793860876</v>
      </c>
      <c r="BI6" s="293">
        <f>Свод_ОФР!BU127</f>
        <v>259413.26412245369</v>
      </c>
      <c r="BJ6" s="293">
        <f>Свод_ОФР!BV127</f>
        <v>257721.48692143324</v>
      </c>
      <c r="BK6" s="293">
        <f>Свод_ОФР!BW127</f>
        <v>256043.80786375463</v>
      </c>
      <c r="BL6" s="293">
        <f>Свод_ОФР!BX127</f>
        <v>254380.10946489</v>
      </c>
      <c r="BM6" s="293">
        <f>Свод_ОФР!BY127</f>
        <v>252730.27521934925</v>
      </c>
      <c r="BN6" s="293">
        <f>Свод_ОФР!BZ127</f>
        <v>251094.18959252135</v>
      </c>
      <c r="BO6" s="293">
        <f>Свод_ОФР!CA127</f>
        <v>249471.73801258366</v>
      </c>
      <c r="BP6" s="293">
        <f>Свод_ОФР!CB127</f>
        <v>247862.80686247881</v>
      </c>
      <c r="BQ6" s="293">
        <f>Свод_ОФР!CC127</f>
        <v>246267.28347195816</v>
      </c>
      <c r="BR6" s="293">
        <f>Свод_ОФР!CD127</f>
        <v>244685.05610969185</v>
      </c>
      <c r="BS6" s="293">
        <f>Свод_ОФР!CE127</f>
        <v>243116.01397544442</v>
      </c>
      <c r="BT6" s="293">
        <f>Свод_ОФР!CF127</f>
        <v>241560.04719231572</v>
      </c>
      <c r="BU6" s="293">
        <f>Свод_ОФР!CG127</f>
        <v>240017.04679904642</v>
      </c>
      <c r="BV6" s="293">
        <f>Свод_ОФР!CH127</f>
        <v>238486.90474238771</v>
      </c>
      <c r="BW6" s="293">
        <f>Свод_ОФР!CI127</f>
        <v>236969.51386953448</v>
      </c>
      <c r="BX6" s="293">
        <f>Свод_ОФР!CJ127</f>
        <v>235464.7679206217</v>
      </c>
      <c r="BY6" s="293">
        <f>Свод_ОФР!CK127</f>
        <v>233972.56152128318</v>
      </c>
      <c r="BZ6" s="293"/>
      <c r="CA6" s="293"/>
    </row>
    <row r="7" spans="2:79" ht="14.25" customHeight="1" x14ac:dyDescent="0.25">
      <c r="B7" s="294" t="s">
        <v>357</v>
      </c>
      <c r="C7" s="291" t="s">
        <v>4</v>
      </c>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row>
    <row r="8" spans="2:79" ht="14.25" customHeight="1" x14ac:dyDescent="0.25">
      <c r="B8" s="294" t="s">
        <v>358</v>
      </c>
      <c r="C8" s="291" t="s">
        <v>4</v>
      </c>
      <c r="E8" s="293"/>
      <c r="F8" s="293">
        <f>Мясо!R128</f>
        <v>19802.666666666682</v>
      </c>
      <c r="G8" s="293">
        <f>Мясо!S128</f>
        <v>19744.33333333335</v>
      </c>
      <c r="H8" s="293">
        <f>Мясо!T128</f>
        <v>19686.000000000018</v>
      </c>
      <c r="I8" s="293">
        <f>Мясо!U128</f>
        <v>19627.666666666686</v>
      </c>
      <c r="J8" s="293">
        <f>Мясо!V128</f>
        <v>19569.333333333354</v>
      </c>
      <c r="K8" s="293">
        <f>Мясо!W128</f>
        <v>19511.000000000022</v>
      </c>
      <c r="L8" s="293">
        <f>Свод_ОФР!X128</f>
        <v>19364.750000000022</v>
      </c>
      <c r="M8" s="293">
        <f>Свод_ОФР!Y128</f>
        <v>19218.500000000022</v>
      </c>
      <c r="N8" s="293">
        <f>Свод_ОФР!Z128</f>
        <v>19072.250000000022</v>
      </c>
      <c r="O8" s="293">
        <f>Свод_ОФР!AA128</f>
        <v>18926.000000000022</v>
      </c>
      <c r="P8" s="293">
        <f>Свод_ОФР!AB128</f>
        <v>18779.750000000022</v>
      </c>
      <c r="Q8" s="293">
        <f>Свод_ОФР!AC128</f>
        <v>18633.500000000022</v>
      </c>
      <c r="R8" s="293">
        <f>Свод_ОФР!AD128</f>
        <v>18487.250000000022</v>
      </c>
      <c r="S8" s="293">
        <f>Свод_ОФР!AE128</f>
        <v>18341.000000000022</v>
      </c>
      <c r="T8" s="293">
        <f>Свод_ОФР!AF128</f>
        <v>18194.750000000022</v>
      </c>
      <c r="U8" s="293">
        <f>Свод_ОФР!AG128</f>
        <v>18048.500000000022</v>
      </c>
      <c r="V8" s="293">
        <f>Свод_ОФР!AH128</f>
        <v>17902.250000000022</v>
      </c>
      <c r="W8" s="293">
        <f>Свод_ОФР!AI128</f>
        <v>17756.000000000022</v>
      </c>
      <c r="X8" s="293">
        <f>Свод_ОФР!AJ128</f>
        <v>17609.750000000022</v>
      </c>
      <c r="Y8" s="293">
        <f>Свод_ОФР!AK128</f>
        <v>17463.500000000022</v>
      </c>
      <c r="Z8" s="293">
        <f>Свод_ОФР!AL128</f>
        <v>17317.250000000022</v>
      </c>
      <c r="AA8" s="293">
        <f>Свод_ОФР!AM128</f>
        <v>17171.000000000022</v>
      </c>
      <c r="AB8" s="293">
        <f>Свод_ОФР!AN128</f>
        <v>17024.750000000022</v>
      </c>
      <c r="AC8" s="293">
        <f>Свод_ОФР!AO128</f>
        <v>16878.500000000022</v>
      </c>
      <c r="AD8" s="293">
        <f>Свод_ОФР!AP128</f>
        <v>16732.250000000022</v>
      </c>
      <c r="AE8" s="293">
        <f>Свод_ОФР!AQ128</f>
        <v>16586.000000000022</v>
      </c>
      <c r="AF8" s="293">
        <f>Свод_ОФР!AR128</f>
        <v>16439.750000000022</v>
      </c>
      <c r="AG8" s="293">
        <f>Свод_ОФР!AS128</f>
        <v>16293.500000000022</v>
      </c>
      <c r="AH8" s="293">
        <f>Свод_ОФР!AT128</f>
        <v>16147.250000000022</v>
      </c>
      <c r="AI8" s="293">
        <f>Свод_ОФР!AU128</f>
        <v>16001.000000000022</v>
      </c>
      <c r="AJ8" s="293">
        <f>Свод_ОФР!AV128</f>
        <v>15854.750000000022</v>
      </c>
      <c r="AK8" s="293">
        <f>Свод_ОФР!AW128</f>
        <v>15708.500000000022</v>
      </c>
      <c r="AL8" s="293">
        <f>Свод_ОФР!AX128</f>
        <v>15562.250000000022</v>
      </c>
      <c r="AM8" s="293">
        <f>Свод_ОФР!AY128</f>
        <v>15416.000000000022</v>
      </c>
      <c r="AN8" s="293">
        <f>Свод_ОФР!AZ128</f>
        <v>15269.750000000022</v>
      </c>
      <c r="AO8" s="293">
        <f>Свод_ОФР!BA128</f>
        <v>15123.500000000022</v>
      </c>
      <c r="AP8" s="293">
        <f>Свод_ОФР!BB128</f>
        <v>14977.250000000022</v>
      </c>
      <c r="AQ8" s="293">
        <f>Свод_ОФР!BC128</f>
        <v>14831.000000000022</v>
      </c>
      <c r="AR8" s="293">
        <f>Свод_ОФР!BD128</f>
        <v>14684.750000000022</v>
      </c>
      <c r="AS8" s="293">
        <f>Свод_ОФР!BE128</f>
        <v>14538.500000000022</v>
      </c>
      <c r="AT8" s="293">
        <f>Свод_ОФР!BF128</f>
        <v>14392.250000000022</v>
      </c>
      <c r="AU8" s="293">
        <f>Свод_ОФР!BG128</f>
        <v>14246.000000000022</v>
      </c>
      <c r="AV8" s="293">
        <f>Свод_ОФР!BH128</f>
        <v>14099.750000000022</v>
      </c>
      <c r="AW8" s="293">
        <f>Свод_ОФР!BI128</f>
        <v>13953.500000000022</v>
      </c>
      <c r="AX8" s="293">
        <f>Свод_ОФР!BJ128</f>
        <v>13807.250000000022</v>
      </c>
      <c r="AY8" s="293">
        <f>Свод_ОФР!BK128</f>
        <v>13661.000000000022</v>
      </c>
      <c r="AZ8" s="293">
        <f>Свод_ОФР!BL128</f>
        <v>13514.750000000022</v>
      </c>
      <c r="BA8" s="293">
        <f>Свод_ОФР!BM128</f>
        <v>13368.500000000022</v>
      </c>
      <c r="BB8" s="293">
        <f>Свод_ОФР!BN128</f>
        <v>13222.250000000022</v>
      </c>
      <c r="BC8" s="293">
        <f>Свод_ОФР!BO128</f>
        <v>13076.000000000022</v>
      </c>
      <c r="BD8" s="293">
        <f>Свод_ОФР!BP128</f>
        <v>12929.750000000022</v>
      </c>
      <c r="BE8" s="293">
        <f>Свод_ОФР!BQ128</f>
        <v>12783.500000000022</v>
      </c>
      <c r="BF8" s="293">
        <f>Свод_ОФР!BR128</f>
        <v>12637.250000000022</v>
      </c>
      <c r="BG8" s="293">
        <f>Свод_ОФР!BS128</f>
        <v>12491.000000000022</v>
      </c>
      <c r="BH8" s="293">
        <f>Свод_ОФР!BT128</f>
        <v>12344.750000000022</v>
      </c>
      <c r="BI8" s="293">
        <f>Свод_ОФР!BU128</f>
        <v>12198.500000000022</v>
      </c>
      <c r="BJ8" s="293">
        <f>Свод_ОФР!BV128</f>
        <v>12052.250000000022</v>
      </c>
      <c r="BK8" s="293">
        <f>Свод_ОФР!BW128</f>
        <v>11906.000000000022</v>
      </c>
      <c r="BL8" s="293">
        <f>Свод_ОФР!BX128</f>
        <v>11759.750000000022</v>
      </c>
      <c r="BM8" s="293">
        <f>Свод_ОФР!BY128</f>
        <v>11613.500000000022</v>
      </c>
      <c r="BN8" s="293">
        <f>Свод_ОФР!BZ128</f>
        <v>11467.250000000022</v>
      </c>
      <c r="BO8" s="293">
        <f>Свод_ОФР!CA128</f>
        <v>11321.000000000022</v>
      </c>
      <c r="BP8" s="293">
        <f>Свод_ОФР!CB128</f>
        <v>11174.750000000022</v>
      </c>
      <c r="BQ8" s="293">
        <f>Свод_ОФР!CC128</f>
        <v>11028.500000000022</v>
      </c>
      <c r="BR8" s="293">
        <f>Свод_ОФР!CD128</f>
        <v>10882.250000000022</v>
      </c>
      <c r="BS8" s="293">
        <f>Свод_ОФР!CE128</f>
        <v>10736.000000000022</v>
      </c>
      <c r="BT8" s="293">
        <f>Свод_ОФР!CF128</f>
        <v>10589.750000000022</v>
      </c>
      <c r="BU8" s="293">
        <f>Свод_ОФР!CG128</f>
        <v>10443.500000000022</v>
      </c>
      <c r="BV8" s="293">
        <f>Свод_ОФР!CH128</f>
        <v>10297.250000000022</v>
      </c>
      <c r="BW8" s="293">
        <f>Свод_ОФР!CI128</f>
        <v>10151.000000000022</v>
      </c>
      <c r="BX8" s="293">
        <f>Свод_ОФР!CJ128</f>
        <v>10004.750000000022</v>
      </c>
      <c r="BY8" s="293">
        <f>Свод_ОФР!CK128</f>
        <v>9858.5000000000218</v>
      </c>
      <c r="BZ8" s="293"/>
      <c r="CA8" s="293"/>
    </row>
    <row r="9" spans="2:79" ht="14.25" customHeight="1" x14ac:dyDescent="0.25">
      <c r="B9" s="294" t="s">
        <v>359</v>
      </c>
      <c r="C9" s="291" t="s">
        <v>4</v>
      </c>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3"/>
      <c r="BK9" s="293"/>
      <c r="BL9" s="293"/>
      <c r="BM9" s="293"/>
      <c r="BN9" s="293"/>
      <c r="BO9" s="293"/>
      <c r="BP9" s="293"/>
      <c r="BQ9" s="293"/>
      <c r="BR9" s="293"/>
      <c r="BS9" s="293"/>
      <c r="BT9" s="293"/>
      <c r="BU9" s="293"/>
      <c r="BV9" s="293"/>
      <c r="BW9" s="293"/>
      <c r="BX9" s="293"/>
      <c r="BY9" s="293"/>
      <c r="BZ9" s="293"/>
      <c r="CA9" s="293"/>
    </row>
    <row r="10" spans="2:79" ht="14.25" customHeight="1" x14ac:dyDescent="0.25">
      <c r="B10" s="290" t="s">
        <v>360</v>
      </c>
      <c r="C10" s="291" t="s">
        <v>4</v>
      </c>
      <c r="F10" s="292">
        <f t="shared" ref="F10:BL10" si="3">SUM(F11:F16)</f>
        <v>135599.51255612215</v>
      </c>
      <c r="G10" s="292">
        <f t="shared" si="3"/>
        <v>134098.96556109531</v>
      </c>
      <c r="H10" s="292">
        <f t="shared" si="3"/>
        <v>137016.50902057532</v>
      </c>
      <c r="I10" s="292">
        <f t="shared" si="3"/>
        <v>134187.84679400473</v>
      </c>
      <c r="J10" s="292">
        <f t="shared" si="3"/>
        <v>127029.50062107827</v>
      </c>
      <c r="K10" s="292">
        <f t="shared" si="3"/>
        <v>185995.90477904782</v>
      </c>
      <c r="L10" s="292">
        <f t="shared" si="3"/>
        <v>191547.9541750889</v>
      </c>
      <c r="M10" s="292">
        <f t="shared" si="3"/>
        <v>190964.99542231951</v>
      </c>
      <c r="N10" s="292">
        <f t="shared" si="3"/>
        <v>192372.24110162113</v>
      </c>
      <c r="O10" s="292">
        <f t="shared" si="3"/>
        <v>210120.28296813753</v>
      </c>
      <c r="P10" s="292">
        <f t="shared" si="3"/>
        <v>222700.61149604298</v>
      </c>
      <c r="Q10" s="292">
        <f t="shared" si="3"/>
        <v>383322.97839304723</v>
      </c>
      <c r="R10" s="292">
        <f t="shared" si="3"/>
        <v>383378.79022637033</v>
      </c>
      <c r="S10" s="292">
        <f t="shared" si="3"/>
        <v>385807.40937733103</v>
      </c>
      <c r="T10" s="292">
        <f t="shared" si="3"/>
        <v>387344.28141261311</v>
      </c>
      <c r="U10" s="292">
        <f t="shared" si="3"/>
        <v>366226.32571861311</v>
      </c>
      <c r="V10" s="292">
        <f t="shared" si="3"/>
        <v>356710.23546552716</v>
      </c>
      <c r="W10" s="292">
        <f t="shared" si="3"/>
        <v>379331.32529173791</v>
      </c>
      <c r="X10" s="292">
        <f t="shared" si="3"/>
        <v>371216.27297431533</v>
      </c>
      <c r="Y10" s="292">
        <f t="shared" si="3"/>
        <v>375594.06854405941</v>
      </c>
      <c r="Z10" s="292">
        <f t="shared" si="3"/>
        <v>383695.89995708631</v>
      </c>
      <c r="AA10" s="292">
        <f t="shared" si="3"/>
        <v>391132.6128838897</v>
      </c>
      <c r="AB10" s="292">
        <f t="shared" si="3"/>
        <v>402560.07202472753</v>
      </c>
      <c r="AC10" s="292">
        <f t="shared" si="3"/>
        <v>418888.07797242829</v>
      </c>
      <c r="AD10" s="292">
        <f t="shared" si="3"/>
        <v>431817.53490593907</v>
      </c>
      <c r="AE10" s="292">
        <f t="shared" si="3"/>
        <v>449186.26754985843</v>
      </c>
      <c r="AF10" s="292">
        <f t="shared" si="3"/>
        <v>468841.60586786899</v>
      </c>
      <c r="AG10" s="292">
        <f t="shared" si="3"/>
        <v>488523.10611927422</v>
      </c>
      <c r="AH10" s="292">
        <f t="shared" si="3"/>
        <v>509008.70205082657</v>
      </c>
      <c r="AI10" s="292">
        <f t="shared" si="3"/>
        <v>529175.96628855751</v>
      </c>
      <c r="AJ10" s="292">
        <f t="shared" si="3"/>
        <v>549813.24775579805</v>
      </c>
      <c r="AK10" s="292">
        <f t="shared" si="3"/>
        <v>570540.37637640152</v>
      </c>
      <c r="AL10" s="292">
        <f t="shared" si="3"/>
        <v>590569.08366314101</v>
      </c>
      <c r="AM10" s="292">
        <f t="shared" si="3"/>
        <v>610796.52252889308</v>
      </c>
      <c r="AN10" s="292">
        <f t="shared" si="3"/>
        <v>629901.92731187469</v>
      </c>
      <c r="AO10" s="292">
        <f t="shared" si="3"/>
        <v>659032.32808255253</v>
      </c>
      <c r="AP10" s="292">
        <f t="shared" si="3"/>
        <v>672272.9268108441</v>
      </c>
      <c r="AQ10" s="292">
        <f t="shared" si="3"/>
        <v>689745.5687647257</v>
      </c>
      <c r="AR10" s="292">
        <f t="shared" si="3"/>
        <v>708837.17319742264</v>
      </c>
      <c r="AS10" s="292">
        <f t="shared" si="3"/>
        <v>730303.11650040909</v>
      </c>
      <c r="AT10" s="292">
        <f t="shared" si="3"/>
        <v>685868.09929287364</v>
      </c>
      <c r="AU10" s="292">
        <f t="shared" si="3"/>
        <v>715696.55273521459</v>
      </c>
      <c r="AV10" s="292">
        <f t="shared" si="3"/>
        <v>746038.89835736074</v>
      </c>
      <c r="AW10" s="292">
        <f t="shared" si="3"/>
        <v>774649.52241863345</v>
      </c>
      <c r="AX10" s="292">
        <f t="shared" si="3"/>
        <v>802221.59070948604</v>
      </c>
      <c r="AY10" s="292">
        <f t="shared" si="3"/>
        <v>828097.84785269783</v>
      </c>
      <c r="AZ10" s="292">
        <f t="shared" si="3"/>
        <v>853106.14992107439</v>
      </c>
      <c r="BA10" s="292">
        <f t="shared" si="3"/>
        <v>823096.60238369787</v>
      </c>
      <c r="BB10" s="292">
        <f t="shared" si="3"/>
        <v>846836.74837344629</v>
      </c>
      <c r="BC10" s="292">
        <f t="shared" si="3"/>
        <v>875348.80992627144</v>
      </c>
      <c r="BD10" s="292">
        <f t="shared" si="3"/>
        <v>907156.69468696683</v>
      </c>
      <c r="BE10" s="292">
        <f t="shared" si="3"/>
        <v>941566.58067386411</v>
      </c>
      <c r="BF10" s="292">
        <f t="shared" si="3"/>
        <v>891166.69194637833</v>
      </c>
      <c r="BG10" s="292">
        <f t="shared" si="3"/>
        <v>928520.89754600683</v>
      </c>
      <c r="BH10" s="292">
        <f t="shared" si="3"/>
        <v>966491.1796268255</v>
      </c>
      <c r="BI10" s="292">
        <f t="shared" si="3"/>
        <v>1002438.4830884292</v>
      </c>
      <c r="BJ10" s="292">
        <f t="shared" si="3"/>
        <v>1037165.7815760645</v>
      </c>
      <c r="BK10" s="292">
        <f t="shared" si="3"/>
        <v>1071030.6236130432</v>
      </c>
      <c r="BL10" s="292">
        <f t="shared" si="3"/>
        <v>1102707.488216691</v>
      </c>
      <c r="BM10" s="292">
        <f t="shared" ref="BM10:BY10" si="4">SUM(BM11:BM16)</f>
        <v>1063866.491404925</v>
      </c>
      <c r="BN10" s="292">
        <f t="shared" si="4"/>
        <v>1091573.6657697109</v>
      </c>
      <c r="BO10" s="292">
        <f t="shared" si="4"/>
        <v>1124506.973893218</v>
      </c>
      <c r="BP10" s="292">
        <f t="shared" si="4"/>
        <v>1162936.2933741536</v>
      </c>
      <c r="BQ10" s="292">
        <f t="shared" si="4"/>
        <v>1204311.9280443951</v>
      </c>
      <c r="BR10" s="292">
        <f t="shared" si="4"/>
        <v>1138121.4610587878</v>
      </c>
      <c r="BS10" s="292">
        <f t="shared" si="4"/>
        <v>1182869.2853492012</v>
      </c>
      <c r="BT10" s="292">
        <f t="shared" si="4"/>
        <v>1228350.2988115514</v>
      </c>
      <c r="BU10" s="292">
        <f t="shared" si="4"/>
        <v>1271535.0910098741</v>
      </c>
      <c r="BV10" s="292">
        <f t="shared" si="4"/>
        <v>1314670.7921440818</v>
      </c>
      <c r="BW10" s="292">
        <f t="shared" si="4"/>
        <v>1355486.3132565585</v>
      </c>
      <c r="BX10" s="292">
        <f t="shared" si="4"/>
        <v>1393885.3650069213</v>
      </c>
      <c r="BY10" s="292">
        <f t="shared" si="4"/>
        <v>1343076.1185735462</v>
      </c>
      <c r="BZ10" s="293"/>
      <c r="CA10" s="293"/>
    </row>
    <row r="11" spans="2:79" ht="14.25" customHeight="1" x14ac:dyDescent="0.25">
      <c r="B11" s="294" t="s">
        <v>361</v>
      </c>
      <c r="C11" s="291" t="s">
        <v>4</v>
      </c>
      <c r="D11" s="293"/>
      <c r="E11" s="2"/>
      <c r="F11" s="295">
        <f>Свод_БДДС!L34</f>
        <v>465.03632904782171</v>
      </c>
      <c r="G11" s="295">
        <f>Свод_БДДС!M34</f>
        <v>588.5408690478223</v>
      </c>
      <c r="H11" s="295">
        <f>Свод_БДДС!N34</f>
        <v>448.89777904781454</v>
      </c>
      <c r="I11" s="295">
        <f>Свод_БДДС!O34</f>
        <v>459.28277904781169</v>
      </c>
      <c r="J11" s="295">
        <f>Свод_БДДС!P34</f>
        <v>438.76977904781063</v>
      </c>
      <c r="K11" s="295">
        <f>Свод_БДДС!Q34</f>
        <v>1452.4047790478162</v>
      </c>
      <c r="L11" s="295">
        <f>Свод_БДДС!R34</f>
        <v>820.75277904781842</v>
      </c>
      <c r="M11" s="295">
        <f>Свод_БДДС!S34</f>
        <v>573.2637790478193</v>
      </c>
      <c r="N11" s="295">
        <f>Свод_БДДС!T34</f>
        <v>533.27162329691578</v>
      </c>
      <c r="O11" s="295">
        <f>Свод_БДДС!U34</f>
        <v>604.26524589751511</v>
      </c>
      <c r="P11" s="295">
        <f>Свод_БДДС!V34</f>
        <v>552.62936618297158</v>
      </c>
      <c r="Q11" s="295">
        <f>Свод_БДДС!W34</f>
        <v>116530.10346016721</v>
      </c>
      <c r="R11" s="295">
        <f>Свод_БДДС!X34</f>
        <v>136286.64093581287</v>
      </c>
      <c r="S11" s="295">
        <f>Свод_БДДС!Y34</f>
        <v>127208.71820695791</v>
      </c>
      <c r="T11" s="295">
        <f>Свод_БДДС!Z34</f>
        <v>123858.1189930637</v>
      </c>
      <c r="U11" s="295">
        <f>Свод_БДДС!AA34</f>
        <v>98609.210071515248</v>
      </c>
      <c r="V11" s="295">
        <f>Свод_БДДС!AB34</f>
        <v>84271.646822788432</v>
      </c>
      <c r="W11" s="295">
        <f>Свод_БДДС!AC34</f>
        <v>41924.2645835414</v>
      </c>
      <c r="X11" s="295">
        <f>Свод_БДДС!AD34</f>
        <v>20606.939886362597</v>
      </c>
      <c r="Y11" s="295">
        <f>Свод_БДДС!AE34</f>
        <v>3020.0320577746825</v>
      </c>
      <c r="Z11" s="295">
        <f>Свод_БДДС!AF34</f>
        <v>1362.6508008882224</v>
      </c>
      <c r="AA11" s="295">
        <f>Свод_БДДС!AG34</f>
        <v>7961.0176922137525</v>
      </c>
      <c r="AB11" s="295">
        <f>Свод_БДДС!AH34</f>
        <v>3423.7492297725948</v>
      </c>
      <c r="AC11" s="295">
        <f>Свод_БДДС!AI34</f>
        <v>18706.422312620631</v>
      </c>
      <c r="AD11" s="295">
        <f>Свод_БДДС!AJ34</f>
        <v>34521.179544725324</v>
      </c>
      <c r="AE11" s="295">
        <f>Свод_БДДС!AK34</f>
        <v>14994.065065479488</v>
      </c>
      <c r="AF11" s="295">
        <f>Свод_БДДС!AL34</f>
        <v>20368.618329085759</v>
      </c>
      <c r="AG11" s="295">
        <f>Свод_БДДС!AM34</f>
        <v>26333.237984155574</v>
      </c>
      <c r="AH11" s="295">
        <f>Свод_БДДС!AN34</f>
        <v>46492.036920607236</v>
      </c>
      <c r="AI11" s="295">
        <f>Свод_БДДС!AO34</f>
        <v>60592.509146158314</v>
      </c>
      <c r="AJ11" s="295">
        <f>Свод_БДДС!AP34</f>
        <v>91018.587841191271</v>
      </c>
      <c r="AK11" s="295">
        <f>Свод_БДДС!AQ34</f>
        <v>123147.28315391713</v>
      </c>
      <c r="AL11" s="295">
        <f>Свод_БДДС!AR34</f>
        <v>147782.34198753885</v>
      </c>
      <c r="AM11" s="295">
        <f>Свод_БДДС!AS34</f>
        <v>181932.1920334454</v>
      </c>
      <c r="AN11" s="295">
        <f>Свод_БДДС!AT34</f>
        <v>177342.84021188962</v>
      </c>
      <c r="AO11" s="295">
        <f>Свод_БДДС!AU34</f>
        <v>225488.57421655557</v>
      </c>
      <c r="AP11" s="295">
        <f>Свод_БДДС!AV34</f>
        <v>279709.4047096658</v>
      </c>
      <c r="AQ11" s="295">
        <f>Свод_БДДС!AW34</f>
        <v>254194.20205786359</v>
      </c>
      <c r="AR11" s="295">
        <f>Свод_БДДС!AX34</f>
        <v>256899.7353515873</v>
      </c>
      <c r="AS11" s="295">
        <f>Свод_БДДС!AY34</f>
        <v>262569.99528464081</v>
      </c>
      <c r="AT11" s="295">
        <f>Свод_БДДС!AZ34</f>
        <v>217887.297622902</v>
      </c>
      <c r="AU11" s="295">
        <f>Свод_БДДС!BA34</f>
        <v>240793.20057021559</v>
      </c>
      <c r="AV11" s="295">
        <f>Свод_БДДС!BB34</f>
        <v>282625.54762574087</v>
      </c>
      <c r="AW11" s="295">
        <f>Свод_БДДС!BC34</f>
        <v>324599.00115790009</v>
      </c>
      <c r="AX11" s="295">
        <f>Свод_БДДС!BD34</f>
        <v>357657.78378118662</v>
      </c>
      <c r="AY11" s="295">
        <f>Свод_БДДС!BE34</f>
        <v>398833.10854440823</v>
      </c>
      <c r="AZ11" s="295">
        <f>Свод_БДДС!BF34</f>
        <v>395804.94540525664</v>
      </c>
      <c r="BA11" s="295">
        <f>Свод_БДДС!BG34</f>
        <v>387038.20204834553</v>
      </c>
      <c r="BB11" s="295">
        <f>Свод_БДДС!BH34</f>
        <v>455947.95903676603</v>
      </c>
      <c r="BC11" s="295">
        <f>Свод_БДДС!BI34</f>
        <v>431930.24064143957</v>
      </c>
      <c r="BD11" s="295">
        <f>Свод_БДДС!BJ34</f>
        <v>441654.23050791683</v>
      </c>
      <c r="BE11" s="295">
        <f>Свод_БДДС!BK34</f>
        <v>454428.59473005915</v>
      </c>
      <c r="BF11" s="295">
        <f>Свод_БДДС!BL34</f>
        <v>400256.80477249576</v>
      </c>
      <c r="BG11" s="295">
        <f>Свод_БДДС!BM34</f>
        <v>425982.86932847532</v>
      </c>
      <c r="BH11" s="295">
        <f>Свод_БДДС!BN34</f>
        <v>473610.00446000707</v>
      </c>
      <c r="BI11" s="295">
        <f>Свод_БДДС!BO34</f>
        <v>521541.26849559875</v>
      </c>
      <c r="BJ11" s="295">
        <f>Свод_БДДС!BP34</f>
        <v>557995.26159839495</v>
      </c>
      <c r="BK11" s="295">
        <f>Свод_БДДС!BQ34</f>
        <v>605535.67731496156</v>
      </c>
      <c r="BL11" s="295">
        <f>Свод_БДДС!BR34</f>
        <v>603569.61893416476</v>
      </c>
      <c r="BM11" s="295">
        <f>Свод_БДДС!BS34</f>
        <v>589550.04548854171</v>
      </c>
      <c r="BN11" s="295">
        <f>Свод_БДДС!BT34</f>
        <v>672626.75633230992</v>
      </c>
      <c r="BO11" s="295">
        <f>Свод_БДДС!BU34</f>
        <v>645212.10535327869</v>
      </c>
      <c r="BP11" s="295">
        <f>Свод_БДДС!BV34</f>
        <v>658100.32017809292</v>
      </c>
      <c r="BQ11" s="295">
        <f>Свод_БДДС!BW34</f>
        <v>674603.35317717353</v>
      </c>
      <c r="BR11" s="295">
        <f>Свод_БДДС!BX34</f>
        <v>604033.48061737209</v>
      </c>
      <c r="BS11" s="295">
        <f>Свод_БДДС!BY34</f>
        <v>635400.93561150867</v>
      </c>
      <c r="BT11" s="295">
        <f>Свод_БДДС!BZ34</f>
        <v>691891.10010879359</v>
      </c>
      <c r="BU11" s="295">
        <f>Свод_БДДС!CA34</f>
        <v>747238.85024198575</v>
      </c>
      <c r="BV11" s="295">
        <f>Свод_БДДС!CB34</f>
        <v>791172.21111654269</v>
      </c>
      <c r="BW11" s="295">
        <f>Свод_БДДС!CC34</f>
        <v>850131.60710320773</v>
      </c>
      <c r="BX11" s="295">
        <f>Свод_БДДС!CD34</f>
        <v>849940.8408783077</v>
      </c>
      <c r="BY11" s="295">
        <f>Свод_БДДС!CE34</f>
        <v>875114.3476607909</v>
      </c>
      <c r="BZ11" s="293"/>
      <c r="CA11" s="293"/>
    </row>
    <row r="12" spans="2:79" ht="14.25" customHeight="1" x14ac:dyDescent="0.25">
      <c r="B12" s="294" t="s">
        <v>362</v>
      </c>
      <c r="C12" s="291" t="s">
        <v>4</v>
      </c>
      <c r="E12" s="293"/>
      <c r="F12" s="293">
        <v>1776</v>
      </c>
      <c r="G12" s="293">
        <v>1671</v>
      </c>
      <c r="H12" s="293">
        <v>1566</v>
      </c>
      <c r="I12" s="293">
        <v>1461</v>
      </c>
      <c r="J12" s="293">
        <v>1356</v>
      </c>
      <c r="K12" s="293">
        <v>1249</v>
      </c>
      <c r="L12" s="293">
        <f>K12-105</f>
        <v>1144</v>
      </c>
      <c r="M12" s="293">
        <f t="shared" ref="M12:P12" si="5">L12-105</f>
        <v>1039</v>
      </c>
      <c r="N12" s="293">
        <v>2810</v>
      </c>
      <c r="O12" s="293">
        <f t="shared" si="5"/>
        <v>2705</v>
      </c>
      <c r="P12" s="293">
        <f t="shared" si="5"/>
        <v>2600</v>
      </c>
      <c r="Q12" s="293">
        <f>P12-105-IF(Свод_ОФР!AC119&lt;0,Свод_ОФР!AC119,0)</f>
        <v>2495</v>
      </c>
      <c r="R12" s="293">
        <f>-IF(Свод_ОФР!AD119&lt;0,Свод_ОФР!AD119,0)</f>
        <v>0</v>
      </c>
      <c r="S12" s="293">
        <f>-IF(Свод_ОФР!AE119&lt;0,Свод_ОФР!AE119,0)</f>
        <v>0</v>
      </c>
      <c r="T12" s="293">
        <f>-IF(Свод_ОФР!AF119&lt;0,Свод_ОФР!AF119,0)</f>
        <v>0</v>
      </c>
      <c r="U12" s="293">
        <f>-IF(Свод_ОФР!AG119&lt;0,Свод_ОФР!AG119,0)</f>
        <v>1396.4222425546159</v>
      </c>
      <c r="V12" s="293">
        <f>-IF(Свод_ОФР!AH119&lt;0,Свод_ОФР!AH119,0)</f>
        <v>3693.2582221927769</v>
      </c>
      <c r="W12" s="293">
        <f>-IF(Свод_ОФР!AI119&lt;0,Свод_ОФР!AI119,0)</f>
        <v>63363.025046541807</v>
      </c>
      <c r="X12" s="293">
        <f>-IF(Свод_ОФР!AJ119&lt;0,Свод_ОФР!AJ119,0)</f>
        <v>64989.586841910903</v>
      </c>
      <c r="Y12" s="293">
        <f>-IF(Свод_ОФР!AK119&lt;0,Свод_ОФР!AK119,0)</f>
        <v>64757.492202469897</v>
      </c>
      <c r="Z12" s="293">
        <f>-IF(Свод_ОФР!AL119&lt;0,Свод_ОФР!AL119,0)</f>
        <v>63870.263954714021</v>
      </c>
      <c r="AA12" s="293">
        <f>-IF(Свод_ОФР!AM119&lt;0,Свод_ОФР!AM119,0)</f>
        <v>62855.813461771693</v>
      </c>
      <c r="AB12" s="293">
        <f>-IF(Свод_ОФР!AN119&lt;0,Свод_ОФР!AN119,0)</f>
        <v>61699.038022131121</v>
      </c>
      <c r="AC12" s="293">
        <f>-IF(Свод_ОФР!AO119&lt;0,Свод_ОФР!AO119,0)</f>
        <v>59972.940134752971</v>
      </c>
      <c r="AD12" s="293">
        <f>-IF(Свод_ОФР!AP119&lt;0,Свод_ОФР!AP119,0)</f>
        <v>58394.783294646339</v>
      </c>
      <c r="AE12" s="293">
        <f>-IF(Свод_ОФР!AQ119&lt;0,Свод_ОФР!AQ119,0)</f>
        <v>56518.095913016841</v>
      </c>
      <c r="AF12" s="293">
        <f>-IF(Свод_ОФР!AR119&lt;0,Свод_ОФР!AR119,0)</f>
        <v>54299.500934990057</v>
      </c>
      <c r="AG12" s="293">
        <f>-IF(Свод_ОФР!AS119&lt;0,Свод_ОФР!AS119,0)</f>
        <v>51958.773710020148</v>
      </c>
      <c r="AH12" s="293">
        <f>-IF(Свод_ОФР!AT119&lt;0,Свод_ОФР!AT119,0)</f>
        <v>49486.730274354581</v>
      </c>
      <c r="AI12" s="293">
        <f>-IF(Свод_ОФР!AU119&lt;0,Свод_ОФР!AU119,0)</f>
        <v>46946.611963178286</v>
      </c>
      <c r="AJ12" s="293">
        <f>-IF(Свод_ОФР!AV119&lt;0,Свод_ОФР!AV119,0)</f>
        <v>44336.986005692124</v>
      </c>
      <c r="AK12" s="293">
        <f>-IF(Свод_ОФР!AW119&lt;0,Свод_ОФР!AW119,0)</f>
        <v>41838.150581096619</v>
      </c>
      <c r="AL12" s="293">
        <f>-IF(Свод_ОФР!AX119&lt;0,Свод_ОФР!AX119,0)</f>
        <v>39446.558934173445</v>
      </c>
      <c r="AM12" s="293">
        <f>-IF(Свод_ОФР!AY119&lt;0,Свод_ОФР!AY119,0)</f>
        <v>37147.753303017162</v>
      </c>
      <c r="AN12" s="293">
        <f>-IF(Свод_ОФР!AZ119&lt;0,Свод_ОФР!AZ119,0)</f>
        <v>35000.385213510031</v>
      </c>
      <c r="AO12" s="293">
        <f>-IF(Свод_ОФР!BA119&lt;0,Свод_ОФР!BA119,0)</f>
        <v>31868.433169878837</v>
      </c>
      <c r="AP12" s="293">
        <f>-IF(Свод_ОФР!BB119&lt;0,Свод_ОФР!BB119,0)</f>
        <v>29755.084294598746</v>
      </c>
      <c r="AQ12" s="293">
        <f>-IF(Свод_ОФР!BC119&lt;0,Свод_ОФР!BC119,0)</f>
        <v>27451.618871507955</v>
      </c>
      <c r="AR12" s="293">
        <f>-IF(Свод_ОФР!BD119&lt;0,Свод_ОФР!BD119,0)</f>
        <v>24749.048543812929</v>
      </c>
      <c r="AS12" s="293">
        <f>-IF(Свод_ОФР!BE119&lt;0,Свод_ОФР!BE119,0)</f>
        <v>21903.67621455454</v>
      </c>
      <c r="AT12" s="293">
        <f>-IF(Свод_ОФР!BF119&lt;0,Свод_ОФР!BF119,0)</f>
        <v>18903.913502296542</v>
      </c>
      <c r="AU12" s="293">
        <f>-IF(Свод_ОФР!BG119&lt;0,Свод_ОФР!BG119,0)</f>
        <v>15824.80297870046</v>
      </c>
      <c r="AV12" s="293">
        <f>-IF(Свод_ОФР!BH119&lt;0,Свод_ОФР!BH119,0)</f>
        <v>12664.669402151301</v>
      </c>
      <c r="AW12" s="293">
        <f>-IF(Свод_ОФР!BI119&lt;0,Свод_ОФР!BI119,0)</f>
        <v>9633.7893668219895</v>
      </c>
      <c r="AX12" s="293">
        <f>-IF(Свод_ОФР!BJ119&lt;0,Свод_ОФР!BJ119,0)</f>
        <v>6715.4167061686639</v>
      </c>
      <c r="AY12" s="293">
        <f>-IF(Свод_ОФР!BK119&lt;0,Свод_ОФР!BK119,0)</f>
        <v>3905.2113794272427</v>
      </c>
      <c r="AZ12" s="293">
        <f>-IF(Свод_ОФР!BL119&lt;0,Свод_ОФР!BL119,0)</f>
        <v>1195.2820651697402</v>
      </c>
      <c r="BA12" s="293">
        <f>-IF(Свод_ОФР!BM119&lt;0,Свод_ОФР!BM119,0)</f>
        <v>0</v>
      </c>
      <c r="BB12" s="293">
        <f>-IF(Свод_ОФР!BN119&lt;0,Свод_ОФР!BN119,0)</f>
        <v>0</v>
      </c>
      <c r="BC12" s="293">
        <f>-IF(Свод_ОФР!BO119&lt;0,Свод_ОФР!BO119,0)</f>
        <v>0</v>
      </c>
      <c r="BD12" s="293">
        <f>-IF(Свод_ОФР!BP119&lt;0,Свод_ОФР!BP119,0)</f>
        <v>0</v>
      </c>
      <c r="BE12" s="293">
        <f>-IF(Свод_ОФР!BQ119&lt;0,Свод_ОФР!BQ119,0)</f>
        <v>0</v>
      </c>
      <c r="BF12" s="293">
        <f>-IF(Свод_ОФР!BR119&lt;0,Свод_ОФР!BR119,0)</f>
        <v>0</v>
      </c>
      <c r="BG12" s="293">
        <f>-IF(Свод_ОФР!BS119&lt;0,Свод_ОФР!BS119,0)</f>
        <v>0</v>
      </c>
      <c r="BH12" s="293">
        <f>-IF(Свод_ОФР!BT119&lt;0,Свод_ОФР!BT119,0)</f>
        <v>0</v>
      </c>
      <c r="BI12" s="293">
        <f>-IF(Свод_ОФР!BU119&lt;0,Свод_ОФР!BU119,0)</f>
        <v>0</v>
      </c>
      <c r="BJ12" s="293">
        <f>-IF(Свод_ОФР!BV119&lt;0,Свод_ОФР!BV119,0)</f>
        <v>0</v>
      </c>
      <c r="BK12" s="293">
        <f>-IF(Свод_ОФР!BW119&lt;0,Свод_ОФР!BW119,0)</f>
        <v>0</v>
      </c>
      <c r="BL12" s="293">
        <f>-IF(Свод_ОФР!BX119&lt;0,Свод_ОФР!BX119,0)</f>
        <v>0</v>
      </c>
      <c r="BM12" s="293">
        <f>-IF(Свод_ОФР!BY119&lt;0,Свод_ОФР!BY119,0)</f>
        <v>0</v>
      </c>
      <c r="BN12" s="293">
        <f>-IF(Свод_ОФР!BZ119&lt;0,Свод_ОФР!BZ119,0)</f>
        <v>0</v>
      </c>
      <c r="BO12" s="293">
        <f>-IF(Свод_ОФР!CA119&lt;0,Свод_ОФР!CA119,0)</f>
        <v>0</v>
      </c>
      <c r="BP12" s="293">
        <f>-IF(Свод_ОФР!CB119&lt;0,Свод_ОФР!CB119,0)</f>
        <v>0</v>
      </c>
      <c r="BQ12" s="293">
        <f>-IF(Свод_ОФР!CC119&lt;0,Свод_ОФР!CC119,0)</f>
        <v>0</v>
      </c>
      <c r="BR12" s="293">
        <f>-IF(Свод_ОФР!CD119&lt;0,Свод_ОФР!CD119,0)</f>
        <v>0</v>
      </c>
      <c r="BS12" s="293">
        <f>-IF(Свод_ОФР!CE119&lt;0,Свод_ОФР!CE119,0)</f>
        <v>0</v>
      </c>
      <c r="BT12" s="293">
        <f>-IF(Свод_ОФР!CF119&lt;0,Свод_ОФР!CF119,0)</f>
        <v>0</v>
      </c>
      <c r="BU12" s="293">
        <f>-IF(Свод_ОФР!CG119&lt;0,Свод_ОФР!CG119,0)</f>
        <v>0</v>
      </c>
      <c r="BV12" s="293">
        <f>-IF(Свод_ОФР!CH119&lt;0,Свод_ОФР!CH119,0)</f>
        <v>0</v>
      </c>
      <c r="BW12" s="293">
        <f>-IF(Свод_ОФР!CI119&lt;0,Свод_ОФР!CI119,0)</f>
        <v>0</v>
      </c>
      <c r="BX12" s="293">
        <f>-IF(Свод_ОФР!CJ119&lt;0,Свод_ОФР!CJ119,0)</f>
        <v>0</v>
      </c>
      <c r="BY12" s="293">
        <f>-IF(Свод_ОФР!CK119&lt;0,Свод_ОФР!CK119,0)</f>
        <v>0</v>
      </c>
      <c r="BZ12" s="293"/>
      <c r="CA12" s="293"/>
    </row>
    <row r="13" spans="2:79" ht="14.25" customHeight="1" x14ac:dyDescent="0.25">
      <c r="B13" s="294" t="s">
        <v>363</v>
      </c>
      <c r="C13" s="291" t="s">
        <v>4</v>
      </c>
      <c r="E13" s="293"/>
      <c r="F13" s="293">
        <f>ОК!F7</f>
        <v>57793.887509999986</v>
      </c>
      <c r="G13" s="293">
        <f>ОК!G7</f>
        <v>55380.199910000003</v>
      </c>
      <c r="H13" s="293">
        <f>ОК!H7</f>
        <v>58270.828329999997</v>
      </c>
      <c r="I13" s="293">
        <f>ОК!I7</f>
        <v>55229.236819999998</v>
      </c>
      <c r="J13" s="293">
        <f>ОК!J7</f>
        <v>47885.671860000002</v>
      </c>
      <c r="K13" s="293">
        <f>ОК!K7</f>
        <v>106945</v>
      </c>
      <c r="L13" s="293">
        <f>ОК!L7</f>
        <v>109638</v>
      </c>
      <c r="M13" s="293">
        <f>ОК!M7</f>
        <v>110984.5</v>
      </c>
      <c r="N13" s="293">
        <f>ОК!N7</f>
        <v>112331</v>
      </c>
      <c r="O13" s="293">
        <f>ОК!O7</f>
        <v>122156.11514000001</v>
      </c>
      <c r="P13" s="293">
        <f>ОК!P7</f>
        <v>137702.71203</v>
      </c>
      <c r="Q13" s="293">
        <f>ОК!Q7</f>
        <v>139852.54437000002</v>
      </c>
      <c r="R13" s="293">
        <f>ОК!R7</f>
        <v>121282.70457967743</v>
      </c>
      <c r="S13" s="293">
        <f>ОК!S7</f>
        <v>126653.75169949309</v>
      </c>
      <c r="T13" s="293">
        <f>ОК!T7</f>
        <v>131333.05054741938</v>
      </c>
      <c r="U13" s="293">
        <f>ОК!U7</f>
        <v>132436.07656556452</v>
      </c>
      <c r="V13" s="293">
        <f>ОК!V7</f>
        <v>133709.97314127017</v>
      </c>
      <c r="W13" s="293">
        <f>ОК!W7</f>
        <v>136832.90572059317</v>
      </c>
      <c r="X13" s="293">
        <f>ОК!X7</f>
        <v>138222.5385971338</v>
      </c>
      <c r="Y13" s="293">
        <f>ОК!Y7</f>
        <v>154348.97737714785</v>
      </c>
      <c r="Z13" s="293">
        <f>ОК!Z7</f>
        <v>164163.4444159581</v>
      </c>
      <c r="AA13" s="293">
        <f>ОК!AA7</f>
        <v>162033.04170519469</v>
      </c>
      <c r="AB13" s="293">
        <f>ОК!AB7</f>
        <v>168736.56777534162</v>
      </c>
      <c r="AC13" s="293">
        <f>ОК!AC7</f>
        <v>180457.42510328657</v>
      </c>
      <c r="AD13" s="293">
        <f>ОК!AD7</f>
        <v>168679.88535479284</v>
      </c>
      <c r="AE13" s="293">
        <f>ОК!AE7</f>
        <v>190977.5834435276</v>
      </c>
      <c r="AF13" s="293">
        <f>ОК!AF7</f>
        <v>199663.50533685874</v>
      </c>
      <c r="AG13" s="293">
        <f>ОК!AG7</f>
        <v>211925.61225359992</v>
      </c>
      <c r="AH13" s="293">
        <f>ОК!AH7</f>
        <v>212780.70573655289</v>
      </c>
      <c r="AI13" s="293">
        <f>ОК!AI7</f>
        <v>219403.74276018987</v>
      </c>
      <c r="AJ13" s="293">
        <f>ОК!AJ7</f>
        <v>217735.08543603483</v>
      </c>
      <c r="AK13" s="293">
        <f>ОК!AK7</f>
        <v>211584.83934864166</v>
      </c>
      <c r="AL13" s="293">
        <f>ОК!AL7</f>
        <v>212030.67468735026</v>
      </c>
      <c r="AM13" s="293">
        <f>ОК!AM7</f>
        <v>204727.08699029227</v>
      </c>
      <c r="AN13" s="293">
        <f>ОК!AN7</f>
        <v>202890.99382660771</v>
      </c>
      <c r="AO13" s="293">
        <f>ОК!AO7</f>
        <v>234374.7633634173</v>
      </c>
      <c r="AP13" s="293">
        <f>ОК!AP7</f>
        <v>181347.52995639341</v>
      </c>
      <c r="AQ13" s="293">
        <f>ОК!AQ7</f>
        <v>207548.39959310123</v>
      </c>
      <c r="AR13" s="293">
        <f>ОК!AR7</f>
        <v>217586.87256608478</v>
      </c>
      <c r="AS13" s="293">
        <f>ОК!AS7</f>
        <v>231820.73327880376</v>
      </c>
      <c r="AT13" s="293">
        <f>ОК!AT7</f>
        <v>232813.46805734053</v>
      </c>
      <c r="AU13" s="293">
        <f>ОК!AU7</f>
        <v>240513.81056066166</v>
      </c>
      <c r="AV13" s="293">
        <f>ОК!AV7</f>
        <v>238568.80933822659</v>
      </c>
      <c r="AW13" s="293">
        <f>ОК!AW7</f>
        <v>231434.03695394672</v>
      </c>
      <c r="AX13" s="293">
        <f>ОК!AX7</f>
        <v>231953.17334681388</v>
      </c>
      <c r="AY13" s="293">
        <f>ОК!AY7</f>
        <v>223460.6810695625</v>
      </c>
      <c r="AZ13" s="293">
        <f>ОК!AZ7</f>
        <v>223083.0100182824</v>
      </c>
      <c r="BA13" s="293">
        <f>ОК!BA7</f>
        <v>257944.39031857328</v>
      </c>
      <c r="BB13" s="293">
        <f>ОК!BB7</f>
        <v>196388.25275728136</v>
      </c>
      <c r="BC13" s="293">
        <f>ОК!BC7</f>
        <v>226798.22865595727</v>
      </c>
      <c r="BD13" s="293">
        <f>ОК!BD7</f>
        <v>238401.46192173651</v>
      </c>
      <c r="BE13" s="293">
        <f>ОК!BE7</f>
        <v>254919.84706789194</v>
      </c>
      <c r="BF13" s="293">
        <f>ОК!BF7</f>
        <v>256073.32194953717</v>
      </c>
      <c r="BG13" s="293">
        <f>ОК!BG7</f>
        <v>265028.86716895242</v>
      </c>
      <c r="BH13" s="293">
        <f>ОК!BH7</f>
        <v>262767.13184258738</v>
      </c>
      <c r="BI13" s="293">
        <f>ОК!BI7</f>
        <v>254493.97470973141</v>
      </c>
      <c r="BJ13" s="293">
        <f>ОК!BJ7</f>
        <v>255101.37786899833</v>
      </c>
      <c r="BK13" s="293">
        <f>ОК!BK7</f>
        <v>247308.20593437488</v>
      </c>
      <c r="BL13" s="293">
        <f>ОК!BL7</f>
        <v>244797.95754544946</v>
      </c>
      <c r="BM13" s="293">
        <f>ОК!BM7</f>
        <v>285359.61163482477</v>
      </c>
      <c r="BN13" s="293">
        <f>ОК!BN7</f>
        <v>211082.42691220372</v>
      </c>
      <c r="BO13" s="293">
        <f>ОК!BO7</f>
        <v>245968.41308503575</v>
      </c>
      <c r="BP13" s="293">
        <f>ОК!BP7</f>
        <v>259412.84980103915</v>
      </c>
      <c r="BQ13" s="293">
        <f>ОК!BQ7</f>
        <v>278405.5614233762</v>
      </c>
      <c r="BR13" s="293">
        <f>ОК!BR7</f>
        <v>279751.96171907906</v>
      </c>
      <c r="BS13" s="293">
        <f>ОК!BS7</f>
        <v>290036.13741002872</v>
      </c>
      <c r="BT13" s="293">
        <f>ОК!BT7</f>
        <v>287501.18767031934</v>
      </c>
      <c r="BU13" s="293">
        <f>ОК!BU7</f>
        <v>278054.32442000334</v>
      </c>
      <c r="BV13" s="293">
        <f>ОК!BV7</f>
        <v>281389.66235008673</v>
      </c>
      <c r="BW13" s="293">
        <f>ОК!BW7</f>
        <v>269970.90487317223</v>
      </c>
      <c r="BX13" s="293">
        <f>ОК!BX7</f>
        <v>267134.02843917161</v>
      </c>
      <c r="BY13" s="293">
        <f>ОК!BY7</f>
        <v>367085.11498387519</v>
      </c>
      <c r="BZ13" s="293"/>
      <c r="CA13" s="293"/>
    </row>
    <row r="14" spans="2:79" ht="14.25" customHeight="1" x14ac:dyDescent="0.25">
      <c r="B14" s="294" t="s">
        <v>364</v>
      </c>
      <c r="C14" s="291" t="s">
        <v>4</v>
      </c>
      <c r="E14" s="293"/>
      <c r="F14" s="293">
        <f>ОК!F11</f>
        <v>72136.900000000009</v>
      </c>
      <c r="G14" s="293">
        <f>ОК!G11</f>
        <v>70694.162000000011</v>
      </c>
      <c r="H14" s="293">
        <f>ОК!H11</f>
        <v>71401.103620000009</v>
      </c>
      <c r="I14" s="293">
        <f>ОК!I11</f>
        <v>72115.114656200007</v>
      </c>
      <c r="J14" s="293">
        <f>ОК!J11</f>
        <v>72836.265802762005</v>
      </c>
      <c r="K14" s="293">
        <f>ОК!K11</f>
        <v>71914</v>
      </c>
      <c r="L14" s="293">
        <f>ОК!L11</f>
        <v>67734</v>
      </c>
      <c r="M14" s="293">
        <f>ОК!M11</f>
        <v>66868.497561188749</v>
      </c>
      <c r="N14" s="293">
        <f>ОК!N11</f>
        <v>63554</v>
      </c>
      <c r="O14" s="293">
        <f>ОК!O11</f>
        <v>75355.90258224</v>
      </c>
      <c r="P14" s="293">
        <f>ОК!P11</f>
        <v>72549.270099860005</v>
      </c>
      <c r="Q14" s="293">
        <f>ОК!Q11</f>
        <v>115394.33056288</v>
      </c>
      <c r="R14" s="293">
        <f>ОК!R11</f>
        <v>116758.44471087999</v>
      </c>
      <c r="S14" s="293">
        <f>ОК!S11</f>
        <v>122893.93947088</v>
      </c>
      <c r="T14" s="293">
        <f>ОК!T11</f>
        <v>123102.11187213002</v>
      </c>
      <c r="U14" s="293">
        <f>ОК!U11</f>
        <v>124733.61683897875</v>
      </c>
      <c r="V14" s="293">
        <f>ОК!V11</f>
        <v>125984.35727927575</v>
      </c>
      <c r="W14" s="293">
        <f>ОК!W11</f>
        <v>128160.12994106155</v>
      </c>
      <c r="X14" s="293">
        <f>ОК!X11</f>
        <v>138346.20764890796</v>
      </c>
      <c r="Y14" s="293">
        <f>ОК!Y11</f>
        <v>144416.56690666691</v>
      </c>
      <c r="Z14" s="293">
        <f>ОК!Z11</f>
        <v>145248.54078552593</v>
      </c>
      <c r="AA14" s="293">
        <f>ОК!AA11</f>
        <v>149231.74002470952</v>
      </c>
      <c r="AB14" s="293">
        <f>ОК!AB11</f>
        <v>159649.71699748212</v>
      </c>
      <c r="AC14" s="293">
        <f>ОК!AC11</f>
        <v>150700.29042176815</v>
      </c>
      <c r="AD14" s="293">
        <f>ОК!AD11</f>
        <v>161170.68671177456</v>
      </c>
      <c r="AE14" s="293">
        <f>ОК!AE11</f>
        <v>177645.52312783449</v>
      </c>
      <c r="AF14" s="293">
        <f>ОК!AF11</f>
        <v>185458.98126693437</v>
      </c>
      <c r="AG14" s="293">
        <f>ОК!AG11</f>
        <v>189254.48217149859</v>
      </c>
      <c r="AH14" s="293">
        <f>ОК!AH11</f>
        <v>191198.22911931184</v>
      </c>
      <c r="AI14" s="293">
        <f>ОК!AI11</f>
        <v>193182.10241903103</v>
      </c>
      <c r="AJ14" s="293">
        <f>ОК!AJ11</f>
        <v>187671.58847287981</v>
      </c>
      <c r="AK14" s="293">
        <f>ОК!AK11</f>
        <v>184919.10329274609</v>
      </c>
      <c r="AL14" s="293">
        <f>ОК!AL11</f>
        <v>182258.50805407844</v>
      </c>
      <c r="AM14" s="293">
        <f>ОК!AM11</f>
        <v>177938.49020213823</v>
      </c>
      <c r="AN14" s="293">
        <f>ОК!AN11</f>
        <v>205616.70805986738</v>
      </c>
      <c r="AO14" s="293">
        <f>ОК!AO11</f>
        <v>158249.55733270082</v>
      </c>
      <c r="AP14" s="293">
        <f>ОК!AP11</f>
        <v>172409.90785018614</v>
      </c>
      <c r="AQ14" s="293">
        <f>ОК!AQ11</f>
        <v>191500.34824225295</v>
      </c>
      <c r="AR14" s="293">
        <f>ОК!AR11</f>
        <v>200550.51673593768</v>
      </c>
      <c r="AS14" s="293">
        <f>ОК!AS11</f>
        <v>204957.71172240993</v>
      </c>
      <c r="AT14" s="293">
        <f>ОК!AT11</f>
        <v>207212.42011033453</v>
      </c>
      <c r="AU14" s="293">
        <f>ОК!AU11</f>
        <v>209513.73862563682</v>
      </c>
      <c r="AV14" s="293">
        <f>ОК!AV11</f>
        <v>203128.87199124196</v>
      </c>
      <c r="AW14" s="293">
        <f>ОК!AW11</f>
        <v>199931.69493996468</v>
      </c>
      <c r="AX14" s="293">
        <f>ОК!AX11</f>
        <v>196844.21687531675</v>
      </c>
      <c r="AY14" s="293">
        <f>ОК!AY11</f>
        <v>192847.84685929975</v>
      </c>
      <c r="AZ14" s="293">
        <f>ОК!AZ11</f>
        <v>223971.91243236567</v>
      </c>
      <c r="BA14" s="293">
        <f>ОК!BA11</f>
        <v>169063.01001677895</v>
      </c>
      <c r="BB14" s="293">
        <f>ОК!BB11</f>
        <v>185449.5365793989</v>
      </c>
      <c r="BC14" s="293">
        <f>ОК!BC11</f>
        <v>207569.34062887466</v>
      </c>
      <c r="BD14" s="293">
        <f>ОК!BD11</f>
        <v>218050.00225731343</v>
      </c>
      <c r="BE14" s="293">
        <f>ОК!BE11</f>
        <v>223167.13887591299</v>
      </c>
      <c r="BF14" s="293">
        <f>ОК!BF11</f>
        <v>225785.56522434525</v>
      </c>
      <c r="BG14" s="293">
        <f>ОК!BG11</f>
        <v>228458.16104857909</v>
      </c>
      <c r="BH14" s="293">
        <f>ОК!BH11</f>
        <v>221063.04332423094</v>
      </c>
      <c r="BI14" s="293">
        <f>ОК!BI11</f>
        <v>217352.23988309907</v>
      </c>
      <c r="BJ14" s="293">
        <f>ОК!BJ11</f>
        <v>215018.14210867108</v>
      </c>
      <c r="BK14" s="293">
        <f>ОК!BK11</f>
        <v>209135.74036370689</v>
      </c>
      <c r="BL14" s="293">
        <f>ОК!BL11</f>
        <v>245288.91173707671</v>
      </c>
      <c r="BM14" s="293">
        <f>ОК!BM11</f>
        <v>179905.83428155852</v>
      </c>
      <c r="BN14" s="293">
        <f>ОК!BN11</f>
        <v>198813.48252519706</v>
      </c>
      <c r="BO14" s="293">
        <f>ОК!BO11</f>
        <v>224275.45545490319</v>
      </c>
      <c r="BP14" s="293">
        <f>ОК!BP11</f>
        <v>236372.12339502122</v>
      </c>
      <c r="BQ14" s="293">
        <f>ОК!BQ11</f>
        <v>242252.01344384527</v>
      </c>
      <c r="BR14" s="293">
        <f>ОК!BR11</f>
        <v>245285.01872233668</v>
      </c>
      <c r="BS14" s="293">
        <f>ОК!BS11</f>
        <v>248381.21232766361</v>
      </c>
      <c r="BT14" s="293">
        <f>ОК!BT11</f>
        <v>239907.01103243814</v>
      </c>
      <c r="BU14" s="293">
        <f>ОК!BU11</f>
        <v>237190.91634788504</v>
      </c>
      <c r="BV14" s="293">
        <f>ОК!BV11</f>
        <v>233057.91867745234</v>
      </c>
      <c r="BW14" s="293">
        <f>ОК!BW11</f>
        <v>226332.80128017854</v>
      </c>
      <c r="BX14" s="293">
        <f>ОК!BX11</f>
        <v>267759.49568944168</v>
      </c>
      <c r="BY14" s="293">
        <f>ОК!BY11</f>
        <v>91825.655928879918</v>
      </c>
      <c r="BZ14" s="293"/>
      <c r="CA14" s="293"/>
    </row>
    <row r="15" spans="2:79" ht="14.25" customHeight="1" x14ac:dyDescent="0.25">
      <c r="B15" s="294" t="s">
        <v>365</v>
      </c>
      <c r="C15" s="291" t="s">
        <v>4</v>
      </c>
      <c r="E15" s="293"/>
      <c r="F15" s="293">
        <f>Свод_ОФР!R172</f>
        <v>173.5</v>
      </c>
      <c r="G15" s="293">
        <f>Свод_ОФР!S172</f>
        <v>173.5</v>
      </c>
      <c r="H15" s="293">
        <f>Свод_ОФР!T172</f>
        <v>173.5</v>
      </c>
      <c r="I15" s="293">
        <f>Свод_ОФР!U172</f>
        <v>173.5</v>
      </c>
      <c r="J15" s="293">
        <f>Свод_ОФР!V172</f>
        <v>173.5</v>
      </c>
      <c r="K15" s="293">
        <f>Свод_ОФР!W172</f>
        <v>173.5</v>
      </c>
      <c r="L15" s="293">
        <f>Свод_ОФР!X172</f>
        <v>173.5</v>
      </c>
      <c r="M15" s="293">
        <f>Свод_ОФР!Y172</f>
        <v>173.5</v>
      </c>
      <c r="N15" s="293">
        <f>Свод_ОФР!Z172</f>
        <v>9849</v>
      </c>
      <c r="O15" s="293">
        <f>Свод_ОФР!AA172</f>
        <v>9299</v>
      </c>
      <c r="P15" s="293">
        <f>Свод_ОФР!AB172</f>
        <v>9296</v>
      </c>
      <c r="Q15" s="293">
        <f>Свод_ОФР!AC172</f>
        <v>9051</v>
      </c>
      <c r="R15" s="293">
        <f>Свод_ОФР!AD172</f>
        <v>9051</v>
      </c>
      <c r="S15" s="293">
        <f>Свод_ОФР!AE172</f>
        <v>9051</v>
      </c>
      <c r="T15" s="293">
        <f>Свод_ОФР!AF172</f>
        <v>9051</v>
      </c>
      <c r="U15" s="293">
        <f>Свод_ОФР!AG172</f>
        <v>9051</v>
      </c>
      <c r="V15" s="293">
        <f>Свод_ОФР!AH172</f>
        <v>9051</v>
      </c>
      <c r="W15" s="293">
        <f>Свод_ОФР!AI172</f>
        <v>9051</v>
      </c>
      <c r="X15" s="293">
        <f>Свод_ОФР!AJ172</f>
        <v>9051</v>
      </c>
      <c r="Y15" s="293">
        <f>Свод_ОФР!AK172</f>
        <v>9051</v>
      </c>
      <c r="Z15" s="293">
        <f>Свод_ОФР!AL172</f>
        <v>9051</v>
      </c>
      <c r="AA15" s="293">
        <f>Свод_ОФР!AM172</f>
        <v>9051</v>
      </c>
      <c r="AB15" s="293">
        <f>Свод_ОФР!AN172</f>
        <v>9051</v>
      </c>
      <c r="AC15" s="293">
        <f>Свод_ОФР!AO172</f>
        <v>9051</v>
      </c>
      <c r="AD15" s="293">
        <f>Свод_ОФР!AP172</f>
        <v>9051</v>
      </c>
      <c r="AE15" s="293">
        <f>Свод_ОФР!AQ172</f>
        <v>9051</v>
      </c>
      <c r="AF15" s="293">
        <f>Свод_ОФР!AR172</f>
        <v>9051</v>
      </c>
      <c r="AG15" s="293">
        <f>Свод_ОФР!AS172</f>
        <v>9051</v>
      </c>
      <c r="AH15" s="293">
        <f>Свод_ОФР!AT172</f>
        <v>9051</v>
      </c>
      <c r="AI15" s="293">
        <f>Свод_ОФР!AU172</f>
        <v>9051</v>
      </c>
      <c r="AJ15" s="293">
        <f>Свод_ОФР!AV172</f>
        <v>9051</v>
      </c>
      <c r="AK15" s="293">
        <f>Свод_ОФР!AW172</f>
        <v>9051</v>
      </c>
      <c r="AL15" s="293">
        <f>Свод_ОФР!AX172</f>
        <v>9051</v>
      </c>
      <c r="AM15" s="293">
        <f>Свод_ОФР!AY172</f>
        <v>9051</v>
      </c>
      <c r="AN15" s="293">
        <f>Свод_ОФР!AZ172</f>
        <v>9051</v>
      </c>
      <c r="AO15" s="293">
        <f>Свод_ОФР!BA172</f>
        <v>9051</v>
      </c>
      <c r="AP15" s="293">
        <f>Свод_ОФР!BB172</f>
        <v>9051</v>
      </c>
      <c r="AQ15" s="293">
        <f>Свод_ОФР!BC172</f>
        <v>9051</v>
      </c>
      <c r="AR15" s="293">
        <f>Свод_ОФР!BD172</f>
        <v>9051</v>
      </c>
      <c r="AS15" s="293">
        <f>Свод_ОФР!BE172</f>
        <v>9051</v>
      </c>
      <c r="AT15" s="293">
        <f>Свод_ОФР!BF172</f>
        <v>9051</v>
      </c>
      <c r="AU15" s="293">
        <f>Свод_ОФР!BG172</f>
        <v>9051</v>
      </c>
      <c r="AV15" s="293">
        <f>Свод_ОФР!BH172</f>
        <v>9051</v>
      </c>
      <c r="AW15" s="293">
        <f>Свод_ОФР!BI172</f>
        <v>9051</v>
      </c>
      <c r="AX15" s="293">
        <f>Свод_ОФР!BJ172</f>
        <v>9051</v>
      </c>
      <c r="AY15" s="293">
        <f>Свод_ОФР!BK172</f>
        <v>9051</v>
      </c>
      <c r="AZ15" s="293">
        <f>Свод_ОФР!BL172</f>
        <v>9051</v>
      </c>
      <c r="BA15" s="293">
        <f>Свод_ОФР!BM172</f>
        <v>9051</v>
      </c>
      <c r="BB15" s="293">
        <f>Свод_ОФР!BN172</f>
        <v>9051</v>
      </c>
      <c r="BC15" s="293">
        <f>Свод_ОФР!BO172</f>
        <v>9051</v>
      </c>
      <c r="BD15" s="293">
        <f>Свод_ОФР!BP172</f>
        <v>9051</v>
      </c>
      <c r="BE15" s="293">
        <f>Свод_ОФР!BQ172</f>
        <v>9051</v>
      </c>
      <c r="BF15" s="293">
        <f>Свод_ОФР!BR172</f>
        <v>9051</v>
      </c>
      <c r="BG15" s="293">
        <f>Свод_ОФР!BS172</f>
        <v>9051</v>
      </c>
      <c r="BH15" s="293">
        <f>Свод_ОФР!BT172</f>
        <v>9051</v>
      </c>
      <c r="BI15" s="293">
        <f>Свод_ОФР!BU172</f>
        <v>9051</v>
      </c>
      <c r="BJ15" s="293">
        <f>Свод_ОФР!BV172</f>
        <v>9051</v>
      </c>
      <c r="BK15" s="293">
        <f>Свод_ОФР!BW172</f>
        <v>9051</v>
      </c>
      <c r="BL15" s="293">
        <f>Свод_ОФР!BX172</f>
        <v>9051</v>
      </c>
      <c r="BM15" s="293">
        <f>Свод_ОФР!BY172</f>
        <v>9051</v>
      </c>
      <c r="BN15" s="293">
        <f>Свод_ОФР!BZ172</f>
        <v>9051</v>
      </c>
      <c r="BO15" s="293">
        <f>Свод_ОФР!CA172</f>
        <v>9051</v>
      </c>
      <c r="BP15" s="293">
        <f>Свод_ОФР!CB172</f>
        <v>9051</v>
      </c>
      <c r="BQ15" s="293">
        <f>Свод_ОФР!CC172</f>
        <v>9051</v>
      </c>
      <c r="BR15" s="293">
        <f>Свод_ОФР!CD172</f>
        <v>9051</v>
      </c>
      <c r="BS15" s="293">
        <f>Свод_ОФР!CE172</f>
        <v>9051</v>
      </c>
      <c r="BT15" s="293">
        <f>Свод_ОФР!CF172</f>
        <v>9051</v>
      </c>
      <c r="BU15" s="293">
        <f>Свод_ОФР!CG172</f>
        <v>9051</v>
      </c>
      <c r="BV15" s="293">
        <f>Свод_ОФР!CH172</f>
        <v>9051</v>
      </c>
      <c r="BW15" s="293">
        <f>Свод_ОФР!CI172</f>
        <v>9051</v>
      </c>
      <c r="BX15" s="293">
        <f>Свод_ОФР!CJ172</f>
        <v>9051</v>
      </c>
      <c r="BY15" s="293">
        <f>Свод_ОФР!CK172</f>
        <v>9051</v>
      </c>
      <c r="BZ15" s="293"/>
      <c r="CA15" s="293"/>
    </row>
    <row r="16" spans="2:79" ht="14.25" customHeight="1" x14ac:dyDescent="0.25">
      <c r="B16" s="294" t="s">
        <v>366</v>
      </c>
      <c r="C16" s="291" t="s">
        <v>4</v>
      </c>
      <c r="E16" s="293"/>
      <c r="F16" s="293">
        <f>IF((F30-F5-SUM(F11:F15))&lt;0,0,(F30-F5-SUM(F11:F15)))</f>
        <v>3254.188717074343</v>
      </c>
      <c r="G16" s="293">
        <f>IF((G30-G5-SUM(G11:G15))&lt;0,0,(G30-G5-SUM(G11:G15)))</f>
        <v>5591.562782047462</v>
      </c>
      <c r="H16" s="293">
        <f>IF((H30-H5-SUM(H11:H15))&lt;0,0,(H30-H5-SUM(H11:H15)))</f>
        <v>5156.1792915274855</v>
      </c>
      <c r="I16" s="293">
        <f>IF((I30-I5-SUM(I11:I15))&lt;0,0,(I30-I5-SUM(I11:I15)))</f>
        <v>4749.7125387569104</v>
      </c>
      <c r="J16" s="293">
        <f>IF((J30-J5-SUM(J11:J15))&lt;0,0,(J30-J5-SUM(J11:J15)))</f>
        <v>4339.293179268454</v>
      </c>
      <c r="K16" s="293">
        <v>4262</v>
      </c>
      <c r="L16" s="293">
        <f t="shared" ref="L16:AQ16" si="6">IF((L30-L5-SUM(L11:L15))&lt;0,0,(L30-L5-SUM(L11:L15)))</f>
        <v>12037.701396041084</v>
      </c>
      <c r="M16" s="293">
        <f t="shared" si="6"/>
        <v>11326.234082082927</v>
      </c>
      <c r="N16" s="293">
        <f t="shared" si="6"/>
        <v>3294.9694783242303</v>
      </c>
      <c r="O16" s="293">
        <f t="shared" si="6"/>
        <v>0</v>
      </c>
      <c r="P16" s="293">
        <f t="shared" si="6"/>
        <v>0</v>
      </c>
      <c r="Q16" s="293">
        <f t="shared" si="6"/>
        <v>0</v>
      </c>
      <c r="R16" s="293">
        <f t="shared" si="6"/>
        <v>0</v>
      </c>
      <c r="S16" s="293">
        <f t="shared" si="6"/>
        <v>0</v>
      </c>
      <c r="T16" s="293">
        <f t="shared" si="6"/>
        <v>0</v>
      </c>
      <c r="U16" s="293">
        <f t="shared" si="6"/>
        <v>0</v>
      </c>
      <c r="V16" s="293">
        <f t="shared" si="6"/>
        <v>0</v>
      </c>
      <c r="W16" s="293">
        <f t="shared" si="6"/>
        <v>0</v>
      </c>
      <c r="X16" s="293">
        <f t="shared" si="6"/>
        <v>5.8207660913467407E-11</v>
      </c>
      <c r="Y16" s="293">
        <f t="shared" si="6"/>
        <v>5.8207660913467407E-11</v>
      </c>
      <c r="Z16" s="293">
        <f t="shared" si="6"/>
        <v>0</v>
      </c>
      <c r="AA16" s="293">
        <f t="shared" si="6"/>
        <v>0</v>
      </c>
      <c r="AB16" s="293">
        <f t="shared" si="6"/>
        <v>5.8207660913467407E-11</v>
      </c>
      <c r="AC16" s="293">
        <f t="shared" si="6"/>
        <v>0</v>
      </c>
      <c r="AD16" s="293">
        <f t="shared" si="6"/>
        <v>0</v>
      </c>
      <c r="AE16" s="293">
        <f t="shared" si="6"/>
        <v>0</v>
      </c>
      <c r="AF16" s="293">
        <f t="shared" si="6"/>
        <v>5.8207660913467407E-11</v>
      </c>
      <c r="AG16" s="293">
        <f t="shared" si="6"/>
        <v>0</v>
      </c>
      <c r="AH16" s="293">
        <f t="shared" si="6"/>
        <v>0</v>
      </c>
      <c r="AI16" s="293">
        <f t="shared" si="6"/>
        <v>0</v>
      </c>
      <c r="AJ16" s="293">
        <f t="shared" si="6"/>
        <v>0</v>
      </c>
      <c r="AK16" s="293">
        <f t="shared" si="6"/>
        <v>0</v>
      </c>
      <c r="AL16" s="293">
        <f t="shared" si="6"/>
        <v>0</v>
      </c>
      <c r="AM16" s="293">
        <f t="shared" si="6"/>
        <v>0</v>
      </c>
      <c r="AN16" s="293">
        <f t="shared" si="6"/>
        <v>0</v>
      </c>
      <c r="AO16" s="293">
        <f t="shared" si="6"/>
        <v>0</v>
      </c>
      <c r="AP16" s="293">
        <f t="shared" si="6"/>
        <v>0</v>
      </c>
      <c r="AQ16" s="293">
        <f t="shared" si="6"/>
        <v>0</v>
      </c>
      <c r="AR16" s="293">
        <f t="shared" ref="AR16:BL16" si="7">IF((AR30-AR5-SUM(AR11:AR15))&lt;0,0,(AR30-AR5-SUM(AR11:AR15)))</f>
        <v>0</v>
      </c>
      <c r="AS16" s="293">
        <f t="shared" si="7"/>
        <v>0</v>
      </c>
      <c r="AT16" s="293">
        <f t="shared" si="7"/>
        <v>0</v>
      </c>
      <c r="AU16" s="293">
        <f t="shared" si="7"/>
        <v>1.1641532182693481E-10</v>
      </c>
      <c r="AV16" s="293">
        <f t="shared" si="7"/>
        <v>0</v>
      </c>
      <c r="AW16" s="293">
        <f t="shared" si="7"/>
        <v>0</v>
      </c>
      <c r="AX16" s="293">
        <f t="shared" si="7"/>
        <v>0</v>
      </c>
      <c r="AY16" s="293">
        <f t="shared" si="7"/>
        <v>0</v>
      </c>
      <c r="AZ16" s="293">
        <f t="shared" si="7"/>
        <v>0</v>
      </c>
      <c r="BA16" s="293">
        <f t="shared" si="7"/>
        <v>1.1641532182693481E-10</v>
      </c>
      <c r="BB16" s="293">
        <f t="shared" si="7"/>
        <v>0</v>
      </c>
      <c r="BC16" s="293">
        <f t="shared" si="7"/>
        <v>0</v>
      </c>
      <c r="BD16" s="293">
        <f t="shared" si="7"/>
        <v>0</v>
      </c>
      <c r="BE16" s="293">
        <f t="shared" si="7"/>
        <v>0</v>
      </c>
      <c r="BF16" s="293">
        <f t="shared" si="7"/>
        <v>1.1641532182693481E-10</v>
      </c>
      <c r="BG16" s="293">
        <f t="shared" si="7"/>
        <v>0</v>
      </c>
      <c r="BH16" s="293">
        <f t="shared" si="7"/>
        <v>1.1641532182693481E-10</v>
      </c>
      <c r="BI16" s="293">
        <f t="shared" si="7"/>
        <v>0</v>
      </c>
      <c r="BJ16" s="293">
        <f t="shared" si="7"/>
        <v>1.1641532182693481E-10</v>
      </c>
      <c r="BK16" s="293">
        <f t="shared" si="7"/>
        <v>0</v>
      </c>
      <c r="BL16" s="293">
        <f t="shared" si="7"/>
        <v>0</v>
      </c>
      <c r="BM16" s="293">
        <f t="shared" ref="BM16:BY16" si="8">IF((BM30-BM5-SUM(BM11:BM15))&lt;0,0,(BM30-BM5-SUM(BM11:BM15)))</f>
        <v>0</v>
      </c>
      <c r="BN16" s="293">
        <f t="shared" si="8"/>
        <v>2.3283064365386963E-10</v>
      </c>
      <c r="BO16" s="293">
        <f t="shared" si="8"/>
        <v>2.3283064365386963E-10</v>
      </c>
      <c r="BP16" s="293">
        <f t="shared" si="8"/>
        <v>2.3283064365386963E-10</v>
      </c>
      <c r="BQ16" s="293">
        <f t="shared" si="8"/>
        <v>0</v>
      </c>
      <c r="BR16" s="293">
        <f t="shared" si="8"/>
        <v>0</v>
      </c>
      <c r="BS16" s="293">
        <f t="shared" si="8"/>
        <v>2.3283064365386963E-10</v>
      </c>
      <c r="BT16" s="293">
        <f t="shared" si="8"/>
        <v>2.3283064365386963E-10</v>
      </c>
      <c r="BU16" s="293">
        <f t="shared" si="8"/>
        <v>0</v>
      </c>
      <c r="BV16" s="293">
        <f t="shared" si="8"/>
        <v>0</v>
      </c>
      <c r="BW16" s="293">
        <f t="shared" si="8"/>
        <v>0</v>
      </c>
      <c r="BX16" s="293">
        <f t="shared" si="8"/>
        <v>2.3283064365386963E-10</v>
      </c>
      <c r="BY16" s="293">
        <f t="shared" si="8"/>
        <v>2.3283064365386963E-10</v>
      </c>
      <c r="BZ16" s="293"/>
      <c r="CA16" s="293"/>
    </row>
    <row r="17" spans="1:79" ht="14.25" customHeight="1" thickBot="1" x14ac:dyDescent="0.3">
      <c r="A17" s="296"/>
      <c r="B17" s="297" t="s">
        <v>367</v>
      </c>
      <c r="C17" s="298" t="s">
        <v>4</v>
      </c>
      <c r="D17" s="296"/>
      <c r="E17" s="296"/>
      <c r="F17" s="299">
        <f t="shared" ref="F17:BL17" si="9">F5+F10</f>
        <v>165336.84588945549</v>
      </c>
      <c r="G17" s="299">
        <f t="shared" si="9"/>
        <v>163648.63222776199</v>
      </c>
      <c r="H17" s="299">
        <f t="shared" si="9"/>
        <v>166378.50902057532</v>
      </c>
      <c r="I17" s="299">
        <f t="shared" si="9"/>
        <v>163362.18012733807</v>
      </c>
      <c r="J17" s="299">
        <f t="shared" si="9"/>
        <v>156016.16728774496</v>
      </c>
      <c r="K17" s="299">
        <f t="shared" si="9"/>
        <v>214794.90477904785</v>
      </c>
      <c r="L17" s="299">
        <f t="shared" si="9"/>
        <v>219855.45417508893</v>
      </c>
      <c r="M17" s="299">
        <f t="shared" si="9"/>
        <v>218780.99542231954</v>
      </c>
      <c r="N17" s="299">
        <f t="shared" si="9"/>
        <v>219696.74110162116</v>
      </c>
      <c r="O17" s="299">
        <f t="shared" si="9"/>
        <v>236953.28296813756</v>
      </c>
      <c r="P17" s="299">
        <f t="shared" si="9"/>
        <v>249042.11149604301</v>
      </c>
      <c r="Q17" s="299">
        <f t="shared" si="9"/>
        <v>417506.31172638061</v>
      </c>
      <c r="R17" s="299">
        <f t="shared" si="9"/>
        <v>417286.29161525925</v>
      </c>
      <c r="S17" s="299">
        <f t="shared" si="9"/>
        <v>420596.82533797919</v>
      </c>
      <c r="T17" s="299">
        <f t="shared" si="9"/>
        <v>426974.2105735892</v>
      </c>
      <c r="U17" s="299">
        <f t="shared" si="9"/>
        <v>420174.7117199144</v>
      </c>
      <c r="V17" s="299">
        <f t="shared" si="9"/>
        <v>422558.20575015096</v>
      </c>
      <c r="W17" s="299">
        <f t="shared" si="9"/>
        <v>721978.49790732306</v>
      </c>
      <c r="X17" s="299">
        <f t="shared" si="9"/>
        <v>719604.76915143733</v>
      </c>
      <c r="Y17" s="299">
        <f t="shared" si="9"/>
        <v>723841.49183637206</v>
      </c>
      <c r="Z17" s="299">
        <f t="shared" si="9"/>
        <v>729510.54055529635</v>
      </c>
      <c r="AA17" s="299">
        <f t="shared" si="9"/>
        <v>734533.52522711467</v>
      </c>
      <c r="AB17" s="299">
        <f t="shared" si="9"/>
        <v>743566.15176509228</v>
      </c>
      <c r="AC17" s="299">
        <f t="shared" si="9"/>
        <v>757518.06329829001</v>
      </c>
      <c r="AD17" s="299">
        <f t="shared" si="9"/>
        <v>768090.0078540853</v>
      </c>
      <c r="AE17" s="299">
        <f t="shared" si="9"/>
        <v>783119.65530677012</v>
      </c>
      <c r="AF17" s="299">
        <f t="shared" si="9"/>
        <v>800454.18206013972</v>
      </c>
      <c r="AG17" s="299">
        <f t="shared" si="9"/>
        <v>817832.992093276</v>
      </c>
      <c r="AH17" s="299">
        <f t="shared" si="9"/>
        <v>836033.86814171169</v>
      </c>
      <c r="AI17" s="299">
        <f t="shared" si="9"/>
        <v>853934.23307868536</v>
      </c>
      <c r="AJ17" s="299">
        <f t="shared" si="9"/>
        <v>872322.28732267476</v>
      </c>
      <c r="AK17" s="299">
        <f t="shared" si="9"/>
        <v>890817.71353022091</v>
      </c>
      <c r="AL17" s="299">
        <f t="shared" si="9"/>
        <v>908632.09717401187</v>
      </c>
      <c r="AM17" s="299">
        <f t="shared" si="9"/>
        <v>926662.4463438401</v>
      </c>
      <c r="AN17" s="299">
        <f t="shared" si="9"/>
        <v>943587.85176169709</v>
      </c>
      <c r="AO17" s="299">
        <f t="shared" si="9"/>
        <v>970555.20107862644</v>
      </c>
      <c r="AP17" s="299">
        <f t="shared" si="9"/>
        <v>981649.55503195082</v>
      </c>
      <c r="AQ17" s="299">
        <f t="shared" si="9"/>
        <v>996992.61883398984</v>
      </c>
      <c r="AR17" s="299">
        <f t="shared" si="9"/>
        <v>1013971.1728494428</v>
      </c>
      <c r="AS17" s="299">
        <f t="shared" si="9"/>
        <v>1033340.4557386625</v>
      </c>
      <c r="AT17" s="299">
        <f t="shared" si="9"/>
        <v>986825.03153747483</v>
      </c>
      <c r="AU17" s="299">
        <f t="shared" si="9"/>
        <v>1014589.1959611108</v>
      </c>
      <c r="AV17" s="299">
        <f t="shared" si="9"/>
        <v>1042883.2362230412</v>
      </c>
      <c r="AW17" s="299">
        <f t="shared" si="9"/>
        <v>1069461.4053854332</v>
      </c>
      <c r="AX17" s="299">
        <f t="shared" si="9"/>
        <v>1095016.7371515625</v>
      </c>
      <c r="AY17" s="299">
        <f t="shared" si="9"/>
        <v>1118891.8451577569</v>
      </c>
      <c r="AZ17" s="299">
        <f t="shared" si="9"/>
        <v>1141914.4555819246</v>
      </c>
      <c r="BA17" s="299">
        <f t="shared" si="9"/>
        <v>1109934.5450807076</v>
      </c>
      <c r="BB17" s="299">
        <f t="shared" si="9"/>
        <v>1131719.5290479809</v>
      </c>
      <c r="BC17" s="299">
        <f t="shared" si="9"/>
        <v>1158291.5028451851</v>
      </c>
      <c r="BD17" s="299">
        <f t="shared" si="9"/>
        <v>1188174.2484982228</v>
      </c>
      <c r="BE17" s="299">
        <f t="shared" si="9"/>
        <v>1220673.8194533596</v>
      </c>
      <c r="BF17" s="299">
        <f t="shared" si="9"/>
        <v>1168378.3162360447</v>
      </c>
      <c r="BG17" s="299">
        <f t="shared" si="9"/>
        <v>1203851.4853832594</v>
      </c>
      <c r="BH17" s="299">
        <f t="shared" si="9"/>
        <v>1239955.1875654343</v>
      </c>
      <c r="BI17" s="299">
        <f t="shared" si="9"/>
        <v>1274050.2472108828</v>
      </c>
      <c r="BJ17" s="299">
        <f t="shared" si="9"/>
        <v>1306939.5184974978</v>
      </c>
      <c r="BK17" s="299">
        <f t="shared" si="9"/>
        <v>1338980.4314767979</v>
      </c>
      <c r="BL17" s="299">
        <f t="shared" si="9"/>
        <v>1368847.347681581</v>
      </c>
      <c r="BM17" s="299">
        <f t="shared" ref="BM17:BY17" si="10">BM5+BM10</f>
        <v>1328210.2666242742</v>
      </c>
      <c r="BN17" s="299">
        <f t="shared" si="10"/>
        <v>1354135.1053622323</v>
      </c>
      <c r="BO17" s="299">
        <f t="shared" si="10"/>
        <v>1385299.7119058017</v>
      </c>
      <c r="BP17" s="299">
        <f t="shared" si="10"/>
        <v>1421973.8502366324</v>
      </c>
      <c r="BQ17" s="299">
        <f t="shared" si="10"/>
        <v>1461607.7115163533</v>
      </c>
      <c r="BR17" s="299">
        <f t="shared" si="10"/>
        <v>1393688.7671684797</v>
      </c>
      <c r="BS17" s="299">
        <f t="shared" si="10"/>
        <v>1436721.2993246457</v>
      </c>
      <c r="BT17" s="299">
        <f t="shared" si="10"/>
        <v>1480500.0960038672</v>
      </c>
      <c r="BU17" s="299">
        <f t="shared" si="10"/>
        <v>1521995.6378089206</v>
      </c>
      <c r="BV17" s="299">
        <f t="shared" si="10"/>
        <v>1563454.9468864696</v>
      </c>
      <c r="BW17" s="299">
        <f t="shared" si="10"/>
        <v>1602606.827126093</v>
      </c>
      <c r="BX17" s="299">
        <f t="shared" si="10"/>
        <v>1639354.882927543</v>
      </c>
      <c r="BY17" s="299">
        <f t="shared" si="10"/>
        <v>1586907.1800948293</v>
      </c>
      <c r="BZ17" s="300"/>
      <c r="CA17" s="300"/>
    </row>
    <row r="18" spans="1:79" ht="14.25" customHeight="1" x14ac:dyDescent="0.25">
      <c r="B18" s="290" t="s">
        <v>368</v>
      </c>
      <c r="C18" s="291" t="s">
        <v>4</v>
      </c>
      <c r="F18" s="292">
        <f t="shared" ref="F18:BL18" si="11">SUM(F19:F22)</f>
        <v>61264.254529455502</v>
      </c>
      <c r="G18" s="292">
        <f t="shared" si="11"/>
        <v>60597.679007761981</v>
      </c>
      <c r="H18" s="292">
        <f t="shared" si="11"/>
        <v>70198.601800575329</v>
      </c>
      <c r="I18" s="292">
        <f t="shared" si="11"/>
        <v>70571.061067338072</v>
      </c>
      <c r="J18" s="292">
        <f t="shared" si="11"/>
        <v>72476.459261744953</v>
      </c>
      <c r="K18" s="292">
        <f t="shared" si="11"/>
        <v>74325.860465733684</v>
      </c>
      <c r="L18" s="292">
        <f t="shared" si="11"/>
        <v>75392.147665088938</v>
      </c>
      <c r="M18" s="292">
        <f t="shared" si="11"/>
        <v>76312.812912319525</v>
      </c>
      <c r="N18" s="292">
        <f t="shared" si="11"/>
        <v>77088.591194348424</v>
      </c>
      <c r="O18" s="292">
        <f t="shared" si="11"/>
        <v>82641.86222248165</v>
      </c>
      <c r="P18" s="292">
        <f t="shared" si="11"/>
        <v>87913.179816457268</v>
      </c>
      <c r="Q18" s="292">
        <f t="shared" si="11"/>
        <v>250436.12323318713</v>
      </c>
      <c r="R18" s="292">
        <f t="shared" si="11"/>
        <v>251070.09860028076</v>
      </c>
      <c r="S18" s="292">
        <f t="shared" si="11"/>
        <v>251954.30192550924</v>
      </c>
      <c r="T18" s="292">
        <f t="shared" si="11"/>
        <v>254521.87769840338</v>
      </c>
      <c r="U18" s="292">
        <f t="shared" si="11"/>
        <v>257224.50412501127</v>
      </c>
      <c r="V18" s="292">
        <f t="shared" si="11"/>
        <v>260360.25328500944</v>
      </c>
      <c r="W18" s="292">
        <f t="shared" si="11"/>
        <v>558485.11544444459</v>
      </c>
      <c r="X18" s="292">
        <f t="shared" si="11"/>
        <v>559803.5357853868</v>
      </c>
      <c r="Y18" s="292">
        <f t="shared" si="11"/>
        <v>565904.9665404883</v>
      </c>
      <c r="Z18" s="292">
        <f t="shared" si="11"/>
        <v>573351.14241081697</v>
      </c>
      <c r="AA18" s="292">
        <f t="shared" si="11"/>
        <v>581097.5486062268</v>
      </c>
      <c r="AB18" s="292">
        <f t="shared" si="11"/>
        <v>589542.18363418709</v>
      </c>
      <c r="AC18" s="292">
        <f t="shared" si="11"/>
        <v>601876.76935955056</v>
      </c>
      <c r="AD18" s="292">
        <f t="shared" si="11"/>
        <v>612182.26488234743</v>
      </c>
      <c r="AE18" s="292">
        <f t="shared" si="11"/>
        <v>624727.81583847851</v>
      </c>
      <c r="AF18" s="292">
        <f t="shared" si="11"/>
        <v>639831.57054094982</v>
      </c>
      <c r="AG18" s="292">
        <f t="shared" si="11"/>
        <v>655862.29816009151</v>
      </c>
      <c r="AH18" s="292">
        <f t="shared" si="11"/>
        <v>672914.72630318336</v>
      </c>
      <c r="AI18" s="292">
        <f t="shared" si="11"/>
        <v>689768.5392726321</v>
      </c>
      <c r="AJ18" s="292">
        <f t="shared" si="11"/>
        <v>707271.09571840777</v>
      </c>
      <c r="AK18" s="292">
        <f t="shared" si="11"/>
        <v>724635.62199555407</v>
      </c>
      <c r="AL18" s="292">
        <f t="shared" si="11"/>
        <v>741236.68390898709</v>
      </c>
      <c r="AM18" s="292">
        <f t="shared" si="11"/>
        <v>757162.99966124108</v>
      </c>
      <c r="AN18" s="292">
        <f t="shared" si="11"/>
        <v>771975.20874260541</v>
      </c>
      <c r="AO18" s="292">
        <f t="shared" si="11"/>
        <v>794101.62923372095</v>
      </c>
      <c r="AP18" s="292">
        <f t="shared" si="11"/>
        <v>808893.32232434372</v>
      </c>
      <c r="AQ18" s="292">
        <f t="shared" si="11"/>
        <v>825197.87744197529</v>
      </c>
      <c r="AR18" s="292">
        <f t="shared" si="11"/>
        <v>843871.77147651452</v>
      </c>
      <c r="AS18" s="292">
        <f t="shared" si="11"/>
        <v>864026.80936454015</v>
      </c>
      <c r="AT18" s="292">
        <f t="shared" si="11"/>
        <v>818350.25309037766</v>
      </c>
      <c r="AU18" s="292">
        <f t="shared" si="11"/>
        <v>840655.31810063636</v>
      </c>
      <c r="AV18" s="292">
        <f t="shared" si="11"/>
        <v>863677.49614115676</v>
      </c>
      <c r="AW18" s="292">
        <f t="shared" si="11"/>
        <v>885470.98384218058</v>
      </c>
      <c r="AX18" s="292">
        <f t="shared" si="11"/>
        <v>906273.59996688436</v>
      </c>
      <c r="AY18" s="292">
        <f t="shared" si="11"/>
        <v>926118.63106345129</v>
      </c>
      <c r="AZ18" s="292">
        <f t="shared" si="11"/>
        <v>945036.91365434648</v>
      </c>
      <c r="BA18" s="292">
        <f t="shared" si="11"/>
        <v>906123.22859416669</v>
      </c>
      <c r="BB18" s="292">
        <f t="shared" si="11"/>
        <v>924982.29429833335</v>
      </c>
      <c r="BC18" s="292">
        <f t="shared" si="11"/>
        <v>945501.20683971397</v>
      </c>
      <c r="BD18" s="292">
        <f t="shared" si="11"/>
        <v>969538.94769354165</v>
      </c>
      <c r="BE18" s="292">
        <f t="shared" si="11"/>
        <v>995199.29541691591</v>
      </c>
      <c r="BF18" s="292">
        <f t="shared" si="11"/>
        <v>936142.8932101957</v>
      </c>
      <c r="BG18" s="292">
        <f t="shared" si="11"/>
        <v>964206.07197548286</v>
      </c>
      <c r="BH18" s="292">
        <f t="shared" si="11"/>
        <v>993102.77801664476</v>
      </c>
      <c r="BI18" s="292">
        <f t="shared" si="11"/>
        <v>1020565.7590223706</v>
      </c>
      <c r="BJ18" s="292">
        <f t="shared" si="11"/>
        <v>1046870.2249748061</v>
      </c>
      <c r="BK18" s="292">
        <f t="shared" si="11"/>
        <v>1072834.1704498292</v>
      </c>
      <c r="BL18" s="292">
        <f t="shared" si="11"/>
        <v>1096935.2864009407</v>
      </c>
      <c r="BM18" s="292">
        <f t="shared" ref="BM18:BY18" si="12">SUM(BM19:BM22)</f>
        <v>1045761.4407516684</v>
      </c>
      <c r="BN18" s="292">
        <f t="shared" si="12"/>
        <v>1068217.1764135296</v>
      </c>
      <c r="BO18" s="292">
        <f t="shared" si="12"/>
        <v>1092335.0295082713</v>
      </c>
      <c r="BP18" s="292">
        <f t="shared" si="12"/>
        <v>1121433.7685078057</v>
      </c>
      <c r="BQ18" s="292">
        <f t="shared" si="12"/>
        <v>1152393.1900014435</v>
      </c>
      <c r="BR18" s="292">
        <f t="shared" si="12"/>
        <v>1075875.7419680667</v>
      </c>
      <c r="BS18" s="292">
        <f t="shared" si="12"/>
        <v>1109582.6255906178</v>
      </c>
      <c r="BT18" s="292">
        <f t="shared" si="12"/>
        <v>1144248.0004602945</v>
      </c>
      <c r="BU18" s="292">
        <f t="shared" si="12"/>
        <v>1177291.4907671972</v>
      </c>
      <c r="BV18" s="292">
        <f t="shared" si="12"/>
        <v>1209966.7940559997</v>
      </c>
      <c r="BW18" s="292">
        <f t="shared" si="12"/>
        <v>1241349.2491027792</v>
      </c>
      <c r="BX18" s="292">
        <f t="shared" si="12"/>
        <v>1270620.3388473052</v>
      </c>
      <c r="BY18" s="292">
        <f t="shared" si="12"/>
        <v>1203124.3276505528</v>
      </c>
      <c r="BZ18" s="293"/>
      <c r="CA18" s="293"/>
    </row>
    <row r="19" spans="1:79" ht="14.25" customHeight="1" x14ac:dyDescent="0.25">
      <c r="B19" s="294" t="s">
        <v>369</v>
      </c>
      <c r="C19" s="291" t="s">
        <v>4</v>
      </c>
      <c r="F19" s="293">
        <v>10</v>
      </c>
      <c r="G19" s="293">
        <f>F19</f>
        <v>10</v>
      </c>
      <c r="H19" s="293">
        <f t="shared" ref="H19:BL19" si="13">G19</f>
        <v>10</v>
      </c>
      <c r="I19" s="293">
        <f t="shared" si="13"/>
        <v>10</v>
      </c>
      <c r="J19" s="293">
        <f t="shared" si="13"/>
        <v>10</v>
      </c>
      <c r="K19" s="293">
        <f t="shared" si="13"/>
        <v>10</v>
      </c>
      <c r="L19" s="293">
        <f t="shared" si="13"/>
        <v>10</v>
      </c>
      <c r="M19" s="293">
        <f t="shared" si="13"/>
        <v>10</v>
      </c>
      <c r="N19" s="293">
        <f t="shared" si="13"/>
        <v>10</v>
      </c>
      <c r="O19" s="293">
        <f t="shared" si="13"/>
        <v>10</v>
      </c>
      <c r="P19" s="293">
        <f t="shared" si="13"/>
        <v>10</v>
      </c>
      <c r="Q19" s="293">
        <f t="shared" si="13"/>
        <v>10</v>
      </c>
      <c r="R19" s="293">
        <f t="shared" si="13"/>
        <v>10</v>
      </c>
      <c r="S19" s="293">
        <f t="shared" si="13"/>
        <v>10</v>
      </c>
      <c r="T19" s="293">
        <f t="shared" si="13"/>
        <v>10</v>
      </c>
      <c r="U19" s="293">
        <f t="shared" si="13"/>
        <v>10</v>
      </c>
      <c r="V19" s="293">
        <f t="shared" si="13"/>
        <v>10</v>
      </c>
      <c r="W19" s="293">
        <f t="shared" si="13"/>
        <v>10</v>
      </c>
      <c r="X19" s="293">
        <f t="shared" si="13"/>
        <v>10</v>
      </c>
      <c r="Y19" s="293">
        <f t="shared" si="13"/>
        <v>10</v>
      </c>
      <c r="Z19" s="293">
        <f t="shared" si="13"/>
        <v>10</v>
      </c>
      <c r="AA19" s="293">
        <f t="shared" si="13"/>
        <v>10</v>
      </c>
      <c r="AB19" s="293">
        <f t="shared" si="13"/>
        <v>10</v>
      </c>
      <c r="AC19" s="293">
        <f t="shared" si="13"/>
        <v>10</v>
      </c>
      <c r="AD19" s="293">
        <f t="shared" si="13"/>
        <v>10</v>
      </c>
      <c r="AE19" s="293">
        <f t="shared" si="13"/>
        <v>10</v>
      </c>
      <c r="AF19" s="293">
        <f t="shared" si="13"/>
        <v>10</v>
      </c>
      <c r="AG19" s="293">
        <f t="shared" si="13"/>
        <v>10</v>
      </c>
      <c r="AH19" s="293">
        <f t="shared" si="13"/>
        <v>10</v>
      </c>
      <c r="AI19" s="293">
        <f t="shared" si="13"/>
        <v>10</v>
      </c>
      <c r="AJ19" s="293">
        <f t="shared" si="13"/>
        <v>10</v>
      </c>
      <c r="AK19" s="293">
        <f t="shared" si="13"/>
        <v>10</v>
      </c>
      <c r="AL19" s="293">
        <f t="shared" si="13"/>
        <v>10</v>
      </c>
      <c r="AM19" s="293">
        <f t="shared" si="13"/>
        <v>10</v>
      </c>
      <c r="AN19" s="293">
        <f t="shared" si="13"/>
        <v>10</v>
      </c>
      <c r="AO19" s="293">
        <f t="shared" si="13"/>
        <v>10</v>
      </c>
      <c r="AP19" s="293">
        <f t="shared" si="13"/>
        <v>10</v>
      </c>
      <c r="AQ19" s="293">
        <f t="shared" si="13"/>
        <v>10</v>
      </c>
      <c r="AR19" s="293">
        <f t="shared" si="13"/>
        <v>10</v>
      </c>
      <c r="AS19" s="293">
        <f t="shared" si="13"/>
        <v>10</v>
      </c>
      <c r="AT19" s="293">
        <f t="shared" si="13"/>
        <v>10</v>
      </c>
      <c r="AU19" s="293">
        <f t="shared" si="13"/>
        <v>10</v>
      </c>
      <c r="AV19" s="293">
        <f t="shared" si="13"/>
        <v>10</v>
      </c>
      <c r="AW19" s="293">
        <f t="shared" si="13"/>
        <v>10</v>
      </c>
      <c r="AX19" s="293">
        <f t="shared" si="13"/>
        <v>10</v>
      </c>
      <c r="AY19" s="293">
        <f t="shared" si="13"/>
        <v>10</v>
      </c>
      <c r="AZ19" s="293">
        <f t="shared" si="13"/>
        <v>10</v>
      </c>
      <c r="BA19" s="293">
        <f t="shared" si="13"/>
        <v>10</v>
      </c>
      <c r="BB19" s="293">
        <f t="shared" si="13"/>
        <v>10</v>
      </c>
      <c r="BC19" s="293">
        <f t="shared" si="13"/>
        <v>10</v>
      </c>
      <c r="BD19" s="293">
        <f t="shared" si="13"/>
        <v>10</v>
      </c>
      <c r="BE19" s="293">
        <f t="shared" si="13"/>
        <v>10</v>
      </c>
      <c r="BF19" s="293">
        <f t="shared" si="13"/>
        <v>10</v>
      </c>
      <c r="BG19" s="293">
        <f t="shared" si="13"/>
        <v>10</v>
      </c>
      <c r="BH19" s="293">
        <f t="shared" si="13"/>
        <v>10</v>
      </c>
      <c r="BI19" s="293">
        <f t="shared" si="13"/>
        <v>10</v>
      </c>
      <c r="BJ19" s="293">
        <f t="shared" si="13"/>
        <v>10</v>
      </c>
      <c r="BK19" s="293">
        <f t="shared" si="13"/>
        <v>10</v>
      </c>
      <c r="BL19" s="293">
        <f t="shared" si="13"/>
        <v>10</v>
      </c>
      <c r="BM19" s="293">
        <f t="shared" ref="BM19" si="14">BL19</f>
        <v>10</v>
      </c>
      <c r="BN19" s="293">
        <f t="shared" ref="BN19" si="15">BM19</f>
        <v>10</v>
      </c>
      <c r="BO19" s="293">
        <f t="shared" ref="BO19" si="16">BN19</f>
        <v>10</v>
      </c>
      <c r="BP19" s="293">
        <f t="shared" ref="BP19" si="17">BO19</f>
        <v>10</v>
      </c>
      <c r="BQ19" s="293">
        <f t="shared" ref="BQ19" si="18">BP19</f>
        <v>10</v>
      </c>
      <c r="BR19" s="293">
        <f t="shared" ref="BR19" si="19">BQ19</f>
        <v>10</v>
      </c>
      <c r="BS19" s="293">
        <f t="shared" ref="BS19" si="20">BR19</f>
        <v>10</v>
      </c>
      <c r="BT19" s="293">
        <f t="shared" ref="BT19" si="21">BS19</f>
        <v>10</v>
      </c>
      <c r="BU19" s="293">
        <f t="shared" ref="BU19" si="22">BT19</f>
        <v>10</v>
      </c>
      <c r="BV19" s="293">
        <f t="shared" ref="BV19" si="23">BU19</f>
        <v>10</v>
      </c>
      <c r="BW19" s="293">
        <f t="shared" ref="BW19" si="24">BV19</f>
        <v>10</v>
      </c>
      <c r="BX19" s="293">
        <f t="shared" ref="BX19" si="25">BW19</f>
        <v>10</v>
      </c>
      <c r="BY19" s="293">
        <f t="shared" ref="BY19" si="26">BX19</f>
        <v>10</v>
      </c>
      <c r="BZ19" s="293"/>
      <c r="CA19" s="293"/>
    </row>
    <row r="20" spans="1:79" ht="14.25" customHeight="1" x14ac:dyDescent="0.25">
      <c r="B20" s="294" t="s">
        <v>387</v>
      </c>
      <c r="C20" s="291" t="s">
        <v>4</v>
      </c>
      <c r="F20" s="295">
        <v>10153</v>
      </c>
      <c r="G20" s="295">
        <f>F20</f>
        <v>10153</v>
      </c>
      <c r="H20" s="295">
        <f t="shared" ref="H20:K20" si="27">G20</f>
        <v>10153</v>
      </c>
      <c r="I20" s="295">
        <f t="shared" si="27"/>
        <v>10153</v>
      </c>
      <c r="J20" s="295">
        <f t="shared" si="27"/>
        <v>10153</v>
      </c>
      <c r="K20" s="295">
        <f t="shared" si="27"/>
        <v>10153</v>
      </c>
      <c r="L20" s="295">
        <f>K20+Свод_БДДС!R27</f>
        <v>10153</v>
      </c>
      <c r="M20" s="295">
        <f>L20+Свод_БДДС!S27</f>
        <v>10153</v>
      </c>
      <c r="N20" s="295">
        <f>M20+Свод_БДДС!T27</f>
        <v>10153</v>
      </c>
      <c r="O20" s="295">
        <f>N20+Свод_БДДС!U27</f>
        <v>10153</v>
      </c>
      <c r="P20" s="295">
        <f>O20+Свод_БДДС!V27</f>
        <v>10153</v>
      </c>
      <c r="Q20" s="295">
        <f>P20+Свод_БДДС!W27</f>
        <v>165142</v>
      </c>
      <c r="R20" s="295">
        <f>Q20+Свод_БДДС!X27</f>
        <v>165142</v>
      </c>
      <c r="S20" s="295">
        <f>R20+Свод_БДДС!Y27</f>
        <v>165142</v>
      </c>
      <c r="T20" s="295">
        <f>S20+Свод_БДДС!Z27</f>
        <v>165142</v>
      </c>
      <c r="U20" s="295">
        <f>T20+Свод_БДДС!AA27</f>
        <v>165142</v>
      </c>
      <c r="V20" s="295">
        <f>U20+Свод_БДДС!AB27</f>
        <v>165142</v>
      </c>
      <c r="W20" s="295">
        <f>V20+Свод_БДДС!AC27</f>
        <v>460153</v>
      </c>
      <c r="X20" s="295">
        <f>W20+Свод_БДДС!AD27</f>
        <v>460153</v>
      </c>
      <c r="Y20" s="295">
        <f>X20+Свод_БДДС!AE27</f>
        <v>460153</v>
      </c>
      <c r="Z20" s="295">
        <f>Y20+Свод_БДДС!AF27</f>
        <v>460153</v>
      </c>
      <c r="AA20" s="295">
        <f>Z20+Свод_БДДС!AG27</f>
        <v>460153</v>
      </c>
      <c r="AB20" s="295">
        <f>AA20+Свод_БДДС!AH27</f>
        <v>460153</v>
      </c>
      <c r="AC20" s="295">
        <f>AB20+Свод_БДДС!AI27</f>
        <v>460153</v>
      </c>
      <c r="AD20" s="295">
        <f>AC20+Свод_БДДС!AJ27</f>
        <v>460153</v>
      </c>
      <c r="AE20" s="295">
        <f>AD20+Свод_БДДС!AK27</f>
        <v>460153</v>
      </c>
      <c r="AF20" s="295">
        <f>AE20+Свод_БДДС!AL27</f>
        <v>460153</v>
      </c>
      <c r="AG20" s="295">
        <f>AF20+Свод_БДДС!AM27</f>
        <v>460153</v>
      </c>
      <c r="AH20" s="295">
        <f>AG20+Свод_БДДС!AN27</f>
        <v>460153</v>
      </c>
      <c r="AI20" s="295">
        <f>AH20+Свод_БДДС!AO27</f>
        <v>460153</v>
      </c>
      <c r="AJ20" s="295">
        <f>AI20+Свод_БДДС!AP27</f>
        <v>460153</v>
      </c>
      <c r="AK20" s="295">
        <f>AJ20+Свод_БДДС!AQ27</f>
        <v>460153</v>
      </c>
      <c r="AL20" s="295">
        <f>AK20+Свод_БДДС!AR27</f>
        <v>460153</v>
      </c>
      <c r="AM20" s="295">
        <f>AL20+Свод_БДДС!AS27</f>
        <v>460153</v>
      </c>
      <c r="AN20" s="295">
        <f>AM20+Свод_БДДС!AT27</f>
        <v>460153</v>
      </c>
      <c r="AO20" s="295">
        <f>AN20+Свод_БДДС!AU27</f>
        <v>460153</v>
      </c>
      <c r="AP20" s="295">
        <f>AO20+Свод_БДДС!AV27</f>
        <v>460153</v>
      </c>
      <c r="AQ20" s="295">
        <f>AP20+Свод_БДДС!AW27</f>
        <v>460153</v>
      </c>
      <c r="AR20" s="295">
        <f>AQ20+Свод_БДДС!AX27</f>
        <v>460153</v>
      </c>
      <c r="AS20" s="295">
        <f>AR20+Свод_БДДС!AY27</f>
        <v>460153</v>
      </c>
      <c r="AT20" s="295">
        <f>AS20+Свод_БДДС!AZ27</f>
        <v>460153</v>
      </c>
      <c r="AU20" s="295">
        <f>AT20+Свод_БДДС!BA27</f>
        <v>460153</v>
      </c>
      <c r="AV20" s="295">
        <f>AU20+Свод_БДДС!BB27</f>
        <v>460153</v>
      </c>
      <c r="AW20" s="295">
        <f>AV20+Свод_БДДС!BC27</f>
        <v>460153</v>
      </c>
      <c r="AX20" s="295">
        <f>AW20+Свод_БДДС!BD27</f>
        <v>460153</v>
      </c>
      <c r="AY20" s="295">
        <f>AX20+Свод_БДДС!BE27</f>
        <v>460153</v>
      </c>
      <c r="AZ20" s="295">
        <f>AY20+Свод_БДДС!BF27</f>
        <v>460153</v>
      </c>
      <c r="BA20" s="295">
        <f>AZ20+Свод_БДДС!BG27</f>
        <v>460153</v>
      </c>
      <c r="BB20" s="295">
        <f>BA20+Свод_БДДС!BH27</f>
        <v>460153</v>
      </c>
      <c r="BC20" s="295">
        <f>BB20+Свод_БДДС!BI27</f>
        <v>460153</v>
      </c>
      <c r="BD20" s="295">
        <f>BC20+Свод_БДДС!BJ27</f>
        <v>460153</v>
      </c>
      <c r="BE20" s="295">
        <f>BD20+Свод_БДДС!BK27</f>
        <v>460153</v>
      </c>
      <c r="BF20" s="295">
        <f>BE20+Свод_БДДС!BL27</f>
        <v>460153</v>
      </c>
      <c r="BG20" s="295">
        <f>BF20+Свод_БДДС!BM27</f>
        <v>460153</v>
      </c>
      <c r="BH20" s="295">
        <f>BG20+Свод_БДДС!BN27</f>
        <v>460153</v>
      </c>
      <c r="BI20" s="295">
        <f>BH20+Свод_БДДС!BO27</f>
        <v>460153</v>
      </c>
      <c r="BJ20" s="295">
        <f>BI20+Свод_БДДС!BP27</f>
        <v>460153</v>
      </c>
      <c r="BK20" s="295">
        <f>BJ20+Свод_БДДС!BQ27</f>
        <v>460153</v>
      </c>
      <c r="BL20" s="295">
        <f>BK20+Свод_БДДС!BR27</f>
        <v>460153</v>
      </c>
      <c r="BM20" s="295">
        <f>BL20+Свод_БДДС!BS27</f>
        <v>460153</v>
      </c>
      <c r="BN20" s="295">
        <f>BM20+Свод_БДДС!BT27</f>
        <v>460153</v>
      </c>
      <c r="BO20" s="295">
        <f>BN20+Свод_БДДС!BU27</f>
        <v>460153</v>
      </c>
      <c r="BP20" s="295">
        <f>BO20+Свод_БДДС!BV27</f>
        <v>460153</v>
      </c>
      <c r="BQ20" s="295">
        <f>BP20+Свод_БДДС!BW27</f>
        <v>460153</v>
      </c>
      <c r="BR20" s="295">
        <f>BQ20+Свод_БДДС!BX27</f>
        <v>460153</v>
      </c>
      <c r="BS20" s="295">
        <f>BR20+Свод_БДДС!BY27</f>
        <v>460153</v>
      </c>
      <c r="BT20" s="295">
        <f>BS20+Свод_БДДС!BZ27</f>
        <v>460153</v>
      </c>
      <c r="BU20" s="295">
        <f>BT20+Свод_БДДС!CA27</f>
        <v>460153</v>
      </c>
      <c r="BV20" s="295">
        <f>BU20+Свод_БДДС!CB27</f>
        <v>460153</v>
      </c>
      <c r="BW20" s="295">
        <f>BV20+Свод_БДДС!CC27</f>
        <v>460153</v>
      </c>
      <c r="BX20" s="295">
        <f>BW20+Свод_БДДС!CD27</f>
        <v>460153</v>
      </c>
      <c r="BY20" s="295">
        <f>BX20+Свод_БДДС!CE27</f>
        <v>460153</v>
      </c>
      <c r="BZ20" s="293"/>
      <c r="CA20" s="293"/>
    </row>
    <row r="21" spans="1:79" ht="14.25" customHeight="1" x14ac:dyDescent="0.25">
      <c r="B21" s="294" t="s">
        <v>370</v>
      </c>
      <c r="C21" s="291" t="s">
        <v>4</v>
      </c>
      <c r="F21" s="293"/>
      <c r="G21" s="293"/>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c r="BM21" s="293"/>
      <c r="BN21" s="293"/>
      <c r="BO21" s="293"/>
      <c r="BP21" s="293"/>
      <c r="BQ21" s="293"/>
      <c r="BR21" s="293"/>
      <c r="BS21" s="293"/>
      <c r="BT21" s="293"/>
      <c r="BU21" s="293"/>
      <c r="BV21" s="293"/>
      <c r="BW21" s="293"/>
      <c r="BX21" s="293"/>
      <c r="BY21" s="293"/>
      <c r="BZ21" s="293"/>
      <c r="CA21" s="293"/>
    </row>
    <row r="22" spans="1:79" ht="14.25" customHeight="1" x14ac:dyDescent="0.25">
      <c r="A22" s="301"/>
      <c r="B22" s="294" t="s">
        <v>371</v>
      </c>
      <c r="C22" s="291" t="s">
        <v>4</v>
      </c>
      <c r="D22" s="301"/>
      <c r="E22" s="301"/>
      <c r="F22" s="295">
        <f>Свод_ОФР!R35</f>
        <v>51101.254529455502</v>
      </c>
      <c r="G22" s="295">
        <f>Свод_ОФР!S35</f>
        <v>50434.679007761981</v>
      </c>
      <c r="H22" s="295">
        <f>Свод_ОФР!T35</f>
        <v>60035.601800575329</v>
      </c>
      <c r="I22" s="295">
        <f>Свод_ОФР!U35</f>
        <v>60408.061067338065</v>
      </c>
      <c r="J22" s="295">
        <f>Свод_ОФР!V35</f>
        <v>62313.459261744953</v>
      </c>
      <c r="K22" s="295">
        <f>Свод_ОФР!W35</f>
        <v>64162.860465733684</v>
      </c>
      <c r="L22" s="295">
        <f>Свод_ОФР!X35</f>
        <v>65229.147665088945</v>
      </c>
      <c r="M22" s="295">
        <f>Свод_ОФР!Y35</f>
        <v>66149.812912319525</v>
      </c>
      <c r="N22" s="402">
        <f>Свод_ОФР!Z35</f>
        <v>66925.591194348424</v>
      </c>
      <c r="O22" s="295">
        <f>Свод_ОФР!AA35</f>
        <v>72478.86222248165</v>
      </c>
      <c r="P22" s="295">
        <f>Свод_ОФР!AB35</f>
        <v>77750.179816457268</v>
      </c>
      <c r="Q22" s="295">
        <f>Свод_ОФР!AC35</f>
        <v>85284.123233187143</v>
      </c>
      <c r="R22" s="295">
        <f>Свод_ОФР!AD35</f>
        <v>85918.098600280762</v>
      </c>
      <c r="S22" s="295">
        <f>Свод_ОФР!AE35</f>
        <v>86802.301925509251</v>
      </c>
      <c r="T22" s="295">
        <f>Свод_ОФР!AF35</f>
        <v>89369.877698403376</v>
      </c>
      <c r="U22" s="295">
        <f>Свод_ОФР!AG35</f>
        <v>92072.504125011284</v>
      </c>
      <c r="V22" s="295">
        <f>Свод_ОФР!AH35</f>
        <v>95208.253285009443</v>
      </c>
      <c r="W22" s="295">
        <f>Свод_ОФР!AI35</f>
        <v>98322.1154444446</v>
      </c>
      <c r="X22" s="295">
        <f>Свод_ОФР!AJ35</f>
        <v>99640.535785386761</v>
      </c>
      <c r="Y22" s="295">
        <f>Свод_ОФР!AK35</f>
        <v>105741.96654048828</v>
      </c>
      <c r="Z22" s="295">
        <f>Свод_ОФР!AL35</f>
        <v>113188.142410817</v>
      </c>
      <c r="AA22" s="295">
        <f>Свод_ОФР!AM35</f>
        <v>120934.54860622677</v>
      </c>
      <c r="AB22" s="295">
        <f>Свод_ОФР!AN35</f>
        <v>129379.18363418704</v>
      </c>
      <c r="AC22" s="295">
        <f>Свод_ОФР!AO35</f>
        <v>141713.76935955056</v>
      </c>
      <c r="AD22" s="295">
        <f>Свод_ОФР!AP35</f>
        <v>152019.2648823474</v>
      </c>
      <c r="AE22" s="295">
        <f>Свод_ОФР!AQ35</f>
        <v>164564.81583847853</v>
      </c>
      <c r="AF22" s="295">
        <f>Свод_ОФР!AR35</f>
        <v>179668.57054094985</v>
      </c>
      <c r="AG22" s="295">
        <f>Свод_ОФР!AS35</f>
        <v>195699.29816009145</v>
      </c>
      <c r="AH22" s="295">
        <f>Свод_ОФР!AT35</f>
        <v>212751.72630318336</v>
      </c>
      <c r="AI22" s="295">
        <f>Свод_ОФР!AU35</f>
        <v>229605.53927263213</v>
      </c>
      <c r="AJ22" s="295">
        <f>Свод_ОФР!AV35</f>
        <v>247108.09571840774</v>
      </c>
      <c r="AK22" s="295">
        <f>Свод_ОФР!AW35</f>
        <v>264472.62199555407</v>
      </c>
      <c r="AL22" s="295">
        <f>Свод_ОФР!AX35</f>
        <v>281073.68390898703</v>
      </c>
      <c r="AM22" s="295">
        <f>Свод_ОФР!AY35</f>
        <v>296999.99966124108</v>
      </c>
      <c r="AN22" s="295">
        <f>Свод_ОФР!AZ35</f>
        <v>311812.20874260541</v>
      </c>
      <c r="AO22" s="295">
        <f>Свод_ОФР!BA35</f>
        <v>333938.62923372095</v>
      </c>
      <c r="AP22" s="295">
        <f>Свод_ОФР!BB35</f>
        <v>348730.32232434367</v>
      </c>
      <c r="AQ22" s="295">
        <f>Свод_ОФР!BC35</f>
        <v>365034.87744197535</v>
      </c>
      <c r="AR22" s="295">
        <f>Свод_ОФР!BD35</f>
        <v>383708.77147651452</v>
      </c>
      <c r="AS22" s="295">
        <f>Свод_ОФР!BE35</f>
        <v>403863.80936454015</v>
      </c>
      <c r="AT22" s="295">
        <f>Свод_ОФР!BF35</f>
        <v>358187.25309037761</v>
      </c>
      <c r="AU22" s="295">
        <f>Свод_ОФР!BG35</f>
        <v>380492.31810063636</v>
      </c>
      <c r="AV22" s="295">
        <f>Свод_ОФР!BH35</f>
        <v>403514.49614115676</v>
      </c>
      <c r="AW22" s="295">
        <f>Свод_ОФР!BI35</f>
        <v>425307.98384218052</v>
      </c>
      <c r="AX22" s="295">
        <f>Свод_ОФР!BJ35</f>
        <v>446110.59996688436</v>
      </c>
      <c r="AY22" s="295">
        <f>Свод_ОФР!BK35</f>
        <v>465955.63106345123</v>
      </c>
      <c r="AZ22" s="295">
        <f>Свод_ОФР!BL35</f>
        <v>484873.91365434654</v>
      </c>
      <c r="BA22" s="295">
        <f>Свод_ОФР!BM35</f>
        <v>445960.22859416669</v>
      </c>
      <c r="BB22" s="295">
        <f>Свод_ОФР!BN35</f>
        <v>464819.29429833335</v>
      </c>
      <c r="BC22" s="295">
        <f>Свод_ОФР!BO35</f>
        <v>485338.20683971391</v>
      </c>
      <c r="BD22" s="295">
        <f>Свод_ОФР!BP35</f>
        <v>509375.94769354159</v>
      </c>
      <c r="BE22" s="295">
        <f>Свод_ОФР!BQ35</f>
        <v>535036.29541691591</v>
      </c>
      <c r="BF22" s="295">
        <f>Свод_ОФР!BR35</f>
        <v>475979.8932101957</v>
      </c>
      <c r="BG22" s="295">
        <f>Свод_ОФР!BS35</f>
        <v>504043.0719754828</v>
      </c>
      <c r="BH22" s="295">
        <f>Свод_ОФР!BT35</f>
        <v>532939.77801664476</v>
      </c>
      <c r="BI22" s="295">
        <f>Свод_ОФР!BU35</f>
        <v>560402.75902237056</v>
      </c>
      <c r="BJ22" s="295">
        <f>Свод_ОФР!BV35</f>
        <v>586707.22497480607</v>
      </c>
      <c r="BK22" s="295">
        <f>Свод_ОФР!BW35</f>
        <v>612671.17044982908</v>
      </c>
      <c r="BL22" s="295">
        <f>Свод_ОФР!BX35</f>
        <v>636772.28640094085</v>
      </c>
      <c r="BM22" s="295">
        <f>Свод_ОФР!BY35</f>
        <v>585598.44075166842</v>
      </c>
      <c r="BN22" s="295">
        <f>Свод_ОФР!BZ35</f>
        <v>608054.17641352944</v>
      </c>
      <c r="BO22" s="295">
        <f>Свод_ОФР!CA35</f>
        <v>632172.02950827114</v>
      </c>
      <c r="BP22" s="295">
        <f>Свод_ОФР!CB35</f>
        <v>661270.76850780565</v>
      </c>
      <c r="BQ22" s="295">
        <f>Свод_ОФР!CC35</f>
        <v>692230.19000144349</v>
      </c>
      <c r="BR22" s="295">
        <f>Свод_ОФР!CD35</f>
        <v>615712.74196806666</v>
      </c>
      <c r="BS22" s="295">
        <f>Свод_ОФР!CE35</f>
        <v>649419.62559061788</v>
      </c>
      <c r="BT22" s="295">
        <f>Свод_ОФР!CF35</f>
        <v>684085.00046029454</v>
      </c>
      <c r="BU22" s="295">
        <f>Свод_ОФР!CG35</f>
        <v>717128.49076719733</v>
      </c>
      <c r="BV22" s="295">
        <f>Свод_ОФР!CH35</f>
        <v>749803.79405599984</v>
      </c>
      <c r="BW22" s="295">
        <f>Свод_ОФР!CI35</f>
        <v>781186.24910277908</v>
      </c>
      <c r="BX22" s="295">
        <f>Свод_ОФР!CJ35</f>
        <v>810457.33884730528</v>
      </c>
      <c r="BY22" s="295">
        <f>Свод_ОФР!CK35</f>
        <v>742961.32765055285</v>
      </c>
      <c r="BZ22" s="293"/>
      <c r="CA22" s="293"/>
    </row>
    <row r="23" spans="1:79" ht="14.25" customHeight="1" x14ac:dyDescent="0.25">
      <c r="B23" s="290" t="s">
        <v>372</v>
      </c>
      <c r="C23" s="291" t="s">
        <v>4</v>
      </c>
      <c r="F23" s="292">
        <f t="shared" ref="F23:BL23" si="28">SUM(F24:F25)</f>
        <v>3976.55555</v>
      </c>
      <c r="G23" s="292">
        <f t="shared" si="28"/>
        <v>3389.1112199999998</v>
      </c>
      <c r="H23" s="292">
        <f t="shared" si="28"/>
        <v>2968.3334399999999</v>
      </c>
      <c r="I23" s="292">
        <f t="shared" si="28"/>
        <v>2547.55566</v>
      </c>
      <c r="J23" s="292">
        <f t="shared" si="28"/>
        <v>4746.4958799999995</v>
      </c>
      <c r="K23" s="292">
        <f t="shared" si="28"/>
        <v>52426.62199</v>
      </c>
      <c r="L23" s="292">
        <f t="shared" si="28"/>
        <v>56790.672990000006</v>
      </c>
      <c r="M23" s="292">
        <f t="shared" si="28"/>
        <v>53990.79899000001</v>
      </c>
      <c r="N23" s="292">
        <f t="shared" si="28"/>
        <v>54919.016387272735</v>
      </c>
      <c r="O23" s="292">
        <f t="shared" si="28"/>
        <v>54750.266387272735</v>
      </c>
      <c r="P23" s="292">
        <f t="shared" si="28"/>
        <v>51737.016387272735</v>
      </c>
      <c r="Q23" s="292">
        <f t="shared" si="28"/>
        <v>52612.266387272735</v>
      </c>
      <c r="R23" s="292">
        <f t="shared" si="28"/>
        <v>52443.516387272735</v>
      </c>
      <c r="S23" s="292">
        <f t="shared" si="28"/>
        <v>52274.766387272735</v>
      </c>
      <c r="T23" s="292">
        <f t="shared" si="28"/>
        <v>52196.766387272735</v>
      </c>
      <c r="U23" s="292">
        <f t="shared" si="28"/>
        <v>51074.766387272735</v>
      </c>
      <c r="V23" s="292">
        <f t="shared" si="28"/>
        <v>49952.766387272735</v>
      </c>
      <c r="W23" s="292">
        <f t="shared" si="28"/>
        <v>48830.766387272735</v>
      </c>
      <c r="X23" s="292">
        <f t="shared" si="28"/>
        <v>47708.766387272735</v>
      </c>
      <c r="Y23" s="292">
        <f t="shared" si="28"/>
        <v>46586.766387272735</v>
      </c>
      <c r="Z23" s="292">
        <f t="shared" si="28"/>
        <v>45464.766387272735</v>
      </c>
      <c r="AA23" s="292">
        <f t="shared" si="28"/>
        <v>44342.766387272735</v>
      </c>
      <c r="AB23" s="292">
        <f t="shared" si="28"/>
        <v>43220.766387272735</v>
      </c>
      <c r="AC23" s="292">
        <f t="shared" si="28"/>
        <v>42098.766387272735</v>
      </c>
      <c r="AD23" s="292">
        <f t="shared" si="28"/>
        <v>40976.766387272735</v>
      </c>
      <c r="AE23" s="292">
        <f t="shared" si="28"/>
        <v>39854.766387272735</v>
      </c>
      <c r="AF23" s="292">
        <f t="shared" si="28"/>
        <v>38732.766387272735</v>
      </c>
      <c r="AG23" s="292">
        <f t="shared" si="28"/>
        <v>37610.766387272735</v>
      </c>
      <c r="AH23" s="292">
        <f t="shared" si="28"/>
        <v>36488.766387272735</v>
      </c>
      <c r="AI23" s="292">
        <f t="shared" si="28"/>
        <v>35366.766387272735</v>
      </c>
      <c r="AJ23" s="292">
        <f t="shared" si="28"/>
        <v>34244.766387272735</v>
      </c>
      <c r="AK23" s="292">
        <f t="shared" si="28"/>
        <v>33122.766387272735</v>
      </c>
      <c r="AL23" s="292">
        <f t="shared" si="28"/>
        <v>32000.766387272732</v>
      </c>
      <c r="AM23" s="292">
        <f t="shared" si="28"/>
        <v>30878.766387272732</v>
      </c>
      <c r="AN23" s="292">
        <f t="shared" si="28"/>
        <v>29756.766387272732</v>
      </c>
      <c r="AO23" s="292">
        <f t="shared" si="28"/>
        <v>28634.766387272732</v>
      </c>
      <c r="AP23" s="292">
        <f t="shared" si="28"/>
        <v>22907.857729818184</v>
      </c>
      <c r="AQ23" s="292">
        <f t="shared" si="28"/>
        <v>17180.949072363637</v>
      </c>
      <c r="AR23" s="292">
        <f t="shared" si="28"/>
        <v>11454.04041490909</v>
      </c>
      <c r="AS23" s="292">
        <f t="shared" si="28"/>
        <v>5727.1317574545446</v>
      </c>
      <c r="AT23" s="292">
        <f t="shared" si="28"/>
        <v>0.2230999999998744</v>
      </c>
      <c r="AU23" s="292">
        <f t="shared" si="28"/>
        <v>0.2230999999998744</v>
      </c>
      <c r="AV23" s="292">
        <f t="shared" si="28"/>
        <v>0.2230999999998744</v>
      </c>
      <c r="AW23" s="292">
        <f t="shared" si="28"/>
        <v>0.2230999999998744</v>
      </c>
      <c r="AX23" s="292">
        <f t="shared" si="28"/>
        <v>0.2230999999998744</v>
      </c>
      <c r="AY23" s="292">
        <f t="shared" si="28"/>
        <v>0.2230999999998744</v>
      </c>
      <c r="AZ23" s="292">
        <f t="shared" si="28"/>
        <v>0.2230999999998744</v>
      </c>
      <c r="BA23" s="292">
        <f t="shared" si="28"/>
        <v>0.2230999999998744</v>
      </c>
      <c r="BB23" s="292">
        <f t="shared" si="28"/>
        <v>0.2230999999998744</v>
      </c>
      <c r="BC23" s="292">
        <f t="shared" si="28"/>
        <v>0.2230999999998744</v>
      </c>
      <c r="BD23" s="292">
        <f t="shared" si="28"/>
        <v>0.2230999999998744</v>
      </c>
      <c r="BE23" s="292">
        <f t="shared" si="28"/>
        <v>0.2230999999998744</v>
      </c>
      <c r="BF23" s="292">
        <f t="shared" si="28"/>
        <v>0.2230999999998744</v>
      </c>
      <c r="BG23" s="292">
        <f t="shared" si="28"/>
        <v>0.2230999999998744</v>
      </c>
      <c r="BH23" s="292">
        <f t="shared" si="28"/>
        <v>0.2230999999998744</v>
      </c>
      <c r="BI23" s="292">
        <f t="shared" si="28"/>
        <v>0.2230999999998744</v>
      </c>
      <c r="BJ23" s="292">
        <f t="shared" si="28"/>
        <v>0.2230999999998744</v>
      </c>
      <c r="BK23" s="292">
        <f t="shared" si="28"/>
        <v>0.2230999999998744</v>
      </c>
      <c r="BL23" s="292">
        <f t="shared" si="28"/>
        <v>0.2230999999998744</v>
      </c>
      <c r="BM23" s="292">
        <f t="shared" ref="BM23:BY23" si="29">SUM(BM24:BM25)</f>
        <v>0.2230999999998744</v>
      </c>
      <c r="BN23" s="292">
        <f t="shared" si="29"/>
        <v>0.2230999999998744</v>
      </c>
      <c r="BO23" s="292">
        <f t="shared" si="29"/>
        <v>0.2230999999998744</v>
      </c>
      <c r="BP23" s="292">
        <f t="shared" si="29"/>
        <v>0.2230999999998744</v>
      </c>
      <c r="BQ23" s="292">
        <f t="shared" si="29"/>
        <v>0.2230999999998744</v>
      </c>
      <c r="BR23" s="292">
        <f t="shared" si="29"/>
        <v>0.2230999999998744</v>
      </c>
      <c r="BS23" s="292">
        <f t="shared" si="29"/>
        <v>0.2230999999998744</v>
      </c>
      <c r="BT23" s="292">
        <f t="shared" si="29"/>
        <v>0.2230999999998744</v>
      </c>
      <c r="BU23" s="292">
        <f t="shared" si="29"/>
        <v>0.2230999999998744</v>
      </c>
      <c r="BV23" s="292">
        <f t="shared" si="29"/>
        <v>0.2230999999998744</v>
      </c>
      <c r="BW23" s="292">
        <f t="shared" si="29"/>
        <v>0.2230999999998744</v>
      </c>
      <c r="BX23" s="292">
        <f t="shared" si="29"/>
        <v>0.2230999999998744</v>
      </c>
      <c r="BY23" s="292">
        <f t="shared" si="29"/>
        <v>0.2230999999998744</v>
      </c>
      <c r="BZ23" s="293"/>
      <c r="CA23" s="293"/>
    </row>
    <row r="24" spans="1:79" ht="14.25" customHeight="1" x14ac:dyDescent="0.25">
      <c r="B24" s="294" t="s">
        <v>373</v>
      </c>
      <c r="C24" s="291" t="s">
        <v>4</v>
      </c>
      <c r="F24" s="293">
        <f>Свод_ОФР!R144+Свод_ОФР!R145</f>
        <v>1833.55555</v>
      </c>
      <c r="G24" s="293">
        <f>Свод_ОФР!S144+Свод_ОФР!S145</f>
        <v>1389.11122</v>
      </c>
      <c r="H24" s="293">
        <f>Свод_ОФР!T144+Свод_ОФР!T145</f>
        <v>1111.3334399999999</v>
      </c>
      <c r="I24" s="293">
        <f>Свод_ОФР!U144+Свод_ОФР!U145</f>
        <v>833.55565999999988</v>
      </c>
      <c r="J24" s="293">
        <f>Свод_ОФР!V144+Свод_ОФР!V145</f>
        <v>3175.4958799999995</v>
      </c>
      <c r="K24" s="293">
        <f>Свод_ОФР!W144+Свод_ОФР!W145</f>
        <v>50998.62199</v>
      </c>
      <c r="L24" s="293">
        <f>Свод_ОФР!X144+Свод_ОФР!X145</f>
        <v>55531.422990000006</v>
      </c>
      <c r="M24" s="293">
        <f>Свод_ОФР!Y144+Свод_ОФР!Y145</f>
        <v>52900.29899000001</v>
      </c>
      <c r="N24" s="293">
        <f>Свод_ОФР!Z144+Свод_ОФР!Z145</f>
        <v>53997.266387272735</v>
      </c>
      <c r="O24" s="293">
        <f>Свод_ОФР!AA144+Свод_ОФР!AA145</f>
        <v>53997.266387272735</v>
      </c>
      <c r="P24" s="293">
        <f>Свод_ОФР!AB144+Свод_ОФР!AB145</f>
        <v>51152.766387272735</v>
      </c>
      <c r="Q24" s="293">
        <f>Свод_ОФР!AC144+Свод_ОФР!AC145</f>
        <v>52196.766387272735</v>
      </c>
      <c r="R24" s="293">
        <f>Свод_ОФР!AD144+Свод_ОФР!AD145</f>
        <v>52196.766387272735</v>
      </c>
      <c r="S24" s="293">
        <f>Свод_ОФР!AE144+Свод_ОФР!AE145</f>
        <v>52196.766387272735</v>
      </c>
      <c r="T24" s="293">
        <f>Свод_ОФР!AF144+Свод_ОФР!AF145</f>
        <v>52196.766387272735</v>
      </c>
      <c r="U24" s="293">
        <f>Свод_ОФР!AG144+Свод_ОФР!AG145</f>
        <v>51074.766387272735</v>
      </c>
      <c r="V24" s="293">
        <f>Свод_ОФР!AH144+Свод_ОФР!AH145</f>
        <v>49952.766387272735</v>
      </c>
      <c r="W24" s="293">
        <f>Свод_ОФР!AI144+Свод_ОФР!AI145</f>
        <v>48830.766387272735</v>
      </c>
      <c r="X24" s="293">
        <f>Свод_ОФР!AJ144+Свод_ОФР!AJ145</f>
        <v>47708.766387272735</v>
      </c>
      <c r="Y24" s="293">
        <f>Свод_ОФР!AK144+Свод_ОФР!AK145</f>
        <v>46586.766387272735</v>
      </c>
      <c r="Z24" s="293">
        <f>Свод_ОФР!AL144+Свод_ОФР!AL145</f>
        <v>45464.766387272735</v>
      </c>
      <c r="AA24" s="293">
        <f>Свод_ОФР!AM144+Свод_ОФР!AM145</f>
        <v>44342.766387272735</v>
      </c>
      <c r="AB24" s="293">
        <f>Свод_ОФР!AN144+Свод_ОФР!AN145</f>
        <v>43220.766387272735</v>
      </c>
      <c r="AC24" s="293">
        <f>Свод_ОФР!AO144+Свод_ОФР!AO145</f>
        <v>42098.766387272735</v>
      </c>
      <c r="AD24" s="293">
        <f>Свод_ОФР!AP144+Свод_ОФР!AP145</f>
        <v>40976.766387272735</v>
      </c>
      <c r="AE24" s="293">
        <f>Свод_ОФР!AQ144+Свод_ОФР!AQ145</f>
        <v>39854.766387272735</v>
      </c>
      <c r="AF24" s="293">
        <f>Свод_ОФР!AR144+Свод_ОФР!AR145</f>
        <v>38732.766387272735</v>
      </c>
      <c r="AG24" s="293">
        <f>Свод_ОФР!AS144+Свод_ОФР!AS145</f>
        <v>37610.766387272735</v>
      </c>
      <c r="AH24" s="293">
        <f>Свод_ОФР!AT144+Свод_ОФР!AT145</f>
        <v>36488.766387272735</v>
      </c>
      <c r="AI24" s="293">
        <f>Свод_ОФР!AU144+Свод_ОФР!AU145</f>
        <v>35366.766387272735</v>
      </c>
      <c r="AJ24" s="293">
        <f>Свод_ОФР!AV144+Свод_ОФР!AV145</f>
        <v>34244.766387272735</v>
      </c>
      <c r="AK24" s="293">
        <f>Свод_ОФР!AW144+Свод_ОФР!AW145</f>
        <v>33122.766387272735</v>
      </c>
      <c r="AL24" s="293">
        <f>Свод_ОФР!AX144+Свод_ОФР!AX145</f>
        <v>32000.766387272732</v>
      </c>
      <c r="AM24" s="293">
        <f>Свод_ОФР!AY144+Свод_ОФР!AY145</f>
        <v>30878.766387272732</v>
      </c>
      <c r="AN24" s="293">
        <f>Свод_ОФР!AZ144+Свод_ОФР!AZ145</f>
        <v>29756.766387272732</v>
      </c>
      <c r="AO24" s="293">
        <f>Свод_ОФР!BA144+Свод_ОФР!BA145</f>
        <v>28634.766387272732</v>
      </c>
      <c r="AP24" s="293">
        <f>Свод_ОФР!BB144+Свод_ОФР!BB145</f>
        <v>22907.857729818184</v>
      </c>
      <c r="AQ24" s="293">
        <f>Свод_ОФР!BC144+Свод_ОФР!BC145</f>
        <v>17180.949072363637</v>
      </c>
      <c r="AR24" s="293">
        <f>Свод_ОФР!BD144+Свод_ОФР!BD145</f>
        <v>11454.04041490909</v>
      </c>
      <c r="AS24" s="293">
        <f>Свод_ОФР!BE144+Свод_ОФР!BE145</f>
        <v>5727.1317574545446</v>
      </c>
      <c r="AT24" s="293">
        <f>Свод_ОФР!BF144+Свод_ОФР!BF145</f>
        <v>0.2230999999998744</v>
      </c>
      <c r="AU24" s="293">
        <f>Свод_ОФР!BG144+Свод_ОФР!BG145</f>
        <v>0.2230999999998744</v>
      </c>
      <c r="AV24" s="293">
        <f>Свод_ОФР!BH144+Свод_ОФР!BH145</f>
        <v>0.2230999999998744</v>
      </c>
      <c r="AW24" s="293">
        <f>Свод_ОФР!BI144+Свод_ОФР!BI145</f>
        <v>0.2230999999998744</v>
      </c>
      <c r="AX24" s="293">
        <f>Свод_ОФР!BJ144+Свод_ОФР!BJ145</f>
        <v>0.2230999999998744</v>
      </c>
      <c r="AY24" s="293">
        <f>Свод_ОФР!BK144+Свод_ОФР!BK145</f>
        <v>0.2230999999998744</v>
      </c>
      <c r="AZ24" s="293">
        <f>Свод_ОФР!BL144+Свод_ОФР!BL145</f>
        <v>0.2230999999998744</v>
      </c>
      <c r="BA24" s="293">
        <f>Свод_ОФР!BM144+Свод_ОФР!BM145</f>
        <v>0.2230999999998744</v>
      </c>
      <c r="BB24" s="293">
        <f>Свод_ОФР!BN144+Свод_ОФР!BN145</f>
        <v>0.2230999999998744</v>
      </c>
      <c r="BC24" s="293">
        <f>Свод_ОФР!BO144+Свод_ОФР!BO145</f>
        <v>0.2230999999998744</v>
      </c>
      <c r="BD24" s="293">
        <f>Свод_ОФР!BP144+Свод_ОФР!BP145</f>
        <v>0.2230999999998744</v>
      </c>
      <c r="BE24" s="293">
        <f>Свод_ОФР!BQ144+Свод_ОФР!BQ145</f>
        <v>0.2230999999998744</v>
      </c>
      <c r="BF24" s="293">
        <f>Свод_ОФР!BR144+Свод_ОФР!BR145</f>
        <v>0.2230999999998744</v>
      </c>
      <c r="BG24" s="293">
        <f>Свод_ОФР!BS144+Свод_ОФР!BS145</f>
        <v>0.2230999999998744</v>
      </c>
      <c r="BH24" s="293">
        <f>Свод_ОФР!BT144+Свод_ОФР!BT145</f>
        <v>0.2230999999998744</v>
      </c>
      <c r="BI24" s="293">
        <f>Свод_ОФР!BU144+Свод_ОФР!BU145</f>
        <v>0.2230999999998744</v>
      </c>
      <c r="BJ24" s="293">
        <f>Свод_ОФР!BV144+Свод_ОФР!BV145</f>
        <v>0.2230999999998744</v>
      </c>
      <c r="BK24" s="293">
        <f>Свод_ОФР!BW144+Свод_ОФР!BW145</f>
        <v>0.2230999999998744</v>
      </c>
      <c r="BL24" s="293">
        <f>Свод_ОФР!BX144+Свод_ОФР!BX145</f>
        <v>0.2230999999998744</v>
      </c>
      <c r="BM24" s="293">
        <f>Свод_ОФР!BY144+Свод_ОФР!BY145</f>
        <v>0.2230999999998744</v>
      </c>
      <c r="BN24" s="293">
        <f>Свод_ОФР!BZ144+Свод_ОФР!BZ145</f>
        <v>0.2230999999998744</v>
      </c>
      <c r="BO24" s="293">
        <f>Свод_ОФР!CA144+Свод_ОФР!CA145</f>
        <v>0.2230999999998744</v>
      </c>
      <c r="BP24" s="293">
        <f>Свод_ОФР!CB144+Свод_ОФР!CB145</f>
        <v>0.2230999999998744</v>
      </c>
      <c r="BQ24" s="293">
        <f>Свод_ОФР!CC144+Свод_ОФР!CC145</f>
        <v>0.2230999999998744</v>
      </c>
      <c r="BR24" s="293">
        <f>Свод_ОФР!CD144+Свод_ОФР!CD145</f>
        <v>0.2230999999998744</v>
      </c>
      <c r="BS24" s="293">
        <f>Свод_ОФР!CE144+Свод_ОФР!CE145</f>
        <v>0.2230999999998744</v>
      </c>
      <c r="BT24" s="293">
        <f>Свод_ОФР!CF144+Свод_ОФР!CF145</f>
        <v>0.2230999999998744</v>
      </c>
      <c r="BU24" s="293">
        <f>Свод_ОФР!CG144+Свод_ОФР!CG145</f>
        <v>0.2230999999998744</v>
      </c>
      <c r="BV24" s="293">
        <f>Свод_ОФР!CH144+Свод_ОФР!CH145</f>
        <v>0.2230999999998744</v>
      </c>
      <c r="BW24" s="293">
        <f>Свод_ОФР!CI144+Свод_ОФР!CI145</f>
        <v>0.2230999999998744</v>
      </c>
      <c r="BX24" s="293">
        <f>Свод_ОФР!CJ144+Свод_ОФР!CJ145</f>
        <v>0.2230999999998744</v>
      </c>
      <c r="BY24" s="293">
        <f>Свод_ОФР!CK144+Свод_ОФР!CK145</f>
        <v>0.2230999999998744</v>
      </c>
      <c r="BZ24" s="293"/>
      <c r="CA24" s="293"/>
    </row>
    <row r="25" spans="1:79" ht="14.25" customHeight="1" x14ac:dyDescent="0.25">
      <c r="B25" s="294" t="s">
        <v>374</v>
      </c>
      <c r="C25" s="291" t="s">
        <v>4</v>
      </c>
      <c r="F25" s="293">
        <f t="shared" ref="F25:I25" si="30">G25+143</f>
        <v>2143</v>
      </c>
      <c r="G25" s="293">
        <f t="shared" si="30"/>
        <v>2000</v>
      </c>
      <c r="H25" s="293">
        <f t="shared" si="30"/>
        <v>1857</v>
      </c>
      <c r="I25" s="293">
        <f t="shared" si="30"/>
        <v>1714</v>
      </c>
      <c r="J25" s="293">
        <f>K25+143</f>
        <v>1571</v>
      </c>
      <c r="K25" s="293">
        <v>1428</v>
      </c>
      <c r="L25" s="293">
        <f>K25-Мясо!X139</f>
        <v>1259.25</v>
      </c>
      <c r="M25" s="293">
        <f>L25-Мясо!Y139</f>
        <v>1090.5</v>
      </c>
      <c r="N25" s="293">
        <f>M25-Мясо!Z139</f>
        <v>921.75</v>
      </c>
      <c r="O25" s="293">
        <f>N25-Мясо!AA139</f>
        <v>753</v>
      </c>
      <c r="P25" s="293">
        <f>O25-Мясо!AB139</f>
        <v>584.25</v>
      </c>
      <c r="Q25" s="293">
        <f>P25-Мясо!AC139</f>
        <v>415.5</v>
      </c>
      <c r="R25" s="293">
        <f>Q25-Мясо!AD139</f>
        <v>246.75</v>
      </c>
      <c r="S25" s="293">
        <f>R25-Мясо!AE139</f>
        <v>78</v>
      </c>
      <c r="T25" s="293">
        <f>S25-Мясо!AF139</f>
        <v>0</v>
      </c>
      <c r="U25" s="293">
        <f>T25-Мясо!AG139</f>
        <v>0</v>
      </c>
      <c r="V25" s="293">
        <f>U25-Мясо!AH139</f>
        <v>0</v>
      </c>
      <c r="W25" s="293">
        <f>V25-Мясо!AI139</f>
        <v>0</v>
      </c>
      <c r="X25" s="293">
        <f>W25-Мясо!AJ139</f>
        <v>0</v>
      </c>
      <c r="Y25" s="293">
        <f>X25-Мясо!AK139</f>
        <v>0</v>
      </c>
      <c r="Z25" s="293">
        <f>Y25-Мясо!AL139</f>
        <v>0</v>
      </c>
      <c r="AA25" s="293">
        <f>Z25-Мясо!AM139</f>
        <v>0</v>
      </c>
      <c r="AB25" s="293">
        <f>AA25-Мясо!AN139</f>
        <v>0</v>
      </c>
      <c r="AC25" s="293">
        <f>AB25-Мясо!AO139</f>
        <v>0</v>
      </c>
      <c r="AD25" s="293">
        <f>AC25-Мясо!AP139</f>
        <v>0</v>
      </c>
      <c r="AE25" s="293">
        <f>AD25-Мясо!AQ139</f>
        <v>0</v>
      </c>
      <c r="AF25" s="293">
        <f>AE25-Мясо!AR139</f>
        <v>0</v>
      </c>
      <c r="AG25" s="293">
        <f>AF25-Мясо!AS139</f>
        <v>0</v>
      </c>
      <c r="AH25" s="293">
        <f>AG25-Мясо!AT139</f>
        <v>0</v>
      </c>
      <c r="AI25" s="293">
        <f>AH25-Мясо!AU139</f>
        <v>0</v>
      </c>
      <c r="AJ25" s="293">
        <f>AI25-Мясо!AV139</f>
        <v>0</v>
      </c>
      <c r="AK25" s="293">
        <f>AJ25-Мясо!AW139</f>
        <v>0</v>
      </c>
      <c r="AL25" s="293">
        <f>AK25-Мясо!AX139</f>
        <v>0</v>
      </c>
      <c r="AM25" s="293">
        <f>AL25-Мясо!AY139</f>
        <v>0</v>
      </c>
      <c r="AN25" s="293">
        <f>AM25-Мясо!AZ139</f>
        <v>0</v>
      </c>
      <c r="AO25" s="293">
        <f>AN25-Мясо!BA139</f>
        <v>0</v>
      </c>
      <c r="AP25" s="293">
        <f>AO25-Мясо!BB139</f>
        <v>0</v>
      </c>
      <c r="AQ25" s="293">
        <f>AP25-Мясо!BC139</f>
        <v>0</v>
      </c>
      <c r="AR25" s="293">
        <f>AQ25-Мясо!BD139</f>
        <v>0</v>
      </c>
      <c r="AS25" s="293">
        <f>AR25-Мясо!BE139</f>
        <v>0</v>
      </c>
      <c r="AT25" s="293">
        <f>AS25-Мясо!BF139</f>
        <v>0</v>
      </c>
      <c r="AU25" s="293">
        <f>AT25-Мясо!BG139</f>
        <v>0</v>
      </c>
      <c r="AV25" s="293">
        <f>AU25-Мясо!BH139</f>
        <v>0</v>
      </c>
      <c r="AW25" s="293">
        <f>AV25-Мясо!BI139</f>
        <v>0</v>
      </c>
      <c r="AX25" s="293">
        <f>AW25-Мясо!BJ139</f>
        <v>0</v>
      </c>
      <c r="AY25" s="293">
        <f>AX25-Мясо!BK139</f>
        <v>0</v>
      </c>
      <c r="AZ25" s="293">
        <f>AY25-Мясо!BL139</f>
        <v>0</v>
      </c>
      <c r="BA25" s="293">
        <f>AZ25-Мясо!BM139</f>
        <v>0</v>
      </c>
      <c r="BB25" s="293">
        <f>BA25-Мясо!BN139</f>
        <v>0</v>
      </c>
      <c r="BC25" s="293">
        <f>BB25-Мясо!BO139</f>
        <v>0</v>
      </c>
      <c r="BD25" s="293">
        <f>BC25-Мясо!BP139</f>
        <v>0</v>
      </c>
      <c r="BE25" s="293">
        <f>BD25-Мясо!BQ139</f>
        <v>0</v>
      </c>
      <c r="BF25" s="293">
        <f>BE25-Мясо!BR139</f>
        <v>0</v>
      </c>
      <c r="BG25" s="293">
        <f>BF25-Мясо!BS139</f>
        <v>0</v>
      </c>
      <c r="BH25" s="293">
        <f>BG25-Мясо!BT139</f>
        <v>0</v>
      </c>
      <c r="BI25" s="293">
        <f>BH25-Мясо!BU139</f>
        <v>0</v>
      </c>
      <c r="BJ25" s="293">
        <f>BI25-Мясо!BV139</f>
        <v>0</v>
      </c>
      <c r="BK25" s="293">
        <f>BJ25-Мясо!BW139</f>
        <v>0</v>
      </c>
      <c r="BL25" s="293">
        <f>BK25-Мясо!BX139</f>
        <v>0</v>
      </c>
      <c r="BM25" s="293">
        <f>BL25-Мясо!BY139</f>
        <v>0</v>
      </c>
      <c r="BN25" s="293">
        <f>BM25-Мясо!BZ139</f>
        <v>0</v>
      </c>
      <c r="BO25" s="293">
        <f>BN25-Мясо!CA139</f>
        <v>0</v>
      </c>
      <c r="BP25" s="293">
        <f>BO25-Мясо!CB139</f>
        <v>0</v>
      </c>
      <c r="BQ25" s="293">
        <f>BP25-Мясо!CC139</f>
        <v>0</v>
      </c>
      <c r="BR25" s="293">
        <f>BQ25-Мясо!CD139</f>
        <v>0</v>
      </c>
      <c r="BS25" s="293">
        <f>BR25-Мясо!CE139</f>
        <v>0</v>
      </c>
      <c r="BT25" s="293">
        <f>BS25-Мясо!CF139</f>
        <v>0</v>
      </c>
      <c r="BU25" s="293">
        <f>BT25-Мясо!CG139</f>
        <v>0</v>
      </c>
      <c r="BV25" s="293">
        <f>BU25-Мясо!CH139</f>
        <v>0</v>
      </c>
      <c r="BW25" s="293">
        <f>BV25-Мясо!CI139</f>
        <v>0</v>
      </c>
      <c r="BX25" s="293">
        <f>BW25-Мясо!CJ139</f>
        <v>0</v>
      </c>
      <c r="BY25" s="293">
        <f>BX25-Мясо!CK139</f>
        <v>0</v>
      </c>
      <c r="BZ25" s="293"/>
      <c r="CA25" s="293"/>
    </row>
    <row r="26" spans="1:79" ht="14.25" customHeight="1" x14ac:dyDescent="0.25">
      <c r="B26" s="290" t="s">
        <v>375</v>
      </c>
      <c r="C26" s="291" t="s">
        <v>4</v>
      </c>
      <c r="F26" s="292">
        <f t="shared" ref="F26:AK26" si="31">SUM(F27:F29)</f>
        <v>100096.03581</v>
      </c>
      <c r="G26" s="292">
        <f t="shared" si="31"/>
        <v>99661.842000000004</v>
      </c>
      <c r="H26" s="292">
        <f t="shared" si="31"/>
        <v>93211.573780000006</v>
      </c>
      <c r="I26" s="292">
        <f t="shared" si="31"/>
        <v>90243.563399999999</v>
      </c>
      <c r="J26" s="292">
        <f t="shared" si="31"/>
        <v>78793.212146000005</v>
      </c>
      <c r="K26" s="292">
        <f t="shared" si="31"/>
        <v>87379.133520000003</v>
      </c>
      <c r="L26" s="292">
        <f t="shared" si="31"/>
        <v>87672.633520000003</v>
      </c>
      <c r="M26" s="292">
        <f t="shared" si="31"/>
        <v>88477.383520000003</v>
      </c>
      <c r="N26" s="292">
        <f t="shared" si="31"/>
        <v>87689.133520000003</v>
      </c>
      <c r="O26" s="292">
        <f t="shared" si="31"/>
        <v>99561.154358383152</v>
      </c>
      <c r="P26" s="292">
        <f t="shared" si="31"/>
        <v>109391.915292313</v>
      </c>
      <c r="Q26" s="292">
        <f t="shared" si="31"/>
        <v>114457.92210592073</v>
      </c>
      <c r="R26" s="292">
        <f t="shared" si="31"/>
        <v>113772.67662770575</v>
      </c>
      <c r="S26" s="292">
        <f t="shared" si="31"/>
        <v>116367.75702519721</v>
      </c>
      <c r="T26" s="292">
        <f t="shared" si="31"/>
        <v>120255.56648791308</v>
      </c>
      <c r="U26" s="292">
        <f t="shared" si="31"/>
        <v>111875.44120763039</v>
      </c>
      <c r="V26" s="292">
        <f t="shared" si="31"/>
        <v>112245.18607786877</v>
      </c>
      <c r="W26" s="292">
        <f t="shared" si="31"/>
        <v>114662.61607560574</v>
      </c>
      <c r="X26" s="292">
        <f t="shared" si="31"/>
        <v>112092.46697877778</v>
      </c>
      <c r="Y26" s="292">
        <f t="shared" si="31"/>
        <v>111349.75890861102</v>
      </c>
      <c r="Z26" s="292">
        <f t="shared" si="31"/>
        <v>110694.63175720663</v>
      </c>
      <c r="AA26" s="292">
        <f t="shared" si="31"/>
        <v>109093.21023361513</v>
      </c>
      <c r="AB26" s="292">
        <f t="shared" si="31"/>
        <v>110803.20174363244</v>
      </c>
      <c r="AC26" s="292">
        <f t="shared" si="31"/>
        <v>113542.52755146672</v>
      </c>
      <c r="AD26" s="292">
        <f t="shared" si="31"/>
        <v>114930.97658446513</v>
      </c>
      <c r="AE26" s="292">
        <f t="shared" si="31"/>
        <v>118537.07308101887</v>
      </c>
      <c r="AF26" s="292">
        <f t="shared" si="31"/>
        <v>121889.84513191716</v>
      </c>
      <c r="AG26" s="292">
        <f t="shared" si="31"/>
        <v>124359.92754591175</v>
      </c>
      <c r="AH26" s="292">
        <f t="shared" si="31"/>
        <v>126630.37545125559</v>
      </c>
      <c r="AI26" s="292">
        <f t="shared" si="31"/>
        <v>128798.92741878051</v>
      </c>
      <c r="AJ26" s="292">
        <f t="shared" si="31"/>
        <v>130806.42521699425</v>
      </c>
      <c r="AK26" s="292">
        <f t="shared" si="31"/>
        <v>133059.32514739409</v>
      </c>
      <c r="AL26" s="292">
        <f t="shared" ref="AL26:BL26" si="32">SUM(AL27:AL29)</f>
        <v>135394.64687775203</v>
      </c>
      <c r="AM26" s="292">
        <f t="shared" si="32"/>
        <v>138620.68029532628</v>
      </c>
      <c r="AN26" s="292">
        <f t="shared" si="32"/>
        <v>141855.87663181894</v>
      </c>
      <c r="AO26" s="292">
        <f t="shared" si="32"/>
        <v>147818.80545763276</v>
      </c>
      <c r="AP26" s="292">
        <f t="shared" si="32"/>
        <v>149848.37497778892</v>
      </c>
      <c r="AQ26" s="292">
        <f t="shared" si="32"/>
        <v>154613.79231965091</v>
      </c>
      <c r="AR26" s="292">
        <f t="shared" si="32"/>
        <v>158645.36095801921</v>
      </c>
      <c r="AS26" s="292">
        <f t="shared" si="32"/>
        <v>163586.51461666782</v>
      </c>
      <c r="AT26" s="292">
        <f t="shared" si="32"/>
        <v>168474.55534709716</v>
      </c>
      <c r="AU26" s="292">
        <f t="shared" si="32"/>
        <v>173933.6547604744</v>
      </c>
      <c r="AV26" s="292">
        <f t="shared" si="32"/>
        <v>179205.51698188443</v>
      </c>
      <c r="AW26" s="292">
        <f t="shared" si="32"/>
        <v>183990.19844325265</v>
      </c>
      <c r="AX26" s="292">
        <f t="shared" si="32"/>
        <v>188742.91408467811</v>
      </c>
      <c r="AY26" s="292">
        <f t="shared" si="32"/>
        <v>192772.99099430564</v>
      </c>
      <c r="AZ26" s="292">
        <f t="shared" si="32"/>
        <v>196877.31882757816</v>
      </c>
      <c r="BA26" s="292">
        <f t="shared" si="32"/>
        <v>203811.09338654095</v>
      </c>
      <c r="BB26" s="292">
        <f t="shared" si="32"/>
        <v>206737.01164964755</v>
      </c>
      <c r="BC26" s="292">
        <f t="shared" si="32"/>
        <v>212790.07290547114</v>
      </c>
      <c r="BD26" s="292">
        <f t="shared" si="32"/>
        <v>218635.07770468114</v>
      </c>
      <c r="BE26" s="292">
        <f t="shared" si="32"/>
        <v>225474.30093644367</v>
      </c>
      <c r="BF26" s="292">
        <f t="shared" si="32"/>
        <v>232235.19992584904</v>
      </c>
      <c r="BG26" s="292">
        <f t="shared" si="32"/>
        <v>239645.1903077765</v>
      </c>
      <c r="BH26" s="292">
        <f t="shared" si="32"/>
        <v>246852.18644878949</v>
      </c>
      <c r="BI26" s="292">
        <f t="shared" si="32"/>
        <v>253484.26508851227</v>
      </c>
      <c r="BJ26" s="292">
        <f t="shared" si="32"/>
        <v>260069.0704226917</v>
      </c>
      <c r="BK26" s="292">
        <f t="shared" si="32"/>
        <v>266146.03792696871</v>
      </c>
      <c r="BL26" s="292">
        <f t="shared" si="32"/>
        <v>271911.83818064036</v>
      </c>
      <c r="BM26" s="292">
        <f t="shared" ref="BM26:BY26" si="33">SUM(BM27:BM29)</f>
        <v>282448.60277260584</v>
      </c>
      <c r="BN26" s="292">
        <f t="shared" si="33"/>
        <v>285917.70584870258</v>
      </c>
      <c r="BO26" s="292">
        <f t="shared" si="33"/>
        <v>292964.45929753024</v>
      </c>
      <c r="BP26" s="292">
        <f t="shared" si="33"/>
        <v>300539.85862882657</v>
      </c>
      <c r="BQ26" s="292">
        <f t="shared" si="33"/>
        <v>309214.29841490986</v>
      </c>
      <c r="BR26" s="292">
        <f t="shared" si="33"/>
        <v>317812.80210041307</v>
      </c>
      <c r="BS26" s="292">
        <f t="shared" si="33"/>
        <v>327138.45063402771</v>
      </c>
      <c r="BT26" s="292">
        <f t="shared" si="33"/>
        <v>336251.8724435725</v>
      </c>
      <c r="BU26" s="292">
        <f t="shared" si="33"/>
        <v>344703.92394172336</v>
      </c>
      <c r="BV26" s="292">
        <f t="shared" si="33"/>
        <v>353487.92973046994</v>
      </c>
      <c r="BW26" s="292">
        <f t="shared" si="33"/>
        <v>361257.35492331377</v>
      </c>
      <c r="BX26" s="292">
        <f t="shared" si="33"/>
        <v>368734.32098023768</v>
      </c>
      <c r="BY26" s="292">
        <f t="shared" si="33"/>
        <v>383782.62934427627</v>
      </c>
      <c r="BZ26" s="293"/>
      <c r="CA26" s="293"/>
    </row>
    <row r="27" spans="1:79" ht="14.25" customHeight="1" x14ac:dyDescent="0.25">
      <c r="B27" s="294" t="s">
        <v>373</v>
      </c>
      <c r="C27" s="291" t="s">
        <v>4</v>
      </c>
      <c r="F27" s="340">
        <f>Свод_ОФР!R142</f>
        <v>37312.113810000003</v>
      </c>
      <c r="G27" s="340">
        <f>Свод_ОФР!S142</f>
        <v>37957.756460000004</v>
      </c>
      <c r="H27" s="340">
        <f>Свод_ОФР!T142</f>
        <v>37000.496580000006</v>
      </c>
      <c r="I27" s="340">
        <f>Свод_ОФР!U142</f>
        <v>37800.919200000004</v>
      </c>
      <c r="J27" s="340">
        <f>Свод_ОФР!V142</f>
        <v>37832.200620000003</v>
      </c>
      <c r="K27" s="340">
        <f>Свод_ОФР!W142</f>
        <v>18105.133520000003</v>
      </c>
      <c r="L27" s="340">
        <f>Свод_ОФР!X142</f>
        <v>19189.133520000003</v>
      </c>
      <c r="M27" s="340">
        <f>Свод_ОФР!Y142</f>
        <v>20389.133520000003</v>
      </c>
      <c r="N27" s="340">
        <f>Свод_ОФР!Z142</f>
        <v>19996.133520000003</v>
      </c>
      <c r="O27" s="340">
        <f>Свод_ОФР!AA142</f>
        <v>22391.133520000003</v>
      </c>
      <c r="P27" s="340">
        <f>Свод_ОФР!AB142</f>
        <v>24786.133520000003</v>
      </c>
      <c r="Q27" s="340">
        <f>Свод_ОФР!AC142</f>
        <v>20000.133520000003</v>
      </c>
      <c r="R27" s="340">
        <f>Свод_ОФР!AD142</f>
        <v>22500.133520000003</v>
      </c>
      <c r="S27" s="340">
        <f>Свод_ОФР!AE142</f>
        <v>25000.133520000003</v>
      </c>
      <c r="T27" s="340">
        <f>Свод_ОФР!AF142</f>
        <v>25000.133520000003</v>
      </c>
      <c r="U27" s="340">
        <f>Свод_ОФР!AG142</f>
        <v>17680.133520000003</v>
      </c>
      <c r="V27" s="340">
        <f>Свод_ОФР!AH142</f>
        <v>17680.133520000003</v>
      </c>
      <c r="W27" s="340">
        <f>Свод_ОФР!AI142</f>
        <v>15180.133520000003</v>
      </c>
      <c r="X27" s="340">
        <f>Свод_ОФР!AJ142</f>
        <v>12680.133520000003</v>
      </c>
      <c r="Y27" s="340">
        <f>Свод_ОФР!AK142</f>
        <v>10180.133520000003</v>
      </c>
      <c r="Z27" s="340">
        <f>Свод_ОФР!AL142</f>
        <v>7680.133520000003</v>
      </c>
      <c r="AA27" s="340">
        <f>Свод_ОФР!AM142</f>
        <v>5180.133520000003</v>
      </c>
      <c r="AB27" s="340">
        <f>Свод_ОФР!AN142</f>
        <v>5180.133520000003</v>
      </c>
      <c r="AC27" s="340">
        <f>Свод_ОФР!AO142</f>
        <v>5180.133520000003</v>
      </c>
      <c r="AD27" s="340">
        <f>Свод_ОФР!AP142</f>
        <v>5180.133520000003</v>
      </c>
      <c r="AE27" s="340">
        <f>Свод_ОФР!AQ142</f>
        <v>5180.133520000003</v>
      </c>
      <c r="AF27" s="340">
        <f>Свод_ОФР!AR142</f>
        <v>5180.133520000003</v>
      </c>
      <c r="AG27" s="340">
        <f>Свод_ОФР!AS142</f>
        <v>5180.133520000003</v>
      </c>
      <c r="AH27" s="340">
        <f>Свод_ОФР!AT142</f>
        <v>5180.133520000003</v>
      </c>
      <c r="AI27" s="340">
        <f>Свод_ОФР!AU142</f>
        <v>5180.133520000003</v>
      </c>
      <c r="AJ27" s="340">
        <f>Свод_ОФР!AV142</f>
        <v>5180.133520000003</v>
      </c>
      <c r="AK27" s="340">
        <f>Свод_ОФР!AW142</f>
        <v>5180.133520000003</v>
      </c>
      <c r="AL27" s="340">
        <f>Свод_ОФР!AX142</f>
        <v>5180.133520000003</v>
      </c>
      <c r="AM27" s="340">
        <f>Свод_ОФР!AY142</f>
        <v>5180.133520000003</v>
      </c>
      <c r="AN27" s="340">
        <f>Свод_ОФР!AZ142</f>
        <v>5180.133520000003</v>
      </c>
      <c r="AO27" s="340">
        <f>Свод_ОФР!BA142</f>
        <v>5180.133520000003</v>
      </c>
      <c r="AP27" s="340">
        <f>Свод_ОФР!BB142</f>
        <v>5180.133520000003</v>
      </c>
      <c r="AQ27" s="340">
        <f>Свод_ОФР!BC142</f>
        <v>5180.133520000003</v>
      </c>
      <c r="AR27" s="340">
        <f>Свод_ОФР!BD142</f>
        <v>5180.133520000003</v>
      </c>
      <c r="AS27" s="340">
        <f>Свод_ОФР!BE142</f>
        <v>5180.133520000003</v>
      </c>
      <c r="AT27" s="340">
        <f>Свод_ОФР!BF142</f>
        <v>5180.133520000003</v>
      </c>
      <c r="AU27" s="340">
        <f>Свод_ОФР!BG142</f>
        <v>5180.133520000003</v>
      </c>
      <c r="AV27" s="340">
        <f>Свод_ОФР!BH142</f>
        <v>5180.133520000003</v>
      </c>
      <c r="AW27" s="340">
        <f>Свод_ОФР!BI142</f>
        <v>5180.133520000003</v>
      </c>
      <c r="AX27" s="340">
        <f>Свод_ОФР!BJ142</f>
        <v>5180.133520000003</v>
      </c>
      <c r="AY27" s="340">
        <f>Свод_ОФР!BK142</f>
        <v>5180.133520000003</v>
      </c>
      <c r="AZ27" s="340">
        <f>Свод_ОФР!BL142</f>
        <v>5180.133520000003</v>
      </c>
      <c r="BA27" s="340">
        <f>Свод_ОФР!BM142</f>
        <v>5180.133520000003</v>
      </c>
      <c r="BB27" s="340">
        <f>Свод_ОФР!BN142</f>
        <v>5180.133520000003</v>
      </c>
      <c r="BC27" s="340">
        <f>Свод_ОФР!BO142</f>
        <v>5180.133520000003</v>
      </c>
      <c r="BD27" s="340">
        <f>Свод_ОФР!BP142</f>
        <v>5180.133520000003</v>
      </c>
      <c r="BE27" s="340">
        <f>Свод_ОФР!BQ142</f>
        <v>5180.133520000003</v>
      </c>
      <c r="BF27" s="340">
        <f>Свод_ОФР!BR142</f>
        <v>5180.133520000003</v>
      </c>
      <c r="BG27" s="340">
        <f>Свод_ОФР!BS142</f>
        <v>5180.133520000003</v>
      </c>
      <c r="BH27" s="340">
        <f>Свод_ОФР!BT142</f>
        <v>5180.133520000003</v>
      </c>
      <c r="BI27" s="340">
        <f>Свод_ОФР!BU142</f>
        <v>5180.133520000003</v>
      </c>
      <c r="BJ27" s="340">
        <f>Свод_ОФР!BV142</f>
        <v>5180.133520000003</v>
      </c>
      <c r="BK27" s="340">
        <f>Свод_ОФР!BW142</f>
        <v>5180.133520000003</v>
      </c>
      <c r="BL27" s="340">
        <f>Свод_ОФР!BX142</f>
        <v>5180.133520000003</v>
      </c>
      <c r="BM27" s="340">
        <f>Свод_ОФР!BY142</f>
        <v>5180.133520000003</v>
      </c>
      <c r="BN27" s="340">
        <f>Свод_ОФР!BZ142</f>
        <v>5180.133520000003</v>
      </c>
      <c r="BO27" s="340">
        <f>Свод_ОФР!CA142</f>
        <v>5180.133520000003</v>
      </c>
      <c r="BP27" s="340">
        <f>Свод_ОФР!CB142</f>
        <v>5180.133520000003</v>
      </c>
      <c r="BQ27" s="340">
        <f>Свод_ОФР!CC142</f>
        <v>5180.133520000003</v>
      </c>
      <c r="BR27" s="340">
        <f>Свод_ОФР!CD142</f>
        <v>5180.133520000003</v>
      </c>
      <c r="BS27" s="340">
        <f>Свод_ОФР!CE142</f>
        <v>5180.133520000003</v>
      </c>
      <c r="BT27" s="340">
        <f>Свод_ОФР!CF142</f>
        <v>5180.133520000003</v>
      </c>
      <c r="BU27" s="340">
        <f>Свод_ОФР!CG142</f>
        <v>5180.133520000003</v>
      </c>
      <c r="BV27" s="340">
        <f>Свод_ОФР!CH142</f>
        <v>5180.133520000003</v>
      </c>
      <c r="BW27" s="340">
        <f>Свод_ОФР!CI142</f>
        <v>5180.133520000003</v>
      </c>
      <c r="BX27" s="340">
        <f>Свод_ОФР!CJ142</f>
        <v>5180.133520000003</v>
      </c>
      <c r="BY27" s="340">
        <f>Свод_ОФР!CK142</f>
        <v>5180.133520000003</v>
      </c>
      <c r="BZ27" s="293"/>
      <c r="CA27" s="293"/>
    </row>
    <row r="28" spans="1:79" ht="14.25" customHeight="1" x14ac:dyDescent="0.25">
      <c r="B28" s="294" t="s">
        <v>376</v>
      </c>
      <c r="C28" s="291" t="s">
        <v>4</v>
      </c>
      <c r="F28" s="302">
        <f>ОК!F17</f>
        <v>62783.922000000006</v>
      </c>
      <c r="G28" s="302">
        <f>ОК!G17</f>
        <v>61704.08554</v>
      </c>
      <c r="H28" s="302">
        <f>ОК!H17</f>
        <v>56211.077199999992</v>
      </c>
      <c r="I28" s="302">
        <f>ОК!I17</f>
        <v>52442.644199999995</v>
      </c>
      <c r="J28" s="302">
        <f>ОК!J17</f>
        <v>40961.011525999995</v>
      </c>
      <c r="K28" s="302">
        <f>ОК!K17</f>
        <v>69274</v>
      </c>
      <c r="L28" s="302">
        <f>ОК!L17</f>
        <v>68483.5</v>
      </c>
      <c r="M28" s="302">
        <f>ОК!M17</f>
        <v>68088.25</v>
      </c>
      <c r="N28" s="302">
        <f>ОК!N17</f>
        <v>67693</v>
      </c>
      <c r="O28" s="302">
        <f>ОК!O17</f>
        <v>73920.286327476002</v>
      </c>
      <c r="P28" s="302">
        <f>ОК!P17</f>
        <v>80452.018452356002</v>
      </c>
      <c r="Q28" s="302">
        <f>ОК!Q17</f>
        <v>87690.753530228016</v>
      </c>
      <c r="R28" s="302">
        <f>ОК!R17</f>
        <v>87319.535929311882</v>
      </c>
      <c r="S28" s="302">
        <f>ОК!S17</f>
        <v>87681.467458787694</v>
      </c>
      <c r="T28" s="302">
        <f>ОК!T17</f>
        <v>87691.853007860263</v>
      </c>
      <c r="U28" s="302">
        <f>ОК!U17</f>
        <v>87812.763926079351</v>
      </c>
      <c r="V28" s="302">
        <f>ОК!V17</f>
        <v>87978.103030774582</v>
      </c>
      <c r="W28" s="302">
        <f>ОК!W17</f>
        <v>88357.413610693082</v>
      </c>
      <c r="X28" s="302">
        <f>ОК!X17</f>
        <v>88783.554123770577</v>
      </c>
      <c r="Y28" s="302">
        <f>ОК!Y17</f>
        <v>89468.915194196758</v>
      </c>
      <c r="Z28" s="302">
        <f>ОК!Z17</f>
        <v>89938.333840105115</v>
      </c>
      <c r="AA28" s="302">
        <f>ОК!AA17</f>
        <v>89376.417615843835</v>
      </c>
      <c r="AB28" s="302">
        <f>ОК!AB17</f>
        <v>89465.353497330158</v>
      </c>
      <c r="AC28" s="302">
        <f>ОК!AC17</f>
        <v>89512.260848020611</v>
      </c>
      <c r="AD28" s="302">
        <f>ОК!AD17</f>
        <v>88718.910590281972</v>
      </c>
      <c r="AE28" s="302">
        <f>ОК!AE17</f>
        <v>89588.194654771549</v>
      </c>
      <c r="AF28" s="302">
        <f>ОК!AF17</f>
        <v>89634.08145498966</v>
      </c>
      <c r="AG28" s="302">
        <f>ОК!AG17</f>
        <v>90063.133638762229</v>
      </c>
      <c r="AH28" s="302">
        <f>ОК!AH17</f>
        <v>90025.031524402802</v>
      </c>
      <c r="AI28" s="302">
        <f>ОК!AI17</f>
        <v>90286.534636809491</v>
      </c>
      <c r="AJ28" s="302">
        <f>ОК!AJ17</f>
        <v>90171.962935703341</v>
      </c>
      <c r="AK28" s="302">
        <f>ОК!AK17</f>
        <v>89991.824582001951</v>
      </c>
      <c r="AL28" s="302">
        <f>ОК!AL17</f>
        <v>90097.081973049571</v>
      </c>
      <c r="AM28" s="302">
        <f>ОК!AM17</f>
        <v>89816.263483302973</v>
      </c>
      <c r="AN28" s="302">
        <f>ОК!AN17</f>
        <v>89830.385807683546</v>
      </c>
      <c r="AO28" s="302">
        <f>ОК!AO17</f>
        <v>90691.927725335379</v>
      </c>
      <c r="AP28" s="302">
        <f>ОК!AP17</f>
        <v>89228.255814641598</v>
      </c>
      <c r="AQ28" s="302">
        <f>ОК!AQ17</f>
        <v>90225.070560796536</v>
      </c>
      <c r="AR28" s="302">
        <f>ОК!AR17</f>
        <v>90296.770104528638</v>
      </c>
      <c r="AS28" s="302">
        <f>ОК!AS17</f>
        <v>90788.917602122048</v>
      </c>
      <c r="AT28" s="302">
        <f>ОК!AT17</f>
        <v>90748.456021213249</v>
      </c>
      <c r="AU28" s="302">
        <f>ОК!AU17</f>
        <v>91046.162864050697</v>
      </c>
      <c r="AV28" s="302">
        <f>ОК!AV17</f>
        <v>90919.035491083807</v>
      </c>
      <c r="AW28" s="302">
        <f>ОК!AW17</f>
        <v>90710.010222723577</v>
      </c>
      <c r="AX28" s="302">
        <f>ОК!AX17</f>
        <v>90796.768273069349</v>
      </c>
      <c r="AY28" s="302">
        <f>ОК!AY17</f>
        <v>90477.506175925198</v>
      </c>
      <c r="AZ28" s="302">
        <f>ОК!AZ17</f>
        <v>90538.391619095404</v>
      </c>
      <c r="BA28" s="302">
        <f>ОК!BA17</f>
        <v>91496.250149607469</v>
      </c>
      <c r="BB28" s="302">
        <f>ОК!BB17</f>
        <v>89790.761994596658</v>
      </c>
      <c r="BC28" s="302">
        <f>ОК!BC17</f>
        <v>90924.262146816618</v>
      </c>
      <c r="BD28" s="302">
        <f>ОК!BD17</f>
        <v>91029.668328783591</v>
      </c>
      <c r="BE28" s="302">
        <f>ОК!BE17</f>
        <v>91593.68401656815</v>
      </c>
      <c r="BF28" s="302">
        <f>ОК!BF17</f>
        <v>91554.074698677607</v>
      </c>
      <c r="BG28" s="302">
        <f>ОК!BG17</f>
        <v>91892.885735910473</v>
      </c>
      <c r="BH28" s="302">
        <f>ОК!BH17</f>
        <v>91752.526830039729</v>
      </c>
      <c r="BI28" s="302">
        <f>ОК!BI17</f>
        <v>91510.184990933834</v>
      </c>
      <c r="BJ28" s="302">
        <f>ОК!BJ17</f>
        <v>91603.777440487247</v>
      </c>
      <c r="BK28" s="302">
        <f>ОК!BK17</f>
        <v>91301.217371475097</v>
      </c>
      <c r="BL28" s="302">
        <f>ОК!BL17</f>
        <v>91303.731660229096</v>
      </c>
      <c r="BM28" s="302">
        <f>ОК!BM17</f>
        <v>92425.874948556069</v>
      </c>
      <c r="BN28" s="302">
        <f>ОК!BN17</f>
        <v>90275.505989926474</v>
      </c>
      <c r="BO28" s="302">
        <f>ОК!BO17</f>
        <v>91546.753048536542</v>
      </c>
      <c r="BP28" s="302">
        <f>ОК!BP17</f>
        <v>91701.331004069216</v>
      </c>
      <c r="BQ28" s="302">
        <f>ОК!BQ17</f>
        <v>92340.719493663521</v>
      </c>
      <c r="BR28" s="302">
        <f>ОК!BR17</f>
        <v>92305.187769060067</v>
      </c>
      <c r="BS28" s="302">
        <f>ОК!BS17</f>
        <v>92685.513579929015</v>
      </c>
      <c r="BT28" s="302">
        <f>ОК!BT17</f>
        <v>92535.890455385277</v>
      </c>
      <c r="BU28" s="302">
        <f>ОК!BU17</f>
        <v>92259.682400890262</v>
      </c>
      <c r="BV28" s="302">
        <f>ОК!BV17</f>
        <v>92436.054538515658</v>
      </c>
      <c r="BW28" s="302">
        <f>ОК!BW17</f>
        <v>92025.298419425002</v>
      </c>
      <c r="BX28" s="302">
        <f>ОК!BX17</f>
        <v>92020.474234986366</v>
      </c>
      <c r="BY28" s="302">
        <f>ОК!BY17</f>
        <v>95442.239560086688</v>
      </c>
      <c r="BZ28" s="293"/>
      <c r="CA28" s="293"/>
    </row>
    <row r="29" spans="1:79" ht="14.25" customHeight="1" x14ac:dyDescent="0.25">
      <c r="B29" s="294" t="s">
        <v>377</v>
      </c>
      <c r="C29" s="291" t="s">
        <v>4</v>
      </c>
      <c r="F29" s="293"/>
      <c r="G29" s="293"/>
      <c r="H29" s="293"/>
      <c r="I29" s="293"/>
      <c r="J29" s="293"/>
      <c r="K29" s="293"/>
      <c r="L29" s="293">
        <f t="shared" ref="L29:AQ29" si="34">IF((L5+SUM(L11:L15)-L18-L23-L27-L28)&lt;0,0,(L5+SUM(L11:L15)-L18-L23-L27-L28))</f>
        <v>0</v>
      </c>
      <c r="M29" s="293">
        <f t="shared" si="34"/>
        <v>0</v>
      </c>
      <c r="N29" s="293">
        <f t="shared" si="34"/>
        <v>0</v>
      </c>
      <c r="O29" s="293">
        <f t="shared" si="34"/>
        <v>3249.7345109071466</v>
      </c>
      <c r="P29" s="293">
        <f t="shared" si="34"/>
        <v>4153.7633199569973</v>
      </c>
      <c r="Q29" s="293">
        <f t="shared" si="34"/>
        <v>6767.0350556927151</v>
      </c>
      <c r="R29" s="293">
        <f t="shared" si="34"/>
        <v>3953.007178393862</v>
      </c>
      <c r="S29" s="293">
        <f t="shared" si="34"/>
        <v>3686.1560464095091</v>
      </c>
      <c r="T29" s="293">
        <f t="shared" si="34"/>
        <v>7563.5799600528117</v>
      </c>
      <c r="U29" s="293">
        <f t="shared" si="34"/>
        <v>6382.5437615510309</v>
      </c>
      <c r="V29" s="293">
        <f t="shared" si="34"/>
        <v>6586.9495270941843</v>
      </c>
      <c r="W29" s="293">
        <f t="shared" si="34"/>
        <v>11125.068944912651</v>
      </c>
      <c r="X29" s="293">
        <f t="shared" si="34"/>
        <v>10628.779335007202</v>
      </c>
      <c r="Y29" s="293">
        <f t="shared" si="34"/>
        <v>11700.710194414263</v>
      </c>
      <c r="Z29" s="293">
        <f t="shared" si="34"/>
        <v>13076.164397101515</v>
      </c>
      <c r="AA29" s="293">
        <f t="shared" si="34"/>
        <v>14536.659097771291</v>
      </c>
      <c r="AB29" s="293">
        <f t="shared" si="34"/>
        <v>16157.714726302278</v>
      </c>
      <c r="AC29" s="293">
        <f t="shared" si="34"/>
        <v>18850.133183446102</v>
      </c>
      <c r="AD29" s="293">
        <f t="shared" si="34"/>
        <v>21031.932474183151</v>
      </c>
      <c r="AE29" s="293">
        <f t="shared" si="34"/>
        <v>23768.744906247317</v>
      </c>
      <c r="AF29" s="293">
        <f t="shared" si="34"/>
        <v>27075.630156927495</v>
      </c>
      <c r="AG29" s="293">
        <f t="shared" si="34"/>
        <v>29116.660387149517</v>
      </c>
      <c r="AH29" s="293">
        <f t="shared" si="34"/>
        <v>31425.210406852784</v>
      </c>
      <c r="AI29" s="293">
        <f t="shared" si="34"/>
        <v>33332.259261971019</v>
      </c>
      <c r="AJ29" s="293">
        <f t="shared" si="34"/>
        <v>35454.328761290904</v>
      </c>
      <c r="AK29" s="293">
        <f t="shared" si="34"/>
        <v>37887.367045392137</v>
      </c>
      <c r="AL29" s="293">
        <f t="shared" si="34"/>
        <v>40117.43138470246</v>
      </c>
      <c r="AM29" s="293">
        <f t="shared" si="34"/>
        <v>43624.283292023305</v>
      </c>
      <c r="AN29" s="293">
        <f t="shared" si="34"/>
        <v>46845.357304135396</v>
      </c>
      <c r="AO29" s="293">
        <f t="shared" si="34"/>
        <v>51946.744212297373</v>
      </c>
      <c r="AP29" s="293">
        <f t="shared" si="34"/>
        <v>55439.985643147316</v>
      </c>
      <c r="AQ29" s="293">
        <f t="shared" si="34"/>
        <v>59208.588238854369</v>
      </c>
      <c r="AR29" s="293">
        <f t="shared" ref="AR29:BL29" si="35">IF((AR5+SUM(AR11:AR15)-AR18-AR23-AR27-AR28)&lt;0,0,(AR5+SUM(AR11:AR15)-AR18-AR23-AR27-AR28))</f>
        <v>63168.457333490573</v>
      </c>
      <c r="AS29" s="293">
        <f t="shared" si="35"/>
        <v>67617.463494545766</v>
      </c>
      <c r="AT29" s="293">
        <f t="shared" si="35"/>
        <v>72545.965805883912</v>
      </c>
      <c r="AU29" s="293">
        <f t="shared" si="35"/>
        <v>77707.358376423697</v>
      </c>
      <c r="AV29" s="293">
        <f t="shared" si="35"/>
        <v>83106.34797080062</v>
      </c>
      <c r="AW29" s="293">
        <f t="shared" si="35"/>
        <v>88100.054700529072</v>
      </c>
      <c r="AX29" s="293">
        <f t="shared" si="35"/>
        <v>92766.012291608757</v>
      </c>
      <c r="AY29" s="293">
        <f t="shared" si="35"/>
        <v>97115.351298380439</v>
      </c>
      <c r="AZ29" s="293">
        <f t="shared" si="35"/>
        <v>101158.79368848275</v>
      </c>
      <c r="BA29" s="293">
        <f t="shared" si="35"/>
        <v>107134.70971693347</v>
      </c>
      <c r="BB29" s="293">
        <f t="shared" si="35"/>
        <v>111766.11613505089</v>
      </c>
      <c r="BC29" s="293">
        <f t="shared" si="35"/>
        <v>116685.67723865452</v>
      </c>
      <c r="BD29" s="293">
        <f t="shared" si="35"/>
        <v>122425.27585589755</v>
      </c>
      <c r="BE29" s="293">
        <f t="shared" si="35"/>
        <v>128700.48339987552</v>
      </c>
      <c r="BF29" s="293">
        <f t="shared" si="35"/>
        <v>135500.99170717143</v>
      </c>
      <c r="BG29" s="293">
        <f t="shared" si="35"/>
        <v>142572.17105186603</v>
      </c>
      <c r="BH29" s="293">
        <f t="shared" si="35"/>
        <v>149919.52609874977</v>
      </c>
      <c r="BI29" s="293">
        <f t="shared" si="35"/>
        <v>156793.94657757843</v>
      </c>
      <c r="BJ29" s="293">
        <f t="shared" si="35"/>
        <v>163285.15946220444</v>
      </c>
      <c r="BK29" s="293">
        <f t="shared" si="35"/>
        <v>169664.68703549361</v>
      </c>
      <c r="BL29" s="293">
        <f t="shared" si="35"/>
        <v>175427.97300041124</v>
      </c>
      <c r="BM29" s="293">
        <f t="shared" ref="BM29:BY29" si="36">IF((BM5+SUM(BM11:BM15)-BM18-BM23-BM27-BM28)&lt;0,0,(BM5+SUM(BM11:BM15)-BM18-BM23-BM27-BM28))</f>
        <v>184842.59430404974</v>
      </c>
      <c r="BN29" s="293">
        <f t="shared" si="36"/>
        <v>190462.06633877609</v>
      </c>
      <c r="BO29" s="293">
        <f t="shared" si="36"/>
        <v>196237.57272899366</v>
      </c>
      <c r="BP29" s="293">
        <f t="shared" si="36"/>
        <v>203658.39410475732</v>
      </c>
      <c r="BQ29" s="293">
        <f t="shared" si="36"/>
        <v>211693.44540124631</v>
      </c>
      <c r="BR29" s="293">
        <f t="shared" si="36"/>
        <v>220327.48081135302</v>
      </c>
      <c r="BS29" s="293">
        <f t="shared" si="36"/>
        <v>229272.80353409867</v>
      </c>
      <c r="BT29" s="293">
        <f t="shared" si="36"/>
        <v>238535.84846818721</v>
      </c>
      <c r="BU29" s="293">
        <f t="shared" si="36"/>
        <v>247264.10802083311</v>
      </c>
      <c r="BV29" s="293">
        <f t="shared" si="36"/>
        <v>255871.74167195425</v>
      </c>
      <c r="BW29" s="293">
        <f t="shared" si="36"/>
        <v>264051.92298388877</v>
      </c>
      <c r="BX29" s="293">
        <f t="shared" si="36"/>
        <v>271533.7132252513</v>
      </c>
      <c r="BY29" s="293">
        <f t="shared" si="36"/>
        <v>283160.25626418955</v>
      </c>
      <c r="BZ29" s="293"/>
      <c r="CA29" s="293"/>
    </row>
    <row r="30" spans="1:79" ht="18.95" customHeight="1" thickBot="1" x14ac:dyDescent="0.3">
      <c r="B30" s="303" t="s">
        <v>378</v>
      </c>
      <c r="C30" s="304" t="s">
        <v>4</v>
      </c>
      <c r="F30" s="305">
        <f t="shared" ref="F30:N30" si="37">F18+F23+F26</f>
        <v>165336.84588945549</v>
      </c>
      <c r="G30" s="305">
        <f t="shared" si="37"/>
        <v>163648.63222776199</v>
      </c>
      <c r="H30" s="305">
        <f t="shared" si="37"/>
        <v>166378.50902057532</v>
      </c>
      <c r="I30" s="305">
        <f t="shared" si="37"/>
        <v>163362.18012733807</v>
      </c>
      <c r="J30" s="305">
        <f t="shared" si="37"/>
        <v>156016.16728774496</v>
      </c>
      <c r="K30" s="305">
        <f t="shared" si="37"/>
        <v>214131.61597573367</v>
      </c>
      <c r="L30" s="305">
        <f t="shared" si="37"/>
        <v>219855.45417508893</v>
      </c>
      <c r="M30" s="305">
        <f t="shared" si="37"/>
        <v>218780.99542231954</v>
      </c>
      <c r="N30" s="305">
        <f t="shared" si="37"/>
        <v>219696.74110162116</v>
      </c>
      <c r="O30" s="305">
        <f>O18+O23+O26</f>
        <v>236953.28296813753</v>
      </c>
      <c r="P30" s="305">
        <f t="shared" ref="P30:U30" si="38">P18+P23+P26</f>
        <v>249042.11149604301</v>
      </c>
      <c r="Q30" s="305">
        <f t="shared" si="38"/>
        <v>417506.31172638061</v>
      </c>
      <c r="R30" s="305">
        <f t="shared" si="38"/>
        <v>417286.29161525925</v>
      </c>
      <c r="S30" s="305">
        <f t="shared" si="38"/>
        <v>420596.82533797919</v>
      </c>
      <c r="T30" s="305">
        <f t="shared" si="38"/>
        <v>426974.2105735892</v>
      </c>
      <c r="U30" s="305">
        <f t="shared" si="38"/>
        <v>420174.7117199144</v>
      </c>
      <c r="V30" s="305">
        <f t="shared" ref="V30:AV30" si="39">V18+V23+V26</f>
        <v>422558.20575015096</v>
      </c>
      <c r="W30" s="305">
        <f t="shared" si="39"/>
        <v>721978.49790732306</v>
      </c>
      <c r="X30" s="305">
        <f t="shared" si="39"/>
        <v>719604.76915143733</v>
      </c>
      <c r="Y30" s="305">
        <f t="shared" si="39"/>
        <v>723841.49183637206</v>
      </c>
      <c r="Z30" s="305">
        <f t="shared" si="39"/>
        <v>729510.54055529635</v>
      </c>
      <c r="AA30" s="305">
        <f t="shared" si="39"/>
        <v>734533.52522711467</v>
      </c>
      <c r="AB30" s="305">
        <f t="shared" si="39"/>
        <v>743566.15176509228</v>
      </c>
      <c r="AC30" s="305">
        <f t="shared" si="39"/>
        <v>757518.06329829001</v>
      </c>
      <c r="AD30" s="305">
        <f t="shared" si="39"/>
        <v>768090.0078540853</v>
      </c>
      <c r="AE30" s="305">
        <f t="shared" si="39"/>
        <v>783119.65530677012</v>
      </c>
      <c r="AF30" s="305">
        <f t="shared" si="39"/>
        <v>800454.18206013972</v>
      </c>
      <c r="AG30" s="305">
        <f t="shared" si="39"/>
        <v>817832.992093276</v>
      </c>
      <c r="AH30" s="305">
        <f t="shared" si="39"/>
        <v>836033.86814171169</v>
      </c>
      <c r="AI30" s="305">
        <f t="shared" si="39"/>
        <v>853934.23307868536</v>
      </c>
      <c r="AJ30" s="305">
        <f t="shared" si="39"/>
        <v>872322.28732267476</v>
      </c>
      <c r="AK30" s="305">
        <f t="shared" si="39"/>
        <v>890817.71353022091</v>
      </c>
      <c r="AL30" s="305">
        <f t="shared" si="39"/>
        <v>908632.09717401187</v>
      </c>
      <c r="AM30" s="305">
        <f t="shared" si="39"/>
        <v>926662.4463438401</v>
      </c>
      <c r="AN30" s="305">
        <f t="shared" si="39"/>
        <v>943587.85176169709</v>
      </c>
      <c r="AO30" s="305">
        <f t="shared" si="39"/>
        <v>970555.20107862644</v>
      </c>
      <c r="AP30" s="305">
        <f t="shared" si="39"/>
        <v>981649.55503195082</v>
      </c>
      <c r="AQ30" s="305">
        <f t="shared" si="39"/>
        <v>996992.61883398984</v>
      </c>
      <c r="AR30" s="305">
        <f t="shared" si="39"/>
        <v>1013971.1728494428</v>
      </c>
      <c r="AS30" s="305">
        <f t="shared" si="39"/>
        <v>1033340.4557386625</v>
      </c>
      <c r="AT30" s="305">
        <f t="shared" si="39"/>
        <v>986825.03153747483</v>
      </c>
      <c r="AU30" s="305">
        <f t="shared" si="39"/>
        <v>1014589.1959611108</v>
      </c>
      <c r="AV30" s="305">
        <f t="shared" si="39"/>
        <v>1042883.2362230411</v>
      </c>
      <c r="AW30" s="305">
        <f t="shared" ref="AW30:BL30" si="40">AW18+AW23+AW26</f>
        <v>1069461.4053854332</v>
      </c>
      <c r="AX30" s="305">
        <f t="shared" si="40"/>
        <v>1095016.7371515625</v>
      </c>
      <c r="AY30" s="305">
        <f t="shared" si="40"/>
        <v>1118891.8451577569</v>
      </c>
      <c r="AZ30" s="305">
        <f t="shared" si="40"/>
        <v>1141914.4555819246</v>
      </c>
      <c r="BA30" s="305">
        <f t="shared" si="40"/>
        <v>1109934.5450807076</v>
      </c>
      <c r="BB30" s="305">
        <f t="shared" si="40"/>
        <v>1131719.5290479809</v>
      </c>
      <c r="BC30" s="305">
        <f t="shared" si="40"/>
        <v>1158291.5028451851</v>
      </c>
      <c r="BD30" s="305">
        <f t="shared" si="40"/>
        <v>1188174.2484982228</v>
      </c>
      <c r="BE30" s="305">
        <f t="shared" si="40"/>
        <v>1220673.8194533596</v>
      </c>
      <c r="BF30" s="305">
        <f t="shared" si="40"/>
        <v>1168378.3162360447</v>
      </c>
      <c r="BG30" s="305">
        <f t="shared" si="40"/>
        <v>1203851.4853832594</v>
      </c>
      <c r="BH30" s="305">
        <f t="shared" si="40"/>
        <v>1239955.1875654343</v>
      </c>
      <c r="BI30" s="305">
        <f t="shared" si="40"/>
        <v>1274050.2472108828</v>
      </c>
      <c r="BJ30" s="305">
        <f t="shared" si="40"/>
        <v>1306939.5184974978</v>
      </c>
      <c r="BK30" s="305">
        <f t="shared" si="40"/>
        <v>1338980.4314767979</v>
      </c>
      <c r="BL30" s="305">
        <f t="shared" si="40"/>
        <v>1368847.347681581</v>
      </c>
      <c r="BM30" s="305">
        <f t="shared" ref="BM30:BY30" si="41">BM18+BM23+BM26</f>
        <v>1328210.2666242742</v>
      </c>
      <c r="BN30" s="305">
        <f t="shared" si="41"/>
        <v>1354135.1053622323</v>
      </c>
      <c r="BO30" s="305">
        <f t="shared" si="41"/>
        <v>1385299.7119058017</v>
      </c>
      <c r="BP30" s="305">
        <f t="shared" si="41"/>
        <v>1421973.8502366324</v>
      </c>
      <c r="BQ30" s="305">
        <f t="shared" si="41"/>
        <v>1461607.7115163533</v>
      </c>
      <c r="BR30" s="305">
        <f t="shared" si="41"/>
        <v>1393688.7671684797</v>
      </c>
      <c r="BS30" s="305">
        <f t="shared" si="41"/>
        <v>1436721.2993246457</v>
      </c>
      <c r="BT30" s="305">
        <f t="shared" si="41"/>
        <v>1480500.0960038672</v>
      </c>
      <c r="BU30" s="305">
        <f t="shared" si="41"/>
        <v>1521995.6378089206</v>
      </c>
      <c r="BV30" s="305">
        <f t="shared" si="41"/>
        <v>1563454.9468864696</v>
      </c>
      <c r="BW30" s="305">
        <f t="shared" si="41"/>
        <v>1602606.827126093</v>
      </c>
      <c r="BX30" s="305">
        <f t="shared" si="41"/>
        <v>1639354.882927543</v>
      </c>
      <c r="BY30" s="305">
        <f t="shared" si="41"/>
        <v>1586907.1800948293</v>
      </c>
      <c r="BZ30" s="301"/>
      <c r="CA30" s="301"/>
    </row>
    <row r="31" spans="1:79" ht="14.25" customHeight="1" x14ac:dyDescent="0.25"/>
    <row r="32" spans="1:79" ht="14.25" customHeight="1" x14ac:dyDescent="0.25">
      <c r="B32" s="306" t="s">
        <v>379</v>
      </c>
      <c r="C32" s="307"/>
      <c r="F32" s="307">
        <f t="shared" ref="F32:O32" si="42">F17-F30</f>
        <v>0</v>
      </c>
      <c r="G32" s="307">
        <f t="shared" si="42"/>
        <v>0</v>
      </c>
      <c r="H32" s="307">
        <f t="shared" si="42"/>
        <v>0</v>
      </c>
      <c r="I32" s="307">
        <f t="shared" si="42"/>
        <v>0</v>
      </c>
      <c r="J32" s="307">
        <f t="shared" si="42"/>
        <v>0</v>
      </c>
      <c r="K32" s="307">
        <f t="shared" si="42"/>
        <v>663.28880331417895</v>
      </c>
      <c r="L32" s="307">
        <f t="shared" si="42"/>
        <v>0</v>
      </c>
      <c r="M32" s="307">
        <f t="shared" si="42"/>
        <v>0</v>
      </c>
      <c r="N32" s="307">
        <f t="shared" si="42"/>
        <v>0</v>
      </c>
      <c r="O32" s="307">
        <f t="shared" si="42"/>
        <v>0</v>
      </c>
      <c r="P32" s="307">
        <f>J17-J30</f>
        <v>0</v>
      </c>
      <c r="Q32" s="307">
        <f t="shared" ref="Q32:AV32" si="43">Q17-Q30</f>
        <v>0</v>
      </c>
      <c r="R32" s="307">
        <f t="shared" si="43"/>
        <v>0</v>
      </c>
      <c r="S32" s="307">
        <f t="shared" si="43"/>
        <v>0</v>
      </c>
      <c r="T32" s="307">
        <f t="shared" si="43"/>
        <v>0</v>
      </c>
      <c r="U32" s="307">
        <f t="shared" si="43"/>
        <v>0</v>
      </c>
      <c r="V32" s="307">
        <f t="shared" si="43"/>
        <v>0</v>
      </c>
      <c r="W32" s="307">
        <f t="shared" si="43"/>
        <v>0</v>
      </c>
      <c r="X32" s="307">
        <f t="shared" si="43"/>
        <v>0</v>
      </c>
      <c r="Y32" s="307">
        <f t="shared" si="43"/>
        <v>0</v>
      </c>
      <c r="Z32" s="307">
        <f t="shared" si="43"/>
        <v>0</v>
      </c>
      <c r="AA32" s="307">
        <f t="shared" si="43"/>
        <v>0</v>
      </c>
      <c r="AB32" s="307">
        <f t="shared" si="43"/>
        <v>0</v>
      </c>
      <c r="AC32" s="307">
        <f t="shared" si="43"/>
        <v>0</v>
      </c>
      <c r="AD32" s="307">
        <f t="shared" si="43"/>
        <v>0</v>
      </c>
      <c r="AE32" s="307">
        <f t="shared" si="43"/>
        <v>0</v>
      </c>
      <c r="AF32" s="307">
        <f t="shared" si="43"/>
        <v>0</v>
      </c>
      <c r="AG32" s="307">
        <f t="shared" si="43"/>
        <v>0</v>
      </c>
      <c r="AH32" s="307">
        <f t="shared" si="43"/>
        <v>0</v>
      </c>
      <c r="AI32" s="307">
        <f t="shared" si="43"/>
        <v>0</v>
      </c>
      <c r="AJ32" s="307">
        <f t="shared" si="43"/>
        <v>0</v>
      </c>
      <c r="AK32" s="307">
        <f t="shared" si="43"/>
        <v>0</v>
      </c>
      <c r="AL32" s="307">
        <f t="shared" si="43"/>
        <v>0</v>
      </c>
      <c r="AM32" s="307">
        <f t="shared" si="43"/>
        <v>0</v>
      </c>
      <c r="AN32" s="307">
        <f t="shared" si="43"/>
        <v>0</v>
      </c>
      <c r="AO32" s="307">
        <f t="shared" si="43"/>
        <v>0</v>
      </c>
      <c r="AP32" s="307">
        <f t="shared" si="43"/>
        <v>0</v>
      </c>
      <c r="AQ32" s="307">
        <f t="shared" si="43"/>
        <v>0</v>
      </c>
      <c r="AR32" s="307">
        <f t="shared" si="43"/>
        <v>0</v>
      </c>
      <c r="AS32" s="307">
        <f t="shared" si="43"/>
        <v>0</v>
      </c>
      <c r="AT32" s="307">
        <f t="shared" si="43"/>
        <v>0</v>
      </c>
      <c r="AU32" s="307">
        <f t="shared" si="43"/>
        <v>0</v>
      </c>
      <c r="AV32" s="307">
        <f t="shared" si="43"/>
        <v>0</v>
      </c>
      <c r="AW32" s="307">
        <f t="shared" ref="AW32:BL32" si="44">AW17-AW30</f>
        <v>0</v>
      </c>
      <c r="AX32" s="307">
        <f t="shared" si="44"/>
        <v>0</v>
      </c>
      <c r="AY32" s="307">
        <f t="shared" si="44"/>
        <v>0</v>
      </c>
      <c r="AZ32" s="307">
        <f t="shared" si="44"/>
        <v>0</v>
      </c>
      <c r="BA32" s="307">
        <f t="shared" si="44"/>
        <v>0</v>
      </c>
      <c r="BB32" s="307">
        <f t="shared" si="44"/>
        <v>0</v>
      </c>
      <c r="BC32" s="307">
        <f t="shared" si="44"/>
        <v>0</v>
      </c>
      <c r="BD32" s="307">
        <f t="shared" si="44"/>
        <v>0</v>
      </c>
      <c r="BE32" s="307">
        <f t="shared" si="44"/>
        <v>0</v>
      </c>
      <c r="BF32" s="307">
        <f t="shared" si="44"/>
        <v>0</v>
      </c>
      <c r="BG32" s="307">
        <f t="shared" si="44"/>
        <v>0</v>
      </c>
      <c r="BH32" s="307">
        <f t="shared" si="44"/>
        <v>0</v>
      </c>
      <c r="BI32" s="307">
        <f t="shared" si="44"/>
        <v>0</v>
      </c>
      <c r="BJ32" s="307">
        <f t="shared" si="44"/>
        <v>0</v>
      </c>
      <c r="BK32" s="307">
        <f t="shared" si="44"/>
        <v>0</v>
      </c>
      <c r="BL32" s="307">
        <f t="shared" si="44"/>
        <v>0</v>
      </c>
      <c r="BM32" s="307">
        <f t="shared" ref="BM32:BY32" si="45">BM17-BM30</f>
        <v>0</v>
      </c>
      <c r="BN32" s="307">
        <f t="shared" si="45"/>
        <v>0</v>
      </c>
      <c r="BO32" s="307">
        <f t="shared" si="45"/>
        <v>0</v>
      </c>
      <c r="BP32" s="307">
        <f t="shared" si="45"/>
        <v>0</v>
      </c>
      <c r="BQ32" s="307">
        <f t="shared" si="45"/>
        <v>0</v>
      </c>
      <c r="BR32" s="307">
        <f t="shared" si="45"/>
        <v>0</v>
      </c>
      <c r="BS32" s="307">
        <f t="shared" si="45"/>
        <v>0</v>
      </c>
      <c r="BT32" s="307">
        <f t="shared" si="45"/>
        <v>0</v>
      </c>
      <c r="BU32" s="307">
        <f t="shared" si="45"/>
        <v>0</v>
      </c>
      <c r="BV32" s="307">
        <f t="shared" si="45"/>
        <v>0</v>
      </c>
      <c r="BW32" s="307">
        <f t="shared" si="45"/>
        <v>0</v>
      </c>
      <c r="BX32" s="307">
        <f t="shared" si="45"/>
        <v>0</v>
      </c>
      <c r="BY32" s="307">
        <f t="shared" si="45"/>
        <v>0</v>
      </c>
    </row>
    <row r="33" spans="1:79" ht="14.25" customHeight="1" x14ac:dyDescent="0.25">
      <c r="B33" s="306"/>
      <c r="C33" s="307"/>
      <c r="F33" s="308"/>
      <c r="G33" s="307"/>
      <c r="H33" s="307"/>
      <c r="I33" s="307"/>
      <c r="J33" s="307"/>
      <c r="K33" s="307"/>
      <c r="L33" s="307"/>
      <c r="M33" s="307"/>
      <c r="N33" s="307"/>
      <c r="O33" s="307"/>
      <c r="P33" s="307"/>
      <c r="Q33" s="307"/>
      <c r="R33" s="307"/>
      <c r="S33" s="307"/>
      <c r="T33" s="307"/>
      <c r="U33" s="307"/>
      <c r="V33" s="307"/>
      <c r="W33" s="307"/>
      <c r="X33" s="307"/>
      <c r="Y33" s="307"/>
      <c r="Z33" s="307"/>
      <c r="AA33" s="307"/>
      <c r="AB33" s="307"/>
      <c r="AC33" s="307"/>
      <c r="AD33" s="307"/>
      <c r="AE33" s="307"/>
      <c r="AF33" s="307"/>
      <c r="AG33" s="307"/>
      <c r="AH33" s="307"/>
      <c r="AI33" s="307"/>
      <c r="AJ33" s="307"/>
      <c r="AK33" s="307"/>
      <c r="AL33" s="307"/>
      <c r="AM33" s="307"/>
      <c r="AN33" s="307"/>
      <c r="AO33" s="307"/>
      <c r="AP33" s="307"/>
      <c r="AQ33" s="307"/>
      <c r="AR33" s="307"/>
      <c r="AS33" s="307"/>
      <c r="AT33" s="307"/>
      <c r="AU33" s="307"/>
      <c r="AV33" s="307"/>
      <c r="AW33" s="307"/>
      <c r="AX33" s="307"/>
      <c r="AY33" s="307"/>
      <c r="AZ33" s="307"/>
      <c r="BA33" s="307"/>
      <c r="BB33" s="307"/>
      <c r="BC33" s="307"/>
      <c r="BD33" s="307"/>
      <c r="BE33" s="307"/>
      <c r="BF33" s="307"/>
      <c r="BG33" s="307"/>
      <c r="BH33" s="307"/>
      <c r="BI33" s="307"/>
      <c r="BJ33" s="307"/>
      <c r="BK33" s="307"/>
      <c r="BL33" s="307"/>
      <c r="BM33" s="307"/>
      <c r="BN33" s="307"/>
      <c r="BO33" s="307"/>
      <c r="BP33" s="307"/>
      <c r="BQ33" s="307"/>
      <c r="BR33" s="307"/>
      <c r="BS33" s="307"/>
      <c r="BT33" s="307"/>
      <c r="BU33" s="307"/>
      <c r="BV33" s="307"/>
      <c r="BW33" s="307"/>
      <c r="BX33" s="307"/>
      <c r="BY33" s="307"/>
    </row>
    <row r="34" spans="1:79" ht="14.25" customHeight="1" x14ac:dyDescent="0.25">
      <c r="B34" s="309"/>
      <c r="E34" s="307"/>
      <c r="G34" s="310"/>
      <c r="I34" s="311"/>
      <c r="J34" s="311"/>
      <c r="K34" s="362"/>
      <c r="L34" s="311"/>
      <c r="M34" s="311"/>
    </row>
    <row r="35" spans="1:79" ht="14.25" customHeight="1" x14ac:dyDescent="0.25">
      <c r="A35" s="312"/>
      <c r="B35" s="312"/>
      <c r="C35" s="312"/>
      <c r="D35" s="312"/>
      <c r="E35" s="312"/>
      <c r="F35" s="313"/>
      <c r="G35" s="313"/>
      <c r="H35" s="313"/>
      <c r="I35" s="313"/>
      <c r="J35" s="313"/>
      <c r="K35" s="313"/>
      <c r="L35" s="313"/>
      <c r="M35" s="313"/>
      <c r="N35" s="313"/>
      <c r="O35" s="313"/>
      <c r="P35" s="313"/>
      <c r="Q35" s="313"/>
      <c r="R35" s="313"/>
      <c r="S35" s="313"/>
      <c r="T35" s="313"/>
      <c r="U35" s="313"/>
      <c r="V35" s="313"/>
      <c r="W35" s="313"/>
      <c r="X35" s="313"/>
      <c r="Y35" s="313"/>
      <c r="Z35" s="313"/>
      <c r="AA35" s="313"/>
      <c r="AB35" s="313"/>
      <c r="AC35" s="313"/>
      <c r="AD35" s="313"/>
      <c r="AE35" s="313"/>
      <c r="AF35" s="313"/>
      <c r="AG35" s="313"/>
      <c r="AH35" s="313"/>
      <c r="AI35" s="313"/>
      <c r="AJ35" s="313"/>
      <c r="AK35" s="313"/>
      <c r="AL35" s="313"/>
      <c r="AM35" s="313"/>
      <c r="AN35" s="313"/>
      <c r="AO35" s="313"/>
      <c r="AP35" s="313"/>
      <c r="AQ35" s="313"/>
      <c r="AR35" s="313"/>
      <c r="AS35" s="313"/>
      <c r="AT35" s="313"/>
      <c r="AU35" s="313"/>
      <c r="AV35" s="313"/>
      <c r="AW35" s="313"/>
      <c r="AX35" s="313"/>
      <c r="AY35" s="313"/>
      <c r="AZ35" s="313"/>
      <c r="BA35" s="313"/>
      <c r="BB35" s="313"/>
      <c r="BC35" s="313"/>
      <c r="BD35" s="313"/>
      <c r="BE35" s="313"/>
      <c r="BF35" s="313"/>
      <c r="BG35" s="313"/>
      <c r="BH35" s="313"/>
      <c r="BI35" s="313"/>
      <c r="BJ35" s="313"/>
      <c r="BK35" s="313"/>
      <c r="BL35" s="313"/>
      <c r="BM35" s="313"/>
      <c r="BN35" s="313"/>
      <c r="BO35" s="313"/>
      <c r="BP35" s="313"/>
      <c r="BQ35" s="313"/>
      <c r="BR35" s="313"/>
      <c r="BS35" s="313"/>
      <c r="BT35" s="313"/>
      <c r="BU35" s="313"/>
      <c r="BV35" s="313"/>
      <c r="BW35" s="313"/>
      <c r="BX35" s="313"/>
      <c r="BY35" s="313"/>
      <c r="BZ35" s="312"/>
      <c r="CA35" s="312"/>
    </row>
    <row r="36" spans="1:79" ht="14.25" customHeight="1" x14ac:dyDescent="0.25">
      <c r="L36" s="2"/>
    </row>
    <row r="37" spans="1:79" ht="14.25" customHeight="1" x14ac:dyDescent="0.25"/>
    <row r="38" spans="1:79" ht="14.25" customHeight="1" x14ac:dyDescent="0.25">
      <c r="D38" s="314"/>
      <c r="E38" s="314"/>
    </row>
    <row r="39" spans="1:79" ht="14.25" customHeight="1" x14ac:dyDescent="0.25">
      <c r="D39" s="314"/>
      <c r="E39" s="314"/>
    </row>
    <row r="40" spans="1:79" ht="14.25" customHeight="1" x14ac:dyDescent="0.25"/>
    <row r="41" spans="1:79" ht="14.25" customHeight="1" x14ac:dyDescent="0.25"/>
    <row r="42" spans="1:79" ht="14.25" customHeight="1" x14ac:dyDescent="0.25"/>
    <row r="43" spans="1:79" ht="14.25" customHeight="1" x14ac:dyDescent="0.25"/>
    <row r="44" spans="1:79" ht="14.25" customHeight="1" x14ac:dyDescent="0.25"/>
    <row r="45" spans="1:79" ht="14.25" customHeight="1" x14ac:dyDescent="0.25"/>
    <row r="46" spans="1:79" ht="14.25" customHeight="1" x14ac:dyDescent="0.25"/>
    <row r="47" spans="1:79" ht="14.25" customHeight="1" x14ac:dyDescent="0.25"/>
    <row r="48" spans="1:79"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sheetData>
  <conditionalFormatting sqref="C33 F33:BY33">
    <cfRule type="cellIs" dxfId="0" priority="1" operator="notEqual">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5:Q18"/>
  <sheetViews>
    <sheetView showGridLines="0" topLeftCell="B1" workbookViewId="0">
      <selection activeCell="J31" sqref="J31"/>
    </sheetView>
  </sheetViews>
  <sheetFormatPr defaultColWidth="8.7109375" defaultRowHeight="15" x14ac:dyDescent="0.25"/>
  <cols>
    <col min="2" max="2" width="55" bestFit="1" customWidth="1"/>
    <col min="3" max="3" width="0" hidden="1" customWidth="1"/>
    <col min="14" max="14" width="6.140625" bestFit="1" customWidth="1"/>
  </cols>
  <sheetData>
    <row r="5" spans="2:17" x14ac:dyDescent="0.25">
      <c r="B5" s="131" t="s">
        <v>1</v>
      </c>
      <c r="C5" s="129">
        <v>46023</v>
      </c>
      <c r="D5" s="129">
        <v>45992</v>
      </c>
      <c r="E5" s="129">
        <v>46023</v>
      </c>
      <c r="F5" s="129">
        <v>46054</v>
      </c>
      <c r="G5" s="129">
        <v>46082</v>
      </c>
      <c r="H5" s="129">
        <v>46113</v>
      </c>
      <c r="I5" s="129">
        <v>46143</v>
      </c>
      <c r="J5" s="129">
        <v>46174</v>
      </c>
      <c r="K5" s="129">
        <v>46204</v>
      </c>
      <c r="L5" s="129">
        <v>46235</v>
      </c>
      <c r="M5" s="129">
        <v>46266</v>
      </c>
      <c r="N5" s="129">
        <v>46296</v>
      </c>
      <c r="O5" s="129">
        <v>46327</v>
      </c>
      <c r="P5" s="129">
        <v>46357</v>
      </c>
      <c r="Q5" s="449" t="s">
        <v>6</v>
      </c>
    </row>
    <row r="6" spans="2:17" x14ac:dyDescent="0.25">
      <c r="B6" s="88" t="s">
        <v>337</v>
      </c>
      <c r="C6" s="2">
        <f>Свод_ОФР!AD105</f>
        <v>0</v>
      </c>
      <c r="D6" s="2"/>
      <c r="E6" s="2"/>
      <c r="F6" s="2">
        <f>Свод_ОФР!AE105</f>
        <v>54</v>
      </c>
      <c r="G6" s="2">
        <f>Свод_ОФР!AF105</f>
        <v>4385</v>
      </c>
      <c r="H6" s="2">
        <f>Свод_ОФР!AG105</f>
        <v>5688</v>
      </c>
      <c r="I6" s="2">
        <f>Свод_ОФР!AH105</f>
        <v>6000</v>
      </c>
      <c r="J6" s="2">
        <f>Свод_ОФР!AI105</f>
        <v>6000</v>
      </c>
      <c r="K6" s="2">
        <f>Свод_ОФР!AJ105</f>
        <v>5000</v>
      </c>
      <c r="L6" s="2">
        <f>Свод_ОФР!AK105</f>
        <v>0</v>
      </c>
      <c r="M6" s="2">
        <f>Свод_ОФР!AL105</f>
        <v>0</v>
      </c>
      <c r="N6" s="2">
        <f>Свод_ОФР!AM105</f>
        <v>0</v>
      </c>
      <c r="O6" s="2">
        <f>Свод_ОФР!AN105</f>
        <v>0</v>
      </c>
      <c r="P6" s="2">
        <f>Свод_ОФР!AO105</f>
        <v>0</v>
      </c>
      <c r="Q6" s="283">
        <f>SUM(C6:P6)</f>
        <v>27127</v>
      </c>
    </row>
    <row r="7" spans="2:17" x14ac:dyDescent="0.25">
      <c r="B7" s="88" t="s">
        <v>94</v>
      </c>
      <c r="C7" s="2">
        <f>Свод_ОФР!AD106</f>
        <v>0</v>
      </c>
      <c r="D7" s="2"/>
      <c r="E7" s="2"/>
      <c r="F7" s="2">
        <f>Свод_ОФР!AE106</f>
        <v>0</v>
      </c>
      <c r="G7" s="2">
        <f>Свод_ОФР!AF106</f>
        <v>0</v>
      </c>
      <c r="H7" s="2">
        <f>Свод_ОФР!AG106</f>
        <v>750</v>
      </c>
      <c r="I7" s="2">
        <f>Свод_ОФР!AH106</f>
        <v>750</v>
      </c>
      <c r="J7" s="2">
        <f>Свод_ОФР!AI106</f>
        <v>750</v>
      </c>
      <c r="K7" s="2">
        <f>Свод_ОФР!AJ106</f>
        <v>750</v>
      </c>
      <c r="L7" s="2">
        <f>Свод_ОФР!AK106</f>
        <v>750</v>
      </c>
      <c r="M7" s="2">
        <f>Свод_ОФР!AL106</f>
        <v>0</v>
      </c>
      <c r="N7" s="2">
        <f>Свод_ОФР!AM106</f>
        <v>0</v>
      </c>
      <c r="O7" s="2">
        <f>Свод_ОФР!AN106</f>
        <v>0</v>
      </c>
      <c r="P7" s="2">
        <f>Свод_ОФР!AO106</f>
        <v>0</v>
      </c>
      <c r="Q7" s="283">
        <f t="shared" ref="Q7:Q10" si="0">SUM(C7:P7)</f>
        <v>3750</v>
      </c>
    </row>
    <row r="8" spans="2:17" x14ac:dyDescent="0.25">
      <c r="B8" s="88" t="s">
        <v>296</v>
      </c>
      <c r="C8" s="2">
        <f>Свод_ОФР!AD107</f>
        <v>0</v>
      </c>
      <c r="D8" s="2">
        <f>Свод_ОФР!AC107</f>
        <v>10000</v>
      </c>
      <c r="E8" s="2">
        <f>Свод_ОФР!AD107</f>
        <v>0</v>
      </c>
      <c r="F8" s="2">
        <f>Свод_ОФР!AE107</f>
        <v>838</v>
      </c>
      <c r="G8" s="2">
        <f>Свод_ОФР!AF107</f>
        <v>327</v>
      </c>
      <c r="H8" s="2">
        <f>Свод_ОФР!AG107</f>
        <v>176</v>
      </c>
      <c r="I8" s="2">
        <f>Свод_ОФР!AH107</f>
        <v>0</v>
      </c>
      <c r="J8" s="2">
        <f>Свод_ОФР!AI107</f>
        <v>320000</v>
      </c>
      <c r="K8" s="2">
        <f>Свод_ОФР!AJ107</f>
        <v>0</v>
      </c>
      <c r="L8" s="2">
        <f>Свод_ОФР!AK107</f>
        <v>0</v>
      </c>
      <c r="M8" s="2">
        <f>Свод_ОФР!AJ107</f>
        <v>0</v>
      </c>
      <c r="N8" s="2"/>
      <c r="O8" s="2"/>
      <c r="P8" s="2"/>
      <c r="Q8" s="283">
        <f>SUM(C8:P8)</f>
        <v>331341</v>
      </c>
    </row>
    <row r="9" spans="2:17" x14ac:dyDescent="0.25">
      <c r="B9" s="88" t="s">
        <v>339</v>
      </c>
      <c r="C9" s="2">
        <f>Мясо!AD117</f>
        <v>0</v>
      </c>
      <c r="D9" s="2"/>
      <c r="E9" s="2"/>
      <c r="F9" s="2">
        <f>Мясо!AE117</f>
        <v>496</v>
      </c>
      <c r="G9" s="2">
        <f>Мясо!AF117</f>
        <v>1436.6</v>
      </c>
      <c r="H9" s="2">
        <f>Мясо!AG117</f>
        <v>10958</v>
      </c>
      <c r="I9" s="2">
        <f>Мясо!AH117</f>
        <v>8064</v>
      </c>
      <c r="J9" s="2">
        <f>Мясо!AI117</f>
        <v>6064</v>
      </c>
      <c r="K9" s="2">
        <f>Мясо!AJ117</f>
        <v>4564</v>
      </c>
      <c r="L9" s="2">
        <f>Мясо!AK117</f>
        <v>2564</v>
      </c>
      <c r="M9" s="2">
        <f>Мясо!AL117</f>
        <v>564</v>
      </c>
      <c r="N9" s="2">
        <f>Мясо!AM117</f>
        <v>564</v>
      </c>
      <c r="O9" s="2">
        <f>Мясо!AN117</f>
        <v>564</v>
      </c>
      <c r="P9" s="2">
        <f>Мясо!AO117</f>
        <v>564</v>
      </c>
      <c r="Q9" s="283">
        <f t="shared" si="0"/>
        <v>36402.6</v>
      </c>
    </row>
    <row r="10" spans="2:17" x14ac:dyDescent="0.25">
      <c r="B10" s="88" t="s">
        <v>425</v>
      </c>
      <c r="C10" s="2"/>
      <c r="D10" s="2"/>
      <c r="E10" s="2"/>
      <c r="F10" s="2"/>
      <c r="G10" s="2"/>
      <c r="H10" s="2"/>
      <c r="I10" s="2"/>
      <c r="J10" s="2"/>
      <c r="K10" s="2">
        <f>Мясо!AK95</f>
        <v>12600</v>
      </c>
      <c r="L10" s="2">
        <f>ОК!Y11-ОК!X11</f>
        <v>6070.3592577589443</v>
      </c>
      <c r="M10" s="2">
        <f>ОК!Z11-ОК!Y11</f>
        <v>831.97387885901844</v>
      </c>
      <c r="N10" s="2">
        <f>ОК!AA11-ОК!Z11</f>
        <v>3983.1992391835956</v>
      </c>
      <c r="O10" s="2">
        <f>ОК!AB11-ОК!AA11</f>
        <v>10417.976972772594</v>
      </c>
      <c r="P10" s="2"/>
      <c r="Q10" s="283">
        <f t="shared" si="0"/>
        <v>33903.509348574153</v>
      </c>
    </row>
    <row r="11" spans="2:17" x14ac:dyDescent="0.25">
      <c r="B11" s="88" t="s">
        <v>424</v>
      </c>
      <c r="C11" s="2"/>
      <c r="D11" s="2"/>
      <c r="E11" s="2"/>
      <c r="F11" s="2"/>
      <c r="G11" s="2"/>
      <c r="H11" s="2"/>
      <c r="I11" s="2">
        <f>Мясо!AH88+Пицца!AH59+Снеки!AH58+'Мясная гастрономия'!AH57+Сыр!AH57+'Кондитерские изделия'!AH57</f>
        <v>1083.4608480812499</v>
      </c>
      <c r="J11" s="2">
        <f>Мясо!AI88+Пицца!AI59+Снеки!AI58+'Мясная гастрономия'!AI57+Сыр!AI57+'Кондитерские изделия'!AI57</f>
        <v>1427.9776178005313</v>
      </c>
      <c r="K11" s="2">
        <f>Мясо!AJ88+Пицца!AJ59+Снеки!AJ58+'Мясная гастрономия'!AJ57+Сыр!AJ57+'Кондитерские изделия'!AJ57</f>
        <v>2480.9688771423525</v>
      </c>
      <c r="L11" s="2">
        <f>Мясо!AK88+Пицца!AK59+Снеки!AK58+'Мясная гастрономия'!AK57+Сыр!AK57+'Кондитерские изделия'!AK57</f>
        <v>2971.2894456940594</v>
      </c>
      <c r="M11" s="2">
        <f>Мясо!AL88+Пицца!AL59+Снеки!AL58+'Мясная гастрономия'!AL57+Сыр!AL57+'Кондитерские изделия'!AL57</f>
        <v>3115.3809179787622</v>
      </c>
      <c r="N11" s="2">
        <f>Мясо!AM88+Пицца!AM59+Снеки!AM58+'Мясная гастрономия'!AM57+Сыр!AM57+'Кондитерские изделия'!AM57</f>
        <v>2136.4466677043201</v>
      </c>
      <c r="O11" s="2">
        <f>Мясо!AN88+Пицца!AN59+Снеки!AN58+'Мясная гастрономия'!AN57+Сыр!AN57+'Кондитерские изделия'!AN57</f>
        <v>1742.1897331306102</v>
      </c>
      <c r="P11" s="2">
        <f>Мясо!AO88+Пицца!AO59+Снеки!AO58+'Мясная гастрономия'!AO57+Сыр!AO57+'Кондитерские изделия'!AO57</f>
        <v>1852.073404548328</v>
      </c>
      <c r="Q11" s="283">
        <f>SUM(C11:P11)</f>
        <v>16809.787512080213</v>
      </c>
    </row>
    <row r="12" spans="2:17" x14ac:dyDescent="0.25">
      <c r="B12" s="341" t="s">
        <v>6</v>
      </c>
      <c r="C12" s="24">
        <f t="shared" ref="C12:G12" si="1">SUM(C6:C11)</f>
        <v>0</v>
      </c>
      <c r="D12" s="24">
        <f t="shared" si="1"/>
        <v>10000</v>
      </c>
      <c r="E12" s="24">
        <f t="shared" si="1"/>
        <v>0</v>
      </c>
      <c r="F12" s="24">
        <f t="shared" si="1"/>
        <v>1388</v>
      </c>
      <c r="G12" s="24">
        <f t="shared" si="1"/>
        <v>6148.6</v>
      </c>
      <c r="H12" s="24">
        <f t="shared" ref="H12:I12" si="2">SUM(H6:H11)</f>
        <v>17572</v>
      </c>
      <c r="I12" s="24">
        <f t="shared" si="2"/>
        <v>15897.460848081249</v>
      </c>
      <c r="J12" s="24">
        <f t="shared" ref="J12:P12" si="3">SUM(J6:J11)</f>
        <v>334241.97761780053</v>
      </c>
      <c r="K12" s="24">
        <f t="shared" ref="K12:L12" si="4">SUM(K6:K11)</f>
        <v>25394.968877142353</v>
      </c>
      <c r="L12" s="24">
        <f t="shared" si="4"/>
        <v>12355.648703453004</v>
      </c>
      <c r="M12" s="24">
        <f t="shared" si="3"/>
        <v>4511.3547968377807</v>
      </c>
      <c r="N12" s="24">
        <f t="shared" si="3"/>
        <v>6683.6459068879158</v>
      </c>
      <c r="O12" s="24">
        <f t="shared" si="3"/>
        <v>12724.166705903204</v>
      </c>
      <c r="P12" s="24">
        <f t="shared" si="3"/>
        <v>2416.0734045483277</v>
      </c>
      <c r="Q12" s="283">
        <f>SUM(C12:P12)</f>
        <v>449333.89686065435</v>
      </c>
    </row>
    <row r="14" spans="2:17" x14ac:dyDescent="0.25">
      <c r="Q14" s="2"/>
    </row>
    <row r="18" spans="9:11" x14ac:dyDescent="0.25">
      <c r="I18" s="2"/>
      <c r="J18" s="2"/>
      <c r="K18" s="2"/>
    </row>
  </sheetData>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3">
    <tabColor theme="9" tint="0.39997558519241921"/>
  </sheetPr>
  <dimension ref="A1:FI62"/>
  <sheetViews>
    <sheetView showGridLines="0" zoomScale="80" zoomScaleNormal="80" workbookViewId="0">
      <pane xSplit="2" ySplit="3" topLeftCell="C13" activePane="bottomRight" state="frozen"/>
      <selection pane="topRight" activeCell="C1" sqref="C1"/>
      <selection pane="bottomLeft" activeCell="A4" sqref="A4"/>
      <selection pane="bottomRight" activeCell="G30" sqref="G30"/>
    </sheetView>
  </sheetViews>
  <sheetFormatPr defaultColWidth="0" defaultRowHeight="15" outlineLevelRow="1" x14ac:dyDescent="0.25"/>
  <cols>
    <col min="1" max="1" width="7.42578125" style="47" customWidth="1"/>
    <col min="2" max="2" width="72.28515625" style="30" customWidth="1"/>
    <col min="3" max="3" width="13.7109375" style="30" customWidth="1"/>
    <col min="4" max="4" width="10.7109375" style="30" customWidth="1"/>
    <col min="5" max="5" width="14.42578125" style="30" customWidth="1"/>
    <col min="6" max="11" width="11.7109375" style="30" customWidth="1"/>
    <col min="12" max="12" width="11.140625" style="30" customWidth="1"/>
    <col min="13" max="13" width="14.140625" style="30" customWidth="1"/>
    <col min="14" max="14" width="9.7109375" style="30" bestFit="1" customWidth="1"/>
    <col min="15" max="15" width="9" style="34" bestFit="1" customWidth="1"/>
    <col min="16" max="16" width="10.42578125" style="30" bestFit="1" customWidth="1"/>
    <col min="17" max="18" width="9" style="30" bestFit="1" customWidth="1"/>
    <col min="19" max="22" width="11.140625" style="30" bestFit="1" customWidth="1"/>
    <col min="23" max="30" width="11.140625" style="30" customWidth="1"/>
    <col min="31" max="31" width="11.140625" style="30" bestFit="1" customWidth="1"/>
    <col min="32" max="96" width="11.140625" style="30" customWidth="1"/>
    <col min="97" max="99" width="11.140625" style="30" bestFit="1" customWidth="1"/>
    <col min="100" max="101" width="11.140625" style="30" customWidth="1"/>
    <col min="102" max="102" width="9.140625" style="30" customWidth="1"/>
    <col min="103" max="165" width="0" style="30" hidden="1" customWidth="1"/>
    <col min="166" max="16384" width="9.140625" style="30" hidden="1"/>
  </cols>
  <sheetData>
    <row r="1" spans="2:107" x14ac:dyDescent="0.25">
      <c r="C1" s="45"/>
      <c r="D1" s="45"/>
      <c r="E1" s="45"/>
      <c r="F1" s="45"/>
      <c r="G1" s="45"/>
      <c r="H1" s="45"/>
      <c r="I1" s="45"/>
      <c r="J1" s="45"/>
      <c r="M1" s="34"/>
      <c r="O1" s="30"/>
    </row>
    <row r="2" spans="2:107" ht="18.75" x14ac:dyDescent="0.3">
      <c r="B2" s="29" t="s">
        <v>96</v>
      </c>
      <c r="C2" s="188" t="s">
        <v>165</v>
      </c>
      <c r="D2" s="188" t="s">
        <v>165</v>
      </c>
      <c r="E2" s="188" t="s">
        <v>165</v>
      </c>
      <c r="K2" s="31"/>
      <c r="L2" s="31"/>
      <c r="M2" s="32"/>
      <c r="N2" s="31">
        <f t="shared" ref="N2:S2" si="0">YEAR(N3)</f>
        <v>2024</v>
      </c>
      <c r="O2" s="31">
        <f t="shared" si="0"/>
        <v>2024</v>
      </c>
      <c r="P2" s="31">
        <f t="shared" si="0"/>
        <v>2024</v>
      </c>
      <c r="Q2" s="31">
        <f t="shared" si="0"/>
        <v>2024</v>
      </c>
      <c r="R2" s="31">
        <f t="shared" si="0"/>
        <v>2024</v>
      </c>
      <c r="S2" s="31">
        <f t="shared" si="0"/>
        <v>2024</v>
      </c>
      <c r="T2" s="31">
        <f t="shared" ref="T2:CS2" si="1">YEAR(T3)</f>
        <v>2024</v>
      </c>
      <c r="U2" s="31">
        <f t="shared" si="1"/>
        <v>2024</v>
      </c>
      <c r="V2" s="31">
        <f t="shared" si="1"/>
        <v>2024</v>
      </c>
      <c r="W2" s="31">
        <f t="shared" si="1"/>
        <v>2024</v>
      </c>
      <c r="X2" s="31">
        <f t="shared" si="1"/>
        <v>2024</v>
      </c>
      <c r="Y2" s="31">
        <f t="shared" si="1"/>
        <v>2024</v>
      </c>
      <c r="Z2" s="31">
        <f t="shared" si="1"/>
        <v>2025</v>
      </c>
      <c r="AA2" s="31">
        <f t="shared" si="1"/>
        <v>2025</v>
      </c>
      <c r="AB2" s="31">
        <f t="shared" si="1"/>
        <v>2025</v>
      </c>
      <c r="AC2" s="31">
        <f t="shared" si="1"/>
        <v>2025</v>
      </c>
      <c r="AD2" s="31">
        <f t="shared" si="1"/>
        <v>2025</v>
      </c>
      <c r="AE2" s="31">
        <f t="shared" si="1"/>
        <v>2025</v>
      </c>
      <c r="AF2" s="31">
        <f t="shared" si="1"/>
        <v>2025</v>
      </c>
      <c r="AG2" s="31">
        <f t="shared" si="1"/>
        <v>2025</v>
      </c>
      <c r="AH2" s="31">
        <f t="shared" si="1"/>
        <v>2025</v>
      </c>
      <c r="AI2" s="31">
        <f t="shared" si="1"/>
        <v>2025</v>
      </c>
      <c r="AJ2" s="31">
        <f t="shared" si="1"/>
        <v>2025</v>
      </c>
      <c r="AK2" s="31">
        <f t="shared" si="1"/>
        <v>2025</v>
      </c>
      <c r="AL2" s="31">
        <f t="shared" si="1"/>
        <v>2026</v>
      </c>
      <c r="AM2" s="31">
        <f t="shared" si="1"/>
        <v>2026</v>
      </c>
      <c r="AN2" s="31">
        <f t="shared" si="1"/>
        <v>2026</v>
      </c>
      <c r="AO2" s="31">
        <f t="shared" si="1"/>
        <v>2026</v>
      </c>
      <c r="AP2" s="31">
        <f t="shared" si="1"/>
        <v>2026</v>
      </c>
      <c r="AQ2" s="31">
        <f t="shared" si="1"/>
        <v>2026</v>
      </c>
      <c r="AR2" s="31">
        <f t="shared" si="1"/>
        <v>2026</v>
      </c>
      <c r="AS2" s="31">
        <f t="shared" si="1"/>
        <v>2026</v>
      </c>
      <c r="AT2" s="31">
        <f t="shared" si="1"/>
        <v>2026</v>
      </c>
      <c r="AU2" s="31">
        <f t="shared" si="1"/>
        <v>2026</v>
      </c>
      <c r="AV2" s="31">
        <f t="shared" si="1"/>
        <v>2026</v>
      </c>
      <c r="AW2" s="31">
        <f t="shared" si="1"/>
        <v>2026</v>
      </c>
      <c r="AX2" s="31">
        <f t="shared" si="1"/>
        <v>2027</v>
      </c>
      <c r="AY2" s="31">
        <f t="shared" si="1"/>
        <v>2027</v>
      </c>
      <c r="AZ2" s="31">
        <f t="shared" si="1"/>
        <v>2027</v>
      </c>
      <c r="BA2" s="31">
        <f t="shared" si="1"/>
        <v>2027</v>
      </c>
      <c r="BB2" s="31">
        <f t="shared" si="1"/>
        <v>2027</v>
      </c>
      <c r="BC2" s="31">
        <f t="shared" si="1"/>
        <v>2027</v>
      </c>
      <c r="BD2" s="31">
        <f t="shared" si="1"/>
        <v>2027</v>
      </c>
      <c r="BE2" s="31">
        <f t="shared" si="1"/>
        <v>2027</v>
      </c>
      <c r="BF2" s="31">
        <f t="shared" si="1"/>
        <v>2027</v>
      </c>
      <c r="BG2" s="31">
        <f t="shared" si="1"/>
        <v>2027</v>
      </c>
      <c r="BH2" s="31">
        <f t="shared" si="1"/>
        <v>2027</v>
      </c>
      <c r="BI2" s="31">
        <f t="shared" si="1"/>
        <v>2027</v>
      </c>
      <c r="BJ2" s="31">
        <f t="shared" si="1"/>
        <v>2028</v>
      </c>
      <c r="BK2" s="31">
        <f t="shared" si="1"/>
        <v>2028</v>
      </c>
      <c r="BL2" s="31">
        <f t="shared" si="1"/>
        <v>2028</v>
      </c>
      <c r="BM2" s="31">
        <f t="shared" si="1"/>
        <v>2028</v>
      </c>
      <c r="BN2" s="31">
        <f t="shared" si="1"/>
        <v>2028</v>
      </c>
      <c r="BO2" s="31">
        <f t="shared" si="1"/>
        <v>2028</v>
      </c>
      <c r="BP2" s="31">
        <f t="shared" si="1"/>
        <v>2028</v>
      </c>
      <c r="BQ2" s="31">
        <f t="shared" si="1"/>
        <v>2028</v>
      </c>
      <c r="BR2" s="31">
        <f t="shared" si="1"/>
        <v>2028</v>
      </c>
      <c r="BS2" s="31">
        <f t="shared" si="1"/>
        <v>2028</v>
      </c>
      <c r="BT2" s="31">
        <f t="shared" si="1"/>
        <v>2028</v>
      </c>
      <c r="BU2" s="31">
        <f t="shared" si="1"/>
        <v>2028</v>
      </c>
      <c r="BV2" s="31">
        <f t="shared" si="1"/>
        <v>2029</v>
      </c>
      <c r="BW2" s="31">
        <f t="shared" si="1"/>
        <v>2029</v>
      </c>
      <c r="BX2" s="31">
        <f t="shared" si="1"/>
        <v>2029</v>
      </c>
      <c r="BY2" s="31">
        <f t="shared" si="1"/>
        <v>2029</v>
      </c>
      <c r="BZ2" s="31">
        <f t="shared" si="1"/>
        <v>2029</v>
      </c>
      <c r="CA2" s="31">
        <f t="shared" si="1"/>
        <v>2029</v>
      </c>
      <c r="CB2" s="31">
        <f t="shared" si="1"/>
        <v>2029</v>
      </c>
      <c r="CC2" s="31">
        <f t="shared" si="1"/>
        <v>2029</v>
      </c>
      <c r="CD2" s="31">
        <f t="shared" si="1"/>
        <v>2029</v>
      </c>
      <c r="CE2" s="31">
        <f t="shared" si="1"/>
        <v>2029</v>
      </c>
      <c r="CF2" s="31">
        <f t="shared" si="1"/>
        <v>2029</v>
      </c>
      <c r="CG2" s="31">
        <f t="shared" si="1"/>
        <v>2029</v>
      </c>
      <c r="CH2" s="31">
        <f t="shared" si="1"/>
        <v>2030</v>
      </c>
      <c r="CI2" s="31">
        <f t="shared" si="1"/>
        <v>2030</v>
      </c>
      <c r="CJ2" s="31">
        <f t="shared" si="1"/>
        <v>2030</v>
      </c>
      <c r="CK2" s="31">
        <f t="shared" si="1"/>
        <v>2030</v>
      </c>
      <c r="CL2" s="31">
        <f t="shared" si="1"/>
        <v>2030</v>
      </c>
      <c r="CM2" s="31">
        <f t="shared" si="1"/>
        <v>2030</v>
      </c>
      <c r="CN2" s="31">
        <f t="shared" si="1"/>
        <v>2030</v>
      </c>
      <c r="CO2" s="31">
        <f t="shared" si="1"/>
        <v>2030</v>
      </c>
      <c r="CP2" s="31">
        <f t="shared" si="1"/>
        <v>2030</v>
      </c>
      <c r="CQ2" s="31">
        <f t="shared" si="1"/>
        <v>2030</v>
      </c>
      <c r="CR2" s="31">
        <f t="shared" si="1"/>
        <v>2030</v>
      </c>
      <c r="CS2" s="31">
        <f t="shared" si="1"/>
        <v>2030</v>
      </c>
      <c r="CT2" s="33"/>
      <c r="CU2" s="33"/>
      <c r="CV2" s="33"/>
      <c r="CW2" s="33"/>
      <c r="CX2" s="33"/>
      <c r="CY2" s="33"/>
      <c r="CZ2" s="33"/>
      <c r="DA2" s="33"/>
    </row>
    <row r="3" spans="2:107" x14ac:dyDescent="0.25">
      <c r="B3" s="35" t="s">
        <v>1</v>
      </c>
      <c r="C3" s="36">
        <v>2023</v>
      </c>
      <c r="D3" s="36">
        <v>2024</v>
      </c>
      <c r="E3" s="36">
        <f t="shared" ref="E3:G3" si="2">D3+1</f>
        <v>2025</v>
      </c>
      <c r="F3" s="36">
        <f t="shared" si="2"/>
        <v>2026</v>
      </c>
      <c r="G3" s="36">
        <f t="shared" si="2"/>
        <v>2027</v>
      </c>
      <c r="H3" s="36">
        <f t="shared" ref="H3" si="3">G3+1</f>
        <v>2028</v>
      </c>
      <c r="I3" s="36">
        <f t="shared" ref="I3" si="4">H3+1</f>
        <v>2029</v>
      </c>
      <c r="J3" s="36">
        <f t="shared" ref="J3" si="5">I3+1</f>
        <v>2030</v>
      </c>
      <c r="K3" s="36" t="s">
        <v>97</v>
      </c>
      <c r="L3" s="37"/>
      <c r="M3" s="34"/>
      <c r="N3" s="38">
        <f>Свод_ОФР!F3</f>
        <v>45292</v>
      </c>
      <c r="O3" s="38">
        <f>Свод_ОФР!G3</f>
        <v>45323</v>
      </c>
      <c r="P3" s="38">
        <f>Свод_ОФР!H3</f>
        <v>45352</v>
      </c>
      <c r="Q3" s="38">
        <f>Свод_ОФР!I3</f>
        <v>45383</v>
      </c>
      <c r="R3" s="38">
        <f>Свод_ОФР!J3</f>
        <v>45413</v>
      </c>
      <c r="S3" s="38">
        <f>Свод_ОФР!K3</f>
        <v>45444</v>
      </c>
      <c r="T3" s="38">
        <f>Свод_ОФР!L3</f>
        <v>45474</v>
      </c>
      <c r="U3" s="38">
        <f>Свод_ОФР!M3</f>
        <v>45505</v>
      </c>
      <c r="V3" s="38">
        <f>Свод_ОФР!N3</f>
        <v>45536</v>
      </c>
      <c r="W3" s="38">
        <f>Свод_ОФР!O3</f>
        <v>45566</v>
      </c>
      <c r="X3" s="38">
        <f>Свод_ОФР!P3</f>
        <v>45597</v>
      </c>
      <c r="Y3" s="38">
        <f>Свод_ОФР!Q3</f>
        <v>45627</v>
      </c>
      <c r="Z3" s="38">
        <f>Свод_ОФР!R3</f>
        <v>45658</v>
      </c>
      <c r="AA3" s="38">
        <f>Свод_ОФР!S3</f>
        <v>45689</v>
      </c>
      <c r="AB3" s="38">
        <f>Свод_ОФР!T3</f>
        <v>45717</v>
      </c>
      <c r="AC3" s="38">
        <f>Свод_ОФР!U3</f>
        <v>45748</v>
      </c>
      <c r="AD3" s="38">
        <f>Свод_ОФР!V3</f>
        <v>45778</v>
      </c>
      <c r="AE3" s="38">
        <f>Свод_ОФР!W3</f>
        <v>45809</v>
      </c>
      <c r="AF3" s="38">
        <f>Свод_ОФР!X3</f>
        <v>45839</v>
      </c>
      <c r="AG3" s="38">
        <f>Свод_ОФР!Y3</f>
        <v>45870</v>
      </c>
      <c r="AH3" s="38">
        <f>Свод_ОФР!Z3</f>
        <v>45901</v>
      </c>
      <c r="AI3" s="38">
        <f>Свод_ОФР!AA3</f>
        <v>45931</v>
      </c>
      <c r="AJ3" s="38">
        <f>Свод_ОФР!AB3</f>
        <v>45962</v>
      </c>
      <c r="AK3" s="38">
        <f>Свод_ОФР!AC3</f>
        <v>45992</v>
      </c>
      <c r="AL3" s="38">
        <f>Свод_ОФР!AD3</f>
        <v>46023</v>
      </c>
      <c r="AM3" s="38">
        <f>Свод_ОФР!AE3</f>
        <v>46054</v>
      </c>
      <c r="AN3" s="38">
        <f>Свод_ОФР!AF3</f>
        <v>46082</v>
      </c>
      <c r="AO3" s="38">
        <f>Свод_ОФР!AG3</f>
        <v>46113</v>
      </c>
      <c r="AP3" s="38">
        <f>Свод_ОФР!AH3</f>
        <v>46143</v>
      </c>
      <c r="AQ3" s="38">
        <f>Свод_ОФР!AI3</f>
        <v>46174</v>
      </c>
      <c r="AR3" s="38">
        <f>Свод_ОФР!AJ3</f>
        <v>46204</v>
      </c>
      <c r="AS3" s="38">
        <f>Свод_ОФР!AK3</f>
        <v>46235</v>
      </c>
      <c r="AT3" s="38">
        <f>Свод_ОФР!AL3</f>
        <v>46266</v>
      </c>
      <c r="AU3" s="38">
        <f>Свод_ОФР!AM3</f>
        <v>46296</v>
      </c>
      <c r="AV3" s="38">
        <f>Свод_ОФР!AN3</f>
        <v>46327</v>
      </c>
      <c r="AW3" s="38">
        <f>Свод_ОФР!AO3</f>
        <v>46357</v>
      </c>
      <c r="AX3" s="38">
        <f>Свод_ОФР!AP3</f>
        <v>46388</v>
      </c>
      <c r="AY3" s="38">
        <f>Свод_ОФР!AQ3</f>
        <v>46419</v>
      </c>
      <c r="AZ3" s="38">
        <f>Свод_ОФР!AR3</f>
        <v>46447</v>
      </c>
      <c r="BA3" s="38">
        <f>Свод_ОФР!AS3</f>
        <v>46478</v>
      </c>
      <c r="BB3" s="38">
        <f>Свод_ОФР!AT3</f>
        <v>46508</v>
      </c>
      <c r="BC3" s="38">
        <f>Свод_ОФР!AU3</f>
        <v>46539</v>
      </c>
      <c r="BD3" s="38">
        <f>Свод_ОФР!AV3</f>
        <v>46569</v>
      </c>
      <c r="BE3" s="38">
        <f>Свод_ОФР!AW3</f>
        <v>46600</v>
      </c>
      <c r="BF3" s="38">
        <f>Свод_ОФР!AX3</f>
        <v>46631</v>
      </c>
      <c r="BG3" s="38">
        <f>Свод_ОФР!AY3</f>
        <v>46661</v>
      </c>
      <c r="BH3" s="38">
        <f>Свод_ОФР!AZ3</f>
        <v>46692</v>
      </c>
      <c r="BI3" s="38">
        <f>Свод_ОФР!BA3</f>
        <v>46722</v>
      </c>
      <c r="BJ3" s="38">
        <f>Свод_ОФР!BB3</f>
        <v>46753</v>
      </c>
      <c r="BK3" s="38">
        <f>Свод_ОФР!BC3</f>
        <v>46784</v>
      </c>
      <c r="BL3" s="38">
        <f>Свод_ОФР!BD3</f>
        <v>46813</v>
      </c>
      <c r="BM3" s="38">
        <f>Свод_ОФР!BE3</f>
        <v>46844</v>
      </c>
      <c r="BN3" s="38">
        <f>Свод_ОФР!BF3</f>
        <v>46874</v>
      </c>
      <c r="BO3" s="38">
        <f>Свод_ОФР!BG3</f>
        <v>46905</v>
      </c>
      <c r="BP3" s="38">
        <f>Свод_ОФР!BH3</f>
        <v>46935</v>
      </c>
      <c r="BQ3" s="38">
        <f>Свод_ОФР!BI3</f>
        <v>46966</v>
      </c>
      <c r="BR3" s="38">
        <f>Свод_ОФР!BJ3</f>
        <v>46997</v>
      </c>
      <c r="BS3" s="38">
        <f>Свод_ОФР!BK3</f>
        <v>47027</v>
      </c>
      <c r="BT3" s="38">
        <f>Свод_ОФР!BL3</f>
        <v>47058</v>
      </c>
      <c r="BU3" s="38">
        <f>Свод_ОФР!BM3</f>
        <v>47088</v>
      </c>
      <c r="BV3" s="38">
        <f>Свод_ОФР!BN3</f>
        <v>47119</v>
      </c>
      <c r="BW3" s="38">
        <f>Свод_ОФР!BO3</f>
        <v>47150</v>
      </c>
      <c r="BX3" s="38">
        <f>Свод_ОФР!BP3</f>
        <v>47178</v>
      </c>
      <c r="BY3" s="38">
        <f>Свод_ОФР!BQ3</f>
        <v>47209</v>
      </c>
      <c r="BZ3" s="38">
        <f>Свод_ОФР!BR3</f>
        <v>47239</v>
      </c>
      <c r="CA3" s="38">
        <f>Свод_ОФР!BS3</f>
        <v>47270</v>
      </c>
      <c r="CB3" s="38">
        <f>Свод_ОФР!BT3</f>
        <v>47300</v>
      </c>
      <c r="CC3" s="38">
        <f>Свод_ОФР!BU3</f>
        <v>47331</v>
      </c>
      <c r="CD3" s="38">
        <f>Свод_ОФР!BV3</f>
        <v>47362</v>
      </c>
      <c r="CE3" s="38">
        <f>Свод_ОФР!BW3</f>
        <v>47392</v>
      </c>
      <c r="CF3" s="38">
        <f>Свод_ОФР!BX3</f>
        <v>47423</v>
      </c>
      <c r="CG3" s="38">
        <f>Свод_ОФР!BY3</f>
        <v>47453</v>
      </c>
      <c r="CH3" s="38">
        <f>Свод_ОФР!BZ3</f>
        <v>47484</v>
      </c>
      <c r="CI3" s="38">
        <f>Свод_ОФР!CA3</f>
        <v>47515</v>
      </c>
      <c r="CJ3" s="38">
        <f>Свод_ОФР!CB3</f>
        <v>47543</v>
      </c>
      <c r="CK3" s="38">
        <f>Свод_ОФР!CC3</f>
        <v>47574</v>
      </c>
      <c r="CL3" s="38">
        <f>Свод_ОФР!CD3</f>
        <v>47604</v>
      </c>
      <c r="CM3" s="38">
        <f>Свод_ОФР!CE3</f>
        <v>47635</v>
      </c>
      <c r="CN3" s="38">
        <f>Свод_ОФР!CF3</f>
        <v>47665</v>
      </c>
      <c r="CO3" s="38">
        <f>Свод_ОФР!CG3</f>
        <v>47696</v>
      </c>
      <c r="CP3" s="38">
        <f>Свод_ОФР!CH3</f>
        <v>47727</v>
      </c>
      <c r="CQ3" s="38">
        <f>Свод_ОФР!CI3</f>
        <v>47757</v>
      </c>
      <c r="CR3" s="38">
        <f>Свод_ОФР!CJ3</f>
        <v>47788</v>
      </c>
      <c r="CS3" s="38">
        <f>Свод_ОФР!CK3</f>
        <v>47818</v>
      </c>
      <c r="CT3" s="39"/>
      <c r="CU3" s="39"/>
      <c r="CV3" s="39"/>
      <c r="CW3" s="39"/>
      <c r="CX3" s="39"/>
      <c r="CY3" s="39"/>
      <c r="CZ3" s="39"/>
      <c r="DA3" s="39"/>
      <c r="DB3" s="39"/>
      <c r="DC3" s="33"/>
    </row>
    <row r="4" spans="2:107" outlineLevel="1" x14ac:dyDescent="0.25">
      <c r="B4" s="40" t="s">
        <v>0</v>
      </c>
      <c r="C4" s="148">
        <f>Свод_ОФР!CN4</f>
        <v>336889</v>
      </c>
      <c r="D4" s="41">
        <f>SUMIF($N$2:$CS$2,D$3,$N4:$CS4)</f>
        <v>492893.59600000002</v>
      </c>
      <c r="E4" s="41">
        <f t="shared" ref="E4:H5" si="6">SUMIF($T$2:$CS$2,E$3,$T4:$CS4)</f>
        <v>542682.82290195185</v>
      </c>
      <c r="F4" s="41">
        <f t="shared" si="6"/>
        <v>738142.26498232246</v>
      </c>
      <c r="G4" s="41">
        <f t="shared" si="6"/>
        <v>1551302.2626597949</v>
      </c>
      <c r="H4" s="41">
        <f t="shared" si="6"/>
        <v>1806439.1497048468</v>
      </c>
      <c r="I4" s="41">
        <f t="shared" ref="I4:J5" si="7">SUMIF($T$2:$CS$2,I$3,$T4:$CS4)</f>
        <v>2103679.5840213308</v>
      </c>
      <c r="J4" s="41">
        <f t="shared" si="7"/>
        <v>2406809.3044693936</v>
      </c>
      <c r="K4" s="42">
        <f t="shared" ref="K4:K20" si="8">SUM(C4:J4)</f>
        <v>9978837.9847396389</v>
      </c>
      <c r="L4" s="41"/>
      <c r="M4" s="34"/>
      <c r="N4" s="43">
        <f>Свод_ОФР!F4</f>
        <v>34136.701000000001</v>
      </c>
      <c r="O4" s="43">
        <f>Свод_ОФР!G4</f>
        <v>37066.71</v>
      </c>
      <c r="P4" s="43">
        <f>Свод_ОФР!H4</f>
        <v>34252.171999999999</v>
      </c>
      <c r="Q4" s="43">
        <f>Свод_ОФР!I4</f>
        <v>39736</v>
      </c>
      <c r="R4" s="43">
        <f>Свод_ОФР!J4</f>
        <v>39274.337</v>
      </c>
      <c r="S4" s="43">
        <f>Свод_ОФР!K4</f>
        <v>39882.635000000002</v>
      </c>
      <c r="T4" s="43">
        <f>Свод_ОФР!L4</f>
        <v>45652.648000000001</v>
      </c>
      <c r="U4" s="43">
        <f>Свод_ОФР!M4</f>
        <v>41983.964000000007</v>
      </c>
      <c r="V4" s="43">
        <f>Свод_ОФР!N4</f>
        <v>39774.332999999999</v>
      </c>
      <c r="W4" s="43">
        <f>Свод_ОФР!O4</f>
        <v>46117.8</v>
      </c>
      <c r="X4" s="43">
        <f>Свод_ОФР!P4</f>
        <v>43387.631000000001</v>
      </c>
      <c r="Y4" s="43">
        <f>Свод_ОФР!Q4</f>
        <v>51628.665000000015</v>
      </c>
      <c r="Z4" s="43">
        <f>Свод_ОФР!R4</f>
        <v>36962.749960375892</v>
      </c>
      <c r="AA4" s="43">
        <f>Свод_ОФР!S4</f>
        <v>33932.923865967081</v>
      </c>
      <c r="AB4" s="43">
        <f>Свод_ОФР!T4</f>
        <v>47325.68727042769</v>
      </c>
      <c r="AC4" s="43">
        <f>Свод_ОФР!U4</f>
        <v>37984.726945051967</v>
      </c>
      <c r="AD4" s="43">
        <f>Свод_ОФР!V4</f>
        <v>39091.366601035763</v>
      </c>
      <c r="AE4" s="43">
        <f>Свод_ОФР!W4</f>
        <v>40246.97797931196</v>
      </c>
      <c r="AF4" s="43">
        <f>Свод_ОФР!X4</f>
        <v>52341.823365274919</v>
      </c>
      <c r="AG4" s="43">
        <f>Свод_ОФР!Y4</f>
        <v>50845.843739506585</v>
      </c>
      <c r="AH4" s="43">
        <f>Свод_ОФР!Z4</f>
        <v>51754.045593181821</v>
      </c>
      <c r="AI4" s="43">
        <f>Свод_ОФР!AA4</f>
        <v>48861.884447727272</v>
      </c>
      <c r="AJ4" s="43">
        <f>Свод_ОФР!AB4</f>
        <v>47352.158552272726</v>
      </c>
      <c r="AK4" s="43">
        <f>Свод_ОФР!AC4</f>
        <v>55982.634581818187</v>
      </c>
      <c r="AL4" s="43">
        <f>Свод_ОФР!AD4</f>
        <v>34941.10933376944</v>
      </c>
      <c r="AM4" s="43">
        <f>Свод_ОФР!AE4</f>
        <v>36836.191174612708</v>
      </c>
      <c r="AN4" s="43">
        <f>Свод_ОФР!AF4</f>
        <v>45958.666564058207</v>
      </c>
      <c r="AO4" s="43">
        <f>Свод_ОФР!AG4</f>
        <v>46135.232982954549</v>
      </c>
      <c r="AP4" s="43">
        <f>Свод_ОФР!AH4</f>
        <v>49014.433877282194</v>
      </c>
      <c r="AQ4" s="43">
        <f>Свод_ОФР!AI4</f>
        <v>50766.910622831681</v>
      </c>
      <c r="AR4" s="43">
        <f>Свод_ОФР!AJ4</f>
        <v>54010.751515007971</v>
      </c>
      <c r="AS4" s="43">
        <f>Свод_ОФР!AK4</f>
        <v>72152.01098162854</v>
      </c>
      <c r="AT4" s="43">
        <f>Свод_ОФР!AL4</f>
        <v>80506.540227287536</v>
      </c>
      <c r="AU4" s="43">
        <f>Свод_ОФР!AM4</f>
        <v>80792.210787276941</v>
      </c>
      <c r="AV4" s="43">
        <f>Свод_ОФР!AN4</f>
        <v>85482.693889701361</v>
      </c>
      <c r="AW4" s="43">
        <f>Свод_ОФР!AO4</f>
        <v>101545.51302591132</v>
      </c>
      <c r="AX4" s="43">
        <f>Свод_ОФР!AP4</f>
        <v>88242.907558528415</v>
      </c>
      <c r="AY4" s="43">
        <f>Свод_ОФР!AQ4</f>
        <v>102364.41664165448</v>
      </c>
      <c r="AZ4" s="43">
        <f>Свод_ОФР!AR4</f>
        <v>123150.5729401087</v>
      </c>
      <c r="BA4" s="43">
        <f>Свод_ОФР!AS4</f>
        <v>132531.79973718841</v>
      </c>
      <c r="BB4" s="43">
        <f>Свод_ОФР!AT4</f>
        <v>137922.31037424321</v>
      </c>
      <c r="BC4" s="43">
        <f>Свод_ОФР!AU4</f>
        <v>140683.38597104224</v>
      </c>
      <c r="BD4" s="43">
        <f>Свод_ОФР!AV4</f>
        <v>143501.51695862738</v>
      </c>
      <c r="BE4" s="43">
        <f>Свод_ОФР!AW4</f>
        <v>136565.45404266979</v>
      </c>
      <c r="BF4" s="43">
        <f>Свод_ОФР!AX4</f>
        <v>132630.85249725031</v>
      </c>
      <c r="BG4" s="43">
        <f>Свод_ОФР!AY4</f>
        <v>128827.39681746096</v>
      </c>
      <c r="BH4" s="43">
        <f>Свод_ОФР!AZ4</f>
        <v>122651.49827537751</v>
      </c>
      <c r="BI4" s="43">
        <f>Свод_ОФР!BA4</f>
        <v>162230.15084564363</v>
      </c>
      <c r="BJ4" s="43">
        <f>Свод_ОФР!BB4</f>
        <v>102451.0669527757</v>
      </c>
      <c r="BK4" s="43">
        <f>Свод_ОФР!BC4</f>
        <v>119172.54974627387</v>
      </c>
      <c r="BL4" s="43">
        <f>Свод_ОФР!BD4</f>
        <v>143288.65508966331</v>
      </c>
      <c r="BM4" s="43">
        <f>Свод_ОФР!BE4</f>
        <v>154166.44012110989</v>
      </c>
      <c r="BN4" s="43">
        <f>Свод_ОФР!BF4</f>
        <v>160434.83077105464</v>
      </c>
      <c r="BO4" s="43">
        <f>Свод_ОФР!BG4</f>
        <v>163642.43268171558</v>
      </c>
      <c r="BP4" s="43">
        <f>Свод_ОФР!BH4</f>
        <v>166916.41149790061</v>
      </c>
      <c r="BQ4" s="43">
        <f>Свод_ОФР!BI4</f>
        <v>158870.21615116933</v>
      </c>
      <c r="BR4" s="43">
        <f>Свод_ОФР!BJ4</f>
        <v>154293.45800224098</v>
      </c>
      <c r="BS4" s="43">
        <f>Свод_ОФР!BK4</f>
        <v>149873.34767286811</v>
      </c>
      <c r="BT4" s="43">
        <f>Свод_ОФР!BL4</f>
        <v>144606.29770789907</v>
      </c>
      <c r="BU4" s="43">
        <f>Свод_ОФР!BM4</f>
        <v>188723.44331017573</v>
      </c>
      <c r="BV4" s="43">
        <f>Свод_ОФР!BN4</f>
        <v>119334.6801698817</v>
      </c>
      <c r="BW4" s="43">
        <f>Свод_ОФР!BO4</f>
        <v>138700.79690976976</v>
      </c>
      <c r="BX4" s="43">
        <f>Свод_ОФР!BP4</f>
        <v>166678.07042315361</v>
      </c>
      <c r="BY4" s="43">
        <f>Свод_ОФР!BQ4</f>
        <v>179288.2062712232</v>
      </c>
      <c r="BZ4" s="43">
        <f>Свод_ОФР!BR4</f>
        <v>186576.94266905898</v>
      </c>
      <c r="CA4" s="43">
        <f>Свод_ОФР!BS4</f>
        <v>190307.41739483745</v>
      </c>
      <c r="CB4" s="43">
        <f>Свод_ОФР!BT4</f>
        <v>194115.14894100989</v>
      </c>
      <c r="CC4" s="43">
        <f>Свод_ОФР!BU4</f>
        <v>184784.99063869976</v>
      </c>
      <c r="CD4" s="43">
        <f>Свод_ОФР!BV4</f>
        <v>179465.24950011514</v>
      </c>
      <c r="CE4" s="43">
        <f>Свод_ОФР!BW4</f>
        <v>176674.20853544131</v>
      </c>
      <c r="CF4" s="43">
        <f>Свод_ОФР!BX4</f>
        <v>168212.46802952612</v>
      </c>
      <c r="CG4" s="43">
        <f>Свод_ОФР!BY4</f>
        <v>219541.4045386138</v>
      </c>
      <c r="CH4" s="43">
        <f>Свод_ОФР!BZ4</f>
        <v>135833.53028808866</v>
      </c>
      <c r="CI4" s="43">
        <f>Свод_ОФР!CA4</f>
        <v>158151.97083859699</v>
      </c>
      <c r="CJ4" s="43">
        <f>Свод_ОФР!CB4</f>
        <v>190292.70484886886</v>
      </c>
      <c r="CK4" s="43">
        <f>Свод_ОФР!CC4</f>
        <v>204834.39259939996</v>
      </c>
      <c r="CL4" s="43">
        <f>Свод_ОФР!CD4</f>
        <v>213193.58589295667</v>
      </c>
      <c r="CM4" s="43">
        <f>Свод_ОФР!CE4</f>
        <v>217509.69370991446</v>
      </c>
      <c r="CN4" s="43">
        <f>Свод_ОФР!CF4</f>
        <v>221915.96446980617</v>
      </c>
      <c r="CO4" s="43">
        <f>Свод_ОФР!CG4</f>
        <v>211259.79737112811</v>
      </c>
      <c r="CP4" s="43">
        <f>Свод_ОФР!CH4</f>
        <v>208056.22521844675</v>
      </c>
      <c r="CQ4" s="43">
        <f>Свод_ОФР!CI4</f>
        <v>202132.67383172901</v>
      </c>
      <c r="CR4" s="43">
        <f>Свод_ОФР!CJ4</f>
        <v>192489.0229402922</v>
      </c>
      <c r="CS4" s="43">
        <f>Свод_ОФР!CK4</f>
        <v>251139.74246016546</v>
      </c>
      <c r="CT4" s="43"/>
      <c r="CU4" s="43"/>
      <c r="CV4" s="43"/>
      <c r="CW4" s="43"/>
      <c r="CX4" s="43"/>
      <c r="CY4" s="43"/>
      <c r="CZ4" s="43"/>
      <c r="DA4" s="43"/>
      <c r="DB4" s="43"/>
      <c r="DC4" s="43"/>
    </row>
    <row r="5" spans="2:107" outlineLevel="1" x14ac:dyDescent="0.25">
      <c r="B5" s="40" t="s">
        <v>98</v>
      </c>
      <c r="C5" s="149">
        <f>Свод_ОФР!CN6</f>
        <v>-209703</v>
      </c>
      <c r="D5" s="149">
        <f>SUMIF($N$2:$CS$2,D$3,$N5:$CS5)</f>
        <v>-331668.20303414296</v>
      </c>
      <c r="E5" s="149">
        <f t="shared" si="6"/>
        <v>-362369.8806919746</v>
      </c>
      <c r="F5" s="149">
        <f t="shared" si="6"/>
        <v>-477193.14479613653</v>
      </c>
      <c r="G5" s="149">
        <f t="shared" si="6"/>
        <v>-1051636.2833386275</v>
      </c>
      <c r="H5" s="149">
        <f t="shared" si="6"/>
        <v>-1220773.7883990898</v>
      </c>
      <c r="I5" s="149">
        <f t="shared" si="7"/>
        <v>-1407453.6212752182</v>
      </c>
      <c r="J5" s="149">
        <f t="shared" si="7"/>
        <v>-1603386.5878669501</v>
      </c>
      <c r="K5" s="42">
        <f>SUM(C5:J5)</f>
        <v>-6664184.50940214</v>
      </c>
      <c r="L5" s="41"/>
      <c r="M5" s="34"/>
      <c r="N5" s="11">
        <f>Свод_ОФР!F6</f>
        <v>-23332.105307619997</v>
      </c>
      <c r="O5" s="11">
        <f>Свод_ОФР!G6</f>
        <v>-24350.853333265</v>
      </c>
      <c r="P5" s="11">
        <f>Свод_ОФР!H6</f>
        <v>-22273.403403264998</v>
      </c>
      <c r="Q5" s="11">
        <f>Свод_ОФР!I6</f>
        <v>-26399.856359155998</v>
      </c>
      <c r="R5" s="11">
        <f>Свод_ОФР!J6</f>
        <v>-26089.145913998</v>
      </c>
      <c r="S5" s="11">
        <f>Свод_ОФР!K6</f>
        <v>-27045.949128797001</v>
      </c>
      <c r="T5" s="11">
        <f>Свод_ОФР!L6</f>
        <v>-30249.501827870998</v>
      </c>
      <c r="U5" s="11">
        <f>Свод_ОФР!M6</f>
        <v>-28942.327116255998</v>
      </c>
      <c r="V5" s="11">
        <f>Свод_ОФР!N6</f>
        <v>-27293.007952319</v>
      </c>
      <c r="W5" s="11">
        <f>Свод_ОФР!O6</f>
        <v>-31729.796893042992</v>
      </c>
      <c r="X5" s="11">
        <f>Свод_ОФР!P6</f>
        <v>-28982.587360264999</v>
      </c>
      <c r="Y5" s="11">
        <f>Свод_ОФР!Q6</f>
        <v>-34979.668438288005</v>
      </c>
      <c r="Z5" s="11">
        <f>Свод_ОФР!R6</f>
        <v>-25062.969696969696</v>
      </c>
      <c r="AA5" s="11">
        <f>Свод_ОФР!S6</f>
        <v>-26249.060606060604</v>
      </c>
      <c r="AB5" s="11">
        <f>Свод_ОФР!T6</f>
        <v>-27075.553030303032</v>
      </c>
      <c r="AC5" s="11">
        <f>Свод_ОФР!U6</f>
        <v>-27339.719696969696</v>
      </c>
      <c r="AD5" s="11">
        <f>Свод_ОФР!V6</f>
        <v>-27491.67413530303</v>
      </c>
      <c r="AE5" s="11">
        <f>Свод_ОФР!W6</f>
        <v>-28030.43106530303</v>
      </c>
      <c r="AF5" s="11">
        <f>Свод_ОФР!X6</f>
        <v>-37622.642919523671</v>
      </c>
      <c r="AG5" s="11">
        <f>Свод_ОФР!Y6</f>
        <v>-36597.528406782956</v>
      </c>
      <c r="AH5" s="11">
        <f>Свод_ОФР!Z6</f>
        <v>-37018.913962540653</v>
      </c>
      <c r="AI5" s="11">
        <f>Свод_ОФР!AA6</f>
        <v>-28963.297870496968</v>
      </c>
      <c r="AJ5" s="11">
        <f>Свод_ОФР!AB6</f>
        <v>-27958.667956862126</v>
      </c>
      <c r="AK5" s="11">
        <f>Свод_ОФР!AC6</f>
        <v>-32959.421344859104</v>
      </c>
      <c r="AL5" s="11">
        <f>Свод_ОФР!AD6</f>
        <v>-22929.47783560606</v>
      </c>
      <c r="AM5" s="11">
        <f>Свод_ОФР!AE6</f>
        <v>-24252.302371060599</v>
      </c>
      <c r="AN5" s="11">
        <f>Свод_ОФР!AF6</f>
        <v>-30226.894568030297</v>
      </c>
      <c r="AO5" s="11">
        <f>Свод_ОФР!AG6</f>
        <v>-30371.531467859848</v>
      </c>
      <c r="AP5" s="11">
        <f>Свод_ОФР!AH6</f>
        <v>-31902.634091748958</v>
      </c>
      <c r="AQ5" s="11">
        <f>Свод_ОФР!AI6</f>
        <v>-33039.251125329785</v>
      </c>
      <c r="AR5" s="11">
        <f>Свод_ОФР!AJ6</f>
        <v>-35135.395010151289</v>
      </c>
      <c r="AS5" s="11">
        <f>Свод_ОФР!AK6</f>
        <v>-45152.884009114212</v>
      </c>
      <c r="AT5" s="11">
        <f>Свод_ОФР!AL6</f>
        <v>-51021.971269367867</v>
      </c>
      <c r="AU5" s="11">
        <f>Свод_ОФР!AM6</f>
        <v>-51784.228289629173</v>
      </c>
      <c r="AV5" s="11">
        <f>Свод_ОФР!AN6</f>
        <v>-55604.573110160942</v>
      </c>
      <c r="AW5" s="11">
        <f>Свод_ОФР!AO6</f>
        <v>-65772.001648077479</v>
      </c>
      <c r="AX5" s="11">
        <f>Свод_ОФР!AP6</f>
        <v>-57025.688971346164</v>
      </c>
      <c r="AY5" s="11">
        <f>Свод_ОФР!AQ6</f>
        <v>-67156.368376528262</v>
      </c>
      <c r="AZ5" s="11">
        <f>Свод_ОФР!AR6</f>
        <v>-83037.143821799837</v>
      </c>
      <c r="BA5" s="11">
        <f>Свод_ОФР!AS6</f>
        <v>-90541.213064850715</v>
      </c>
      <c r="BB5" s="11">
        <f>Свод_ОФР!AT6</f>
        <v>-94225.050415047648</v>
      </c>
      <c r="BC5" s="11">
        <f>Свод_ОФР!AU6</f>
        <v>-97104.117985627658</v>
      </c>
      <c r="BD5" s="11">
        <f>Свод_ОФР!AV6</f>
        <v>-98905.963627037898</v>
      </c>
      <c r="BE5" s="11">
        <f>Свод_ОФР!AW6</f>
        <v>-92717.068177245208</v>
      </c>
      <c r="BF5" s="11">
        <f>Свод_ОФР!AX6</f>
        <v>-90038.30770450733</v>
      </c>
      <c r="BG5" s="11">
        <f>Свод_ОФР!AY6</f>
        <v>-87447.672867669986</v>
      </c>
      <c r="BH5" s="11">
        <f>Свод_ОФР!AZ6</f>
        <v>-83243.878034704394</v>
      </c>
      <c r="BI5" s="11">
        <f>Свод_ОФР!BA6</f>
        <v>-110193.8102922625</v>
      </c>
      <c r="BJ5" s="11">
        <f>Свод_ОФР!BB6</f>
        <v>-64436.362013630256</v>
      </c>
      <c r="BK5" s="11">
        <f>Свод_ОФР!BC6</f>
        <v>-78043.974786753577</v>
      </c>
      <c r="BL5" s="11">
        <f>Свод_ОФР!BD6</f>
        <v>-97348.964280833112</v>
      </c>
      <c r="BM5" s="11">
        <f>Свод_ОФР!BE6</f>
        <v>-105568.54053228418</v>
      </c>
      <c r="BN5" s="11">
        <f>Свод_ОФР!BF6</f>
        <v>-109572.58328031826</v>
      </c>
      <c r="BO5" s="11">
        <f>Свод_ОФР!BG6</f>
        <v>-111620.57849779309</v>
      </c>
      <c r="BP5" s="11">
        <f>Свод_ОФР!BH6</f>
        <v>-113710.86592810045</v>
      </c>
      <c r="BQ5" s="11">
        <f>Свод_ОФР!BI6</f>
        <v>-107904.53343669779</v>
      </c>
      <c r="BR5" s="11">
        <f>Свод_ОФР!BJ6</f>
        <v>-104996.00453484907</v>
      </c>
      <c r="BS5" s="11">
        <f>Свод_ОФР!BK6</f>
        <v>-102186.217895965</v>
      </c>
      <c r="BT5" s="11">
        <f>Свод_ОФР!BL6</f>
        <v>-98550.029203896047</v>
      </c>
      <c r="BU5" s="11">
        <f>Свод_ОФР!BM6</f>
        <v>-126835.13400796914</v>
      </c>
      <c r="BV5" s="11">
        <f>Свод_ОФР!BN6</f>
        <v>-74932.130356142326</v>
      </c>
      <c r="BW5" s="11">
        <f>Свод_ОФР!BO6</f>
        <v>-90679.691531878212</v>
      </c>
      <c r="BX5" s="11">
        <f>Свод_ОФР!BP6</f>
        <v>-111912.52965713039</v>
      </c>
      <c r="BY5" s="11">
        <f>Свод_ОФР!BQ6</f>
        <v>-121430.90294540302</v>
      </c>
      <c r="BZ5" s="11">
        <f>Свод_ОФР!BR6</f>
        <v>-126079.87446237539</v>
      </c>
      <c r="CA5" s="11">
        <f>Свод_ОФР!BS6</f>
        <v>-128458.16733852105</v>
      </c>
      <c r="CB5" s="11">
        <f>Свод_ОФР!BT6</f>
        <v>-130885.60697346297</v>
      </c>
      <c r="CC5" s="11">
        <f>Свод_ОФР!BU6</f>
        <v>-124160.47257591697</v>
      </c>
      <c r="CD5" s="11">
        <f>Свод_ОФР!BV6</f>
        <v>-120784.59779167089</v>
      </c>
      <c r="CE5" s="11">
        <f>Свод_ОФР!BW6</f>
        <v>-118659.12482892758</v>
      </c>
      <c r="CF5" s="11">
        <f>Свод_ОФР!BX6</f>
        <v>-113307.75557265391</v>
      </c>
      <c r="CG5" s="11">
        <f>Свод_ОФР!BY6</f>
        <v>-146162.76724113541</v>
      </c>
      <c r="CH5" s="11">
        <f>Свод_ОФР!BZ6</f>
        <v>-85445.14197635297</v>
      </c>
      <c r="CI5" s="11">
        <f>Свод_ОФР!CA6</f>
        <v>-103921.82867282903</v>
      </c>
      <c r="CJ5" s="11">
        <f>Свод_ОФР!CB6</f>
        <v>-127058.42969238068</v>
      </c>
      <c r="CK5" s="11">
        <f>Свод_ОФР!CC6</f>
        <v>-138043.85660801886</v>
      </c>
      <c r="CL5" s="11">
        <f>Свод_ОФР!CD6</f>
        <v>-143385.6346217884</v>
      </c>
      <c r="CM5" s="11">
        <f>Свод_ОФР!CE6</f>
        <v>-146139.19663126543</v>
      </c>
      <c r="CN5" s="11">
        <f>Свод_ОФР!CF6</f>
        <v>-148950.05309447245</v>
      </c>
      <c r="CO5" s="11">
        <f>Свод_ОФР!CG6</f>
        <v>-141242.20772440534</v>
      </c>
      <c r="CP5" s="11">
        <f>Свод_ОФР!CH6</f>
        <v>-138768.83108435516</v>
      </c>
      <c r="CQ5" s="11">
        <f>Свод_ОФР!CI6</f>
        <v>-135007.17334653222</v>
      </c>
      <c r="CR5" s="11">
        <f>Свод_ОФР!CJ6</f>
        <v>-128888.84050329664</v>
      </c>
      <c r="CS5" s="11">
        <f>Свод_ОФР!CK6</f>
        <v>-166535.39391125299</v>
      </c>
      <c r="CT5" s="41"/>
      <c r="CU5" s="41"/>
      <c r="CV5" s="41"/>
      <c r="CW5" s="41"/>
      <c r="CX5" s="41"/>
      <c r="CY5" s="41"/>
      <c r="CZ5" s="41"/>
      <c r="DA5" s="41"/>
      <c r="DB5" s="41"/>
      <c r="DC5" s="41"/>
    </row>
    <row r="6" spans="2:107" outlineLevel="1" x14ac:dyDescent="0.25">
      <c r="B6" s="44" t="s">
        <v>99</v>
      </c>
      <c r="C6" s="45">
        <f>C4+C5</f>
        <v>127186</v>
      </c>
      <c r="D6" s="45">
        <f>D4+D5</f>
        <v>161225.39296585706</v>
      </c>
      <c r="E6" s="45">
        <f t="shared" ref="E6" si="9">E4+E5</f>
        <v>180312.94220997725</v>
      </c>
      <c r="F6" s="45">
        <f t="shared" ref="F6:G6" si="10">F4+F5</f>
        <v>260949.12018618593</v>
      </c>
      <c r="G6" s="45">
        <f t="shared" si="10"/>
        <v>499665.97932116734</v>
      </c>
      <c r="H6" s="45">
        <f t="shared" ref="H6" si="11">H4+H5</f>
        <v>585665.36130575696</v>
      </c>
      <c r="I6" s="45">
        <f t="shared" ref="I6:J6" si="12">I4+I5</f>
        <v>696225.96274611261</v>
      </c>
      <c r="J6" s="45">
        <f t="shared" si="12"/>
        <v>803422.71660244348</v>
      </c>
      <c r="K6" s="46">
        <f t="shared" si="8"/>
        <v>3314653.4753375007</v>
      </c>
      <c r="L6" s="45"/>
      <c r="M6" s="34"/>
      <c r="N6" s="45">
        <f t="shared" ref="N6" si="13">N4+N5</f>
        <v>10804.595692380004</v>
      </c>
      <c r="O6" s="45">
        <f t="shared" ref="O6:S6" si="14">O4+O5</f>
        <v>12715.856666734999</v>
      </c>
      <c r="P6" s="45">
        <f t="shared" si="14"/>
        <v>11978.768596735001</v>
      </c>
      <c r="Q6" s="45">
        <f t="shared" si="14"/>
        <v>13336.143640844002</v>
      </c>
      <c r="R6" s="45">
        <f t="shared" si="14"/>
        <v>13185.191086002</v>
      </c>
      <c r="S6" s="45">
        <f t="shared" si="14"/>
        <v>12836.685871203001</v>
      </c>
      <c r="T6" s="45">
        <f t="shared" ref="T6:AT6" si="15">T4+T5</f>
        <v>15403.146172129003</v>
      </c>
      <c r="U6" s="45">
        <f t="shared" si="15"/>
        <v>13041.63688374401</v>
      </c>
      <c r="V6" s="45">
        <f t="shared" si="15"/>
        <v>12481.325047680999</v>
      </c>
      <c r="W6" s="45">
        <f t="shared" si="15"/>
        <v>14388.00310695701</v>
      </c>
      <c r="X6" s="45">
        <f t="shared" si="15"/>
        <v>14405.043639735002</v>
      </c>
      <c r="Y6" s="45">
        <f t="shared" si="15"/>
        <v>16648.996561712011</v>
      </c>
      <c r="Z6" s="45">
        <f t="shared" si="15"/>
        <v>11899.780263406195</v>
      </c>
      <c r="AA6" s="45">
        <f t="shared" si="15"/>
        <v>7683.8632599064767</v>
      </c>
      <c r="AB6" s="45">
        <f t="shared" si="15"/>
        <v>20250.134240124658</v>
      </c>
      <c r="AC6" s="45">
        <f t="shared" si="15"/>
        <v>10645.007248082271</v>
      </c>
      <c r="AD6" s="45">
        <f t="shared" si="15"/>
        <v>11599.692465732733</v>
      </c>
      <c r="AE6" s="45">
        <f t="shared" si="15"/>
        <v>12216.54691400893</v>
      </c>
      <c r="AF6" s="45">
        <f t="shared" si="15"/>
        <v>14719.180445751248</v>
      </c>
      <c r="AG6" s="45">
        <f t="shared" si="15"/>
        <v>14248.315332723629</v>
      </c>
      <c r="AH6" s="45">
        <f t="shared" si="15"/>
        <v>14735.131630641168</v>
      </c>
      <c r="AI6" s="45">
        <f t="shared" si="15"/>
        <v>19898.586577230304</v>
      </c>
      <c r="AJ6" s="45">
        <f t="shared" si="15"/>
        <v>19393.4905954106</v>
      </c>
      <c r="AK6" s="45">
        <f t="shared" si="15"/>
        <v>23023.213236959084</v>
      </c>
      <c r="AL6" s="45">
        <f t="shared" si="15"/>
        <v>12011.63149816338</v>
      </c>
      <c r="AM6" s="45">
        <f t="shared" si="15"/>
        <v>12583.888803552109</v>
      </c>
      <c r="AN6" s="45">
        <f t="shared" si="15"/>
        <v>15731.77199602791</v>
      </c>
      <c r="AO6" s="45">
        <f t="shared" si="15"/>
        <v>15763.701515094701</v>
      </c>
      <c r="AP6" s="45">
        <f t="shared" si="15"/>
        <v>17111.799785533236</v>
      </c>
      <c r="AQ6" s="45">
        <f t="shared" si="15"/>
        <v>17727.659497501896</v>
      </c>
      <c r="AR6" s="45">
        <f t="shared" si="15"/>
        <v>18875.356504856682</v>
      </c>
      <c r="AS6" s="45">
        <f t="shared" si="15"/>
        <v>26999.126972514328</v>
      </c>
      <c r="AT6" s="45">
        <f t="shared" si="15"/>
        <v>29484.56895791967</v>
      </c>
      <c r="AU6" s="45">
        <f t="shared" ref="AU6:BB6" si="16">AU4+AU5</f>
        <v>29007.982497647768</v>
      </c>
      <c r="AV6" s="45">
        <f t="shared" si="16"/>
        <v>29878.120779540419</v>
      </c>
      <c r="AW6" s="45">
        <f t="shared" si="16"/>
        <v>35773.511377833842</v>
      </c>
      <c r="AX6" s="45">
        <f t="shared" si="16"/>
        <v>31217.218587182251</v>
      </c>
      <c r="AY6" s="45">
        <f t="shared" si="16"/>
        <v>35208.048265126214</v>
      </c>
      <c r="AZ6" s="45">
        <f t="shared" si="16"/>
        <v>40113.429118308864</v>
      </c>
      <c r="BA6" s="45">
        <f t="shared" si="16"/>
        <v>41990.586672337697</v>
      </c>
      <c r="BB6" s="45">
        <f t="shared" si="16"/>
        <v>43697.259959195566</v>
      </c>
      <c r="BC6" s="45">
        <f t="shared" ref="BC6:BZ6" si="17">BC4+BC5</f>
        <v>43579.267985414583</v>
      </c>
      <c r="BD6" s="45">
        <f t="shared" si="17"/>
        <v>44595.553331589486</v>
      </c>
      <c r="BE6" s="45">
        <f t="shared" si="17"/>
        <v>43848.385865424585</v>
      </c>
      <c r="BF6" s="45">
        <f t="shared" si="17"/>
        <v>42592.544792742978</v>
      </c>
      <c r="BG6" s="45">
        <f t="shared" si="17"/>
        <v>41379.723949790976</v>
      </c>
      <c r="BH6" s="45">
        <f t="shared" si="17"/>
        <v>39407.620240673117</v>
      </c>
      <c r="BI6" s="45">
        <f t="shared" si="17"/>
        <v>52036.340553381131</v>
      </c>
      <c r="BJ6" s="45">
        <f t="shared" si="17"/>
        <v>38014.704939145442</v>
      </c>
      <c r="BK6" s="45">
        <f t="shared" si="17"/>
        <v>41128.574959520294</v>
      </c>
      <c r="BL6" s="45">
        <f t="shared" si="17"/>
        <v>45939.690808830201</v>
      </c>
      <c r="BM6" s="45">
        <f t="shared" si="17"/>
        <v>48597.899588825705</v>
      </c>
      <c r="BN6" s="45">
        <f t="shared" si="17"/>
        <v>50862.247490736379</v>
      </c>
      <c r="BO6" s="45">
        <f t="shared" si="17"/>
        <v>52021.854183922493</v>
      </c>
      <c r="BP6" s="45">
        <f t="shared" si="17"/>
        <v>53205.545569800161</v>
      </c>
      <c r="BQ6" s="45">
        <f t="shared" si="17"/>
        <v>50965.682714471535</v>
      </c>
      <c r="BR6" s="45">
        <f t="shared" si="17"/>
        <v>49297.453467391912</v>
      </c>
      <c r="BS6" s="45">
        <f t="shared" si="17"/>
        <v>47687.129776903108</v>
      </c>
      <c r="BT6" s="45">
        <f t="shared" si="17"/>
        <v>46056.268504003019</v>
      </c>
      <c r="BU6" s="45">
        <f t="shared" si="17"/>
        <v>61888.309302206588</v>
      </c>
      <c r="BV6" s="45">
        <f t="shared" si="17"/>
        <v>44402.549813739373</v>
      </c>
      <c r="BW6" s="45">
        <f t="shared" si="17"/>
        <v>48021.105377891552</v>
      </c>
      <c r="BX6" s="45">
        <f t="shared" si="17"/>
        <v>54765.540766023216</v>
      </c>
      <c r="BY6" s="45">
        <f t="shared" si="17"/>
        <v>57857.303325820176</v>
      </c>
      <c r="BZ6" s="45">
        <f t="shared" si="17"/>
        <v>60497.068206683587</v>
      </c>
      <c r="CA6" s="45">
        <f t="shared" ref="CA6:CD6" si="18">CA4+CA5</f>
        <v>61849.250056316407</v>
      </c>
      <c r="CB6" s="45">
        <f t="shared" si="18"/>
        <v>63229.541967546917</v>
      </c>
      <c r="CC6" s="45">
        <f t="shared" si="18"/>
        <v>60624.518062782794</v>
      </c>
      <c r="CD6" s="45">
        <f t="shared" si="18"/>
        <v>58680.651708444246</v>
      </c>
      <c r="CE6" s="45">
        <f t="shared" ref="CE6:CF6" si="19">CE4+CE5</f>
        <v>58015.083706513731</v>
      </c>
      <c r="CF6" s="45">
        <f t="shared" si="19"/>
        <v>54904.712456872207</v>
      </c>
      <c r="CG6" s="45">
        <f t="shared" ref="CG6:CS6" si="20">CG4+CG5</f>
        <v>73378.637297478388</v>
      </c>
      <c r="CH6" s="45">
        <f t="shared" si="20"/>
        <v>50388.388311735689</v>
      </c>
      <c r="CI6" s="45">
        <f t="shared" si="20"/>
        <v>54230.14216576796</v>
      </c>
      <c r="CJ6" s="45">
        <f t="shared" si="20"/>
        <v>63234.275156488176</v>
      </c>
      <c r="CK6" s="45">
        <f t="shared" si="20"/>
        <v>66790.535991381097</v>
      </c>
      <c r="CL6" s="45">
        <f t="shared" si="20"/>
        <v>69807.951271168276</v>
      </c>
      <c r="CM6" s="45">
        <f t="shared" si="20"/>
        <v>71370.49707864903</v>
      </c>
      <c r="CN6" s="45">
        <f t="shared" si="20"/>
        <v>72965.91137533373</v>
      </c>
      <c r="CO6" s="45">
        <f t="shared" si="20"/>
        <v>70017.589646722772</v>
      </c>
      <c r="CP6" s="45">
        <f t="shared" si="20"/>
        <v>69287.394134091592</v>
      </c>
      <c r="CQ6" s="45">
        <f t="shared" si="20"/>
        <v>67125.500485196797</v>
      </c>
      <c r="CR6" s="45">
        <f t="shared" si="20"/>
        <v>63600.182436995558</v>
      </c>
      <c r="CS6" s="45">
        <f t="shared" si="20"/>
        <v>84604.348548912472</v>
      </c>
      <c r="CT6" s="45"/>
      <c r="CU6" s="45"/>
      <c r="CV6" s="45"/>
      <c r="CW6" s="45"/>
      <c r="CX6" s="45"/>
      <c r="CY6" s="45"/>
      <c r="CZ6" s="45"/>
      <c r="DA6" s="45"/>
      <c r="DB6" s="45"/>
      <c r="DC6" s="45"/>
    </row>
    <row r="7" spans="2:107" outlineLevel="1" x14ac:dyDescent="0.25">
      <c r="B7" s="40" t="s">
        <v>100</v>
      </c>
      <c r="C7" s="149">
        <f>Свод_ОФР!CN12</f>
        <v>-104111</v>
      </c>
      <c r="D7" s="149">
        <f>SUMIF($N$2:$CS$2,D$3,$N7:$CS7)</f>
        <v>-94033.786024999979</v>
      </c>
      <c r="E7" s="149">
        <f t="shared" ref="E7:H8" si="21">SUMIF($T$2:$CS$2,E$3,$T7:$CS7)</f>
        <v>-102470.70665193371</v>
      </c>
      <c r="F7" s="149">
        <f t="shared" si="21"/>
        <v>-140148.1102243292</v>
      </c>
      <c r="G7" s="149">
        <f t="shared" si="21"/>
        <v>-187045.95076592447</v>
      </c>
      <c r="H7" s="149">
        <f t="shared" si="21"/>
        <v>-209547.58989037419</v>
      </c>
      <c r="I7" s="149">
        <f t="shared" ref="I7:J8" si="22">SUMIF($T$2:$CS$2,I$3,$T7:$CS7)</f>
        <v>-234606.49482101883</v>
      </c>
      <c r="J7" s="149">
        <f t="shared" si="22"/>
        <v>-257726.33722418151</v>
      </c>
      <c r="K7" s="42">
        <f t="shared" si="8"/>
        <v>-1329689.9756027621</v>
      </c>
      <c r="L7" s="41"/>
      <c r="M7" s="34"/>
      <c r="N7" s="11">
        <f>Свод_ОФР!F11+Свод_ОФР!F12</f>
        <v>-8220.9046033466293</v>
      </c>
      <c r="O7" s="11">
        <f>Свод_ОФР!G11+Свод_ОФР!G12</f>
        <v>-7018.6924104610998</v>
      </c>
      <c r="P7" s="11">
        <f>Свод_ОФР!H11+Свод_ОФР!H12</f>
        <v>-7617.8074303290559</v>
      </c>
      <c r="Q7" s="11">
        <f>Свод_ОФР!I11+Свод_ОФР!I12</f>
        <v>-7709.6646996547061</v>
      </c>
      <c r="R7" s="11">
        <f>Свод_ОФР!J11+Свод_ОФР!J12</f>
        <v>-7454.1762256165739</v>
      </c>
      <c r="S7" s="11">
        <f>Свод_ОФР!K11+Свод_ОФР!K12</f>
        <v>-8071.0895248993502</v>
      </c>
      <c r="T7" s="11">
        <f>Свод_ОФР!L11+Свод_ОФР!L12</f>
        <v>-8545.1392261959427</v>
      </c>
      <c r="U7" s="11">
        <f>Свод_ОФР!M11+Свод_ОФР!M12</f>
        <v>-7188.3974356099916</v>
      </c>
      <c r="V7" s="11">
        <f>Свод_ОФР!N11+Свод_ОФР!N12</f>
        <v>-6847.3724378558263</v>
      </c>
      <c r="W7" s="11">
        <f>Свод_ОФР!O11+Свод_ОФР!O12</f>
        <v>-9267.7992223879046</v>
      </c>
      <c r="X7" s="11">
        <f>Свод_ОФР!P11+Свод_ОФР!P12</f>
        <v>-7621.7994766673964</v>
      </c>
      <c r="Y7" s="11">
        <f>Свод_ОФР!Q11+Свод_ОФР!Q12</f>
        <v>-8470.9433319755244</v>
      </c>
      <c r="Z7" s="11">
        <f>Свод_ОФР!R11+Свод_ОФР!R12</f>
        <v>-8374.8665826400011</v>
      </c>
      <c r="AA7" s="11">
        <f>Свод_ОФР!S11+Свод_ОФР!S12</f>
        <v>-6476.2125749333336</v>
      </c>
      <c r="AB7" s="11">
        <f>Свод_ОФР!T11+Свод_ОФР!T12</f>
        <v>-6725.7124610000001</v>
      </c>
      <c r="AC7" s="11">
        <f>Свод_ОФР!U11+Свод_ОФР!U12</f>
        <v>-8109.0190773433333</v>
      </c>
      <c r="AD7" s="11">
        <f>Свод_ОФР!V11+Свод_ОФР!V12</f>
        <v>-7041.8756945800014</v>
      </c>
      <c r="AE7" s="11">
        <f>Свод_ОФР!W11+Свод_ОФР!W12</f>
        <v>-7669.3467944766671</v>
      </c>
      <c r="AF7" s="11">
        <f>Свод_ОФР!X11+Свод_ОФР!X12</f>
        <v>-10164.052343435043</v>
      </c>
      <c r="AG7" s="11">
        <f>Свод_ОФР!Y11+Свод_ОФР!Y12</f>
        <v>-9950.0909797939221</v>
      </c>
      <c r="AH7" s="11">
        <f>Свод_ОФР!Z11+Свод_ОФР!Z12</f>
        <v>-9993.1100320639125</v>
      </c>
      <c r="AI7" s="11">
        <f>Свод_ОФР!AA11+Свод_ОФР!AA12</f>
        <v>-9181.3611270577276</v>
      </c>
      <c r="AJ7" s="11">
        <f>Свод_ОФР!AB11+Свод_ОФР!AB12</f>
        <v>-9064.7105780553065</v>
      </c>
      <c r="AK7" s="11">
        <f>Свод_ОФР!AC11+Свод_ОФР!AC12</f>
        <v>-9720.3484065544562</v>
      </c>
      <c r="AL7" s="11">
        <f>Свод_ОФР!AD11+Свод_ОФР!AD12</f>
        <v>-8603.9319006149526</v>
      </c>
      <c r="AM7" s="11">
        <f>Свод_ОФР!AE11+Свод_ОФР!AE12</f>
        <v>-8788.7697145455004</v>
      </c>
      <c r="AN7" s="11">
        <f>Свод_ОФР!AF11+Свод_ОФР!AF12</f>
        <v>-9612.4397873469788</v>
      </c>
      <c r="AO7" s="11">
        <f>Свод_ОФР!AG11+Свод_ОФР!AG12</f>
        <v>-9598.9162641089715</v>
      </c>
      <c r="AP7" s="11">
        <f>Свод_ОФР!AH11+Свод_ОФР!AH12</f>
        <v>-10258.721519262295</v>
      </c>
      <c r="AQ7" s="11">
        <f>Свод_ОФР!AI11+Свод_ОФР!AI12</f>
        <v>-10857.289866950867</v>
      </c>
      <c r="AR7" s="11">
        <f>Свод_ОФР!AJ11+Свод_ОФР!AJ12</f>
        <v>-12135.429014972909</v>
      </c>
      <c r="AS7" s="11">
        <f>Свод_ОФР!AK11+Свод_ОФР!AK12</f>
        <v>-13833.479068278762</v>
      </c>
      <c r="AT7" s="11">
        <f>Свод_ОФР!AL11+Свод_ОФР!AL12</f>
        <v>-14560.24822946214</v>
      </c>
      <c r="AU7" s="11">
        <f>Свод_ОФР!AM11+Свод_ОФР!AM12</f>
        <v>-13763.603908319097</v>
      </c>
      <c r="AV7" s="11">
        <f>Свод_ОФР!AN11+Свод_ОФР!AN12</f>
        <v>-13720.66501962501</v>
      </c>
      <c r="AW7" s="11">
        <f>Свод_ОФР!AO11+Свод_ОФР!AO12</f>
        <v>-14414.615930841712</v>
      </c>
      <c r="AX7" s="11">
        <f>Свод_ОФР!AP11+Свод_ОФР!AP12</f>
        <v>-12648.702314750692</v>
      </c>
      <c r="AY7" s="11">
        <f>Свод_ОФР!AQ11+Свод_ОФР!AQ12</f>
        <v>-13644.366759198678</v>
      </c>
      <c r="AZ7" s="11">
        <f>Свод_ОФР!AR11+Свод_ОФР!AR12</f>
        <v>-15107.370301085093</v>
      </c>
      <c r="BA7" s="11">
        <f>Свод_ОФР!AS11+Свод_ОФР!AS12</f>
        <v>-15774.399890419925</v>
      </c>
      <c r="BB7" s="11">
        <f>Свод_ОФР!AT11+Свод_ОФР!AT12</f>
        <v>-16158.904424780863</v>
      </c>
      <c r="BC7" s="11">
        <f>Свод_ОФР!AU11+Свод_ОФР!AU12</f>
        <v>-16354.71821655032</v>
      </c>
      <c r="BD7" s="11">
        <f>Свод_ОФР!AV11+Свод_ОФР!AV12</f>
        <v>-16554.642010775169</v>
      </c>
      <c r="BE7" s="11">
        <f>Свод_ОФР!AW11+Свод_ОФР!AW12</f>
        <v>-16073.175270855747</v>
      </c>
      <c r="BF7" s="11">
        <f>Свод_ОФР!AX11+Свод_ОФР!AX12</f>
        <v>-15896.983408708958</v>
      </c>
      <c r="BG7" s="11">
        <f>Свод_ОФР!AY11+Свод_ОФР!AY12</f>
        <v>-15635.681253466111</v>
      </c>
      <c r="BH7" s="11">
        <f>Свод_ОФР!AZ11+Свод_ОФР!AZ12</f>
        <v>-15208.81824016811</v>
      </c>
      <c r="BI7" s="11">
        <f>Свод_ОФР!BA11+Свод_ОФР!BA12</f>
        <v>-17988.188675164794</v>
      </c>
      <c r="BJ7" s="11">
        <f>Свод_ОФР!BB11+Свод_ОФР!BB12</f>
        <v>-14067.065316175604</v>
      </c>
      <c r="BK7" s="11">
        <f>Свод_ОФР!BC11+Свод_ОФР!BC12</f>
        <v>-15236.532742309693</v>
      </c>
      <c r="BL7" s="11">
        <f>Свод_ОФР!BD11+Свод_ОФР!BD12</f>
        <v>-16934.693045256339</v>
      </c>
      <c r="BM7" s="11">
        <f>Свод_ОФР!BE11+Свод_ОФР!BE12</f>
        <v>-17708.999391248108</v>
      </c>
      <c r="BN7" s="11">
        <f>Свод_ОФР!BF11+Свод_ОФР!BF12</f>
        <v>-18151.418752040969</v>
      </c>
      <c r="BO7" s="11">
        <f>Свод_ОФР!BG11+Свод_ОФР!BG12</f>
        <v>-18378.664415255331</v>
      </c>
      <c r="BP7" s="11">
        <f>Свод_ОФР!BH11+Свод_ОФР!BH12</f>
        <v>-18610.695292729433</v>
      </c>
      <c r="BQ7" s="11">
        <f>Свод_ОФР!BI11+Свод_ОФР!BI12</f>
        <v>-18051.947238211582</v>
      </c>
      <c r="BR7" s="11">
        <f>Свод_ОФР!BJ11+Свод_ОФР!BJ12</f>
        <v>-17735.784274867532</v>
      </c>
      <c r="BS7" s="11">
        <f>Свод_ОФР!BK11+Свод_ОФР!BK12</f>
        <v>-17432.29168499255</v>
      </c>
      <c r="BT7" s="11">
        <f>Свод_ОФР!BL11+Свод_ОФР!BL12</f>
        <v>-17069.871749735416</v>
      </c>
      <c r="BU7" s="11">
        <f>Свод_ОФР!BM11+Свод_ОФР!BM12</f>
        <v>-20169.625987551641</v>
      </c>
      <c r="BV7" s="11">
        <f>Свод_ОФР!BN11+Свод_ОФР!BN12</f>
        <v>-15596.971132558474</v>
      </c>
      <c r="BW7" s="11">
        <f>Свод_ОФР!BO11+Свод_ОФР!BO12</f>
        <v>-16951.423687748946</v>
      </c>
      <c r="BX7" s="11">
        <f>Свод_ОФР!BP11+Свод_ОФР!BP12</f>
        <v>-18922.131112424831</v>
      </c>
      <c r="BY7" s="11">
        <f>Свод_ОФР!BQ11+Свод_ОФР!BQ12</f>
        <v>-19820.485613399662</v>
      </c>
      <c r="BZ7" s="11">
        <f>Свод_ОФР!BR11+Свод_ОФР!BR12</f>
        <v>-20335.040894134334</v>
      </c>
      <c r="CA7" s="11">
        <f>Свод_ОФР!BS11+Свод_ОФР!BS12</f>
        <v>-20599.460117972638</v>
      </c>
      <c r="CB7" s="11">
        <f>Свод_ОФР!BT11+Свод_ОФР!BT12</f>
        <v>-20869.456915848416</v>
      </c>
      <c r="CC7" s="11">
        <f>Свод_ОФР!BU11+Свод_ОФР!BU12</f>
        <v>-20221.706242807573</v>
      </c>
      <c r="CD7" s="11">
        <f>Свод_ОФР!BV11+Свод_ОФР!BV12</f>
        <v>-19854.377295305716</v>
      </c>
      <c r="CE7" s="11">
        <f>Свод_ОФР!BW11+Свод_ОФР!BW12</f>
        <v>-19665.743196467389</v>
      </c>
      <c r="CF7" s="11">
        <f>Свод_ОФР!BX11+Свод_ОФР!BX12</f>
        <v>-19081.19831505209</v>
      </c>
      <c r="CG7" s="11">
        <f>Свод_ОФР!BY11+Свод_ОФР!BY12</f>
        <v>-22688.500297298757</v>
      </c>
      <c r="CH7" s="11">
        <f>Свод_ОФР!BZ11+Свод_ОФР!BZ12</f>
        <v>-16896.612871879654</v>
      </c>
      <c r="CI7" s="11">
        <f>Свод_ОФР!CA11+Свод_ОФР!CA12</f>
        <v>-18459.511283161897</v>
      </c>
      <c r="CJ7" s="11">
        <f>Свод_ОФР!CB11+Свод_ОФР!CB12</f>
        <v>-20724.544620436165</v>
      </c>
      <c r="CK7" s="11">
        <f>Свод_ОФР!CC11+Свод_ОФР!CC12</f>
        <v>-21761.577092968233</v>
      </c>
      <c r="CL7" s="11">
        <f>Свод_ОФР!CD11+Свод_ОФР!CD12</f>
        <v>-22352.005938893704</v>
      </c>
      <c r="CM7" s="11">
        <f>Свод_ОФР!CE11+Свод_ОФР!CE12</f>
        <v>-22660.196271252396</v>
      </c>
      <c r="CN7" s="11">
        <f>Свод_ОФР!CF11+Свод_ОФР!CF12</f>
        <v>-22974.957187288604</v>
      </c>
      <c r="CO7" s="11">
        <f>Свод_ОФР!CG11+Свод_ОФР!CG12</f>
        <v>-22237.598529678795</v>
      </c>
      <c r="CP7" s="11">
        <f>Свод_ОФР!CH11+Свод_ОФР!CH12</f>
        <v>-22021.267357199584</v>
      </c>
      <c r="CQ7" s="11">
        <f>Свод_ОФР!CI11+Свод_ОФР!CI12</f>
        <v>-21615.231875318663</v>
      </c>
      <c r="CR7" s="11">
        <f>Свод_ОФР!CJ11+Свод_ОФР!CJ12</f>
        <v>-20949.641496470009</v>
      </c>
      <c r="CS7" s="11">
        <f>Свод_ОФР!CK11+Свод_ОФР!CK12</f>
        <v>-25073.192699633841</v>
      </c>
      <c r="CT7" s="41"/>
      <c r="CU7" s="41"/>
      <c r="CV7" s="41"/>
      <c r="CW7" s="41"/>
      <c r="CX7" s="41"/>
      <c r="CY7" s="41"/>
      <c r="CZ7" s="41"/>
      <c r="DA7" s="41"/>
      <c r="DB7" s="41"/>
      <c r="DC7" s="41"/>
    </row>
    <row r="8" spans="2:107" outlineLevel="1" x14ac:dyDescent="0.25">
      <c r="B8" s="40" t="s">
        <v>101</v>
      </c>
      <c r="C8" s="149">
        <f>Свод_ОФР!CN13</f>
        <v>0</v>
      </c>
      <c r="D8" s="149">
        <f>SUMIF($N$2:$CS$2,D$3,$N8:$CS8)</f>
        <v>-4619.3615800000007</v>
      </c>
      <c r="E8" s="149">
        <f t="shared" si="21"/>
        <v>-7183.104415827851</v>
      </c>
      <c r="F8" s="149">
        <f t="shared" si="21"/>
        <v>-8157.1074899503392</v>
      </c>
      <c r="G8" s="149">
        <f t="shared" si="21"/>
        <v>-11459.575773744344</v>
      </c>
      <c r="H8" s="149">
        <f t="shared" si="21"/>
        <v>-12642.655599584898</v>
      </c>
      <c r="I8" s="149">
        <f t="shared" si="22"/>
        <v>-13913.497022823571</v>
      </c>
      <c r="J8" s="149">
        <f t="shared" si="22"/>
        <v>-15052.084943003019</v>
      </c>
      <c r="K8" s="42">
        <f t="shared" si="8"/>
        <v>-73027.386824934016</v>
      </c>
      <c r="L8" s="41"/>
      <c r="M8" s="34"/>
      <c r="N8" s="11">
        <f>Свод_ОФР!F13</f>
        <v>-328.26415999999995</v>
      </c>
      <c r="O8" s="11">
        <f>Свод_ОФР!G13</f>
        <v>-340.55349000000001</v>
      </c>
      <c r="P8" s="11">
        <f>Свод_ОФР!H13</f>
        <v>-349.11131</v>
      </c>
      <c r="Q8" s="11">
        <f>Свод_ОФР!I13</f>
        <v>-356.01083</v>
      </c>
      <c r="R8" s="11">
        <f>Свод_ОФР!J13</f>
        <v>-348.38158000000004</v>
      </c>
      <c r="S8" s="11">
        <f>Свод_ОФР!K13</f>
        <v>-386.76590000000004</v>
      </c>
      <c r="T8" s="11">
        <f>Свод_ОФР!L13</f>
        <v>-441.04459000000003</v>
      </c>
      <c r="U8" s="11">
        <f>Свод_ОФР!M13</f>
        <v>-378.29217</v>
      </c>
      <c r="V8" s="11">
        <f>Свод_ОФР!N13</f>
        <v>-378.29217</v>
      </c>
      <c r="W8" s="11">
        <f>Свод_ОФР!O13</f>
        <v>-394.10146000000003</v>
      </c>
      <c r="X8" s="11">
        <f>Свод_ОФР!P13</f>
        <v>-457.81351000000001</v>
      </c>
      <c r="Y8" s="11">
        <f>Свод_ОФР!Q13</f>
        <v>-460.73040999999995</v>
      </c>
      <c r="Z8" s="11">
        <f>Свод_ОФР!R13</f>
        <v>-494.77175999999997</v>
      </c>
      <c r="AA8" s="11">
        <f>Свод_ОФР!S13</f>
        <v>-511.392</v>
      </c>
      <c r="AB8" s="11">
        <f>Свод_ОФР!T13</f>
        <v>-484.75700000000001</v>
      </c>
      <c r="AC8" s="11">
        <f>Свод_ОФР!U13</f>
        <v>-640.94463999999994</v>
      </c>
      <c r="AD8" s="11">
        <f>Свод_ОФР!V13</f>
        <v>-617.71892000000003</v>
      </c>
      <c r="AE8" s="11">
        <f>Свод_ОФР!W13</f>
        <v>-684.19988000000001</v>
      </c>
      <c r="AF8" s="11">
        <f>Свод_ОФР!X13</f>
        <v>-643.62298612705058</v>
      </c>
      <c r="AG8" s="11">
        <f>Свод_ОФР!Y13</f>
        <v>-625.56367034175196</v>
      </c>
      <c r="AH8" s="11">
        <f>Свод_ОФР!Z13</f>
        <v>-624.00280561575892</v>
      </c>
      <c r="AI8" s="11">
        <f>Свод_ОФР!AA13</f>
        <v>-611.18944297130554</v>
      </c>
      <c r="AJ8" s="11">
        <f>Свод_ОФР!AB13</f>
        <v>-607.95871403083254</v>
      </c>
      <c r="AK8" s="11">
        <f>Свод_ОФР!AC13</f>
        <v>-636.98259674115195</v>
      </c>
      <c r="AL8" s="11">
        <f>Свод_ОФР!AD13</f>
        <v>-562.56793022219381</v>
      </c>
      <c r="AM8" s="11">
        <f>Свод_ОФР!AE13</f>
        <v>-580.97171600424861</v>
      </c>
      <c r="AN8" s="11">
        <f>Свод_ОФР!AF13</f>
        <v>-613.50525632640097</v>
      </c>
      <c r="AO8" s="11">
        <f>Свод_ОФР!AG13</f>
        <v>-605.37734494342271</v>
      </c>
      <c r="AP8" s="11">
        <f>Свод_ОФР!AH13</f>
        <v>-625.16038100558001</v>
      </c>
      <c r="AQ8" s="11">
        <f>Свод_ОФР!AI13</f>
        <v>-641.40368264198935</v>
      </c>
      <c r="AR8" s="11">
        <f>Свод_ОФР!AJ13</f>
        <v>-670.35647514071854</v>
      </c>
      <c r="AS8" s="11">
        <f>Свод_ОФР!AK13</f>
        <v>-730.36772426721495</v>
      </c>
      <c r="AT8" s="11">
        <f>Свод_ОФР!AL13</f>
        <v>-756.70508555965853</v>
      </c>
      <c r="AU8" s="11">
        <f>Свод_ОФР!AM13</f>
        <v>-756.21145210692464</v>
      </c>
      <c r="AV8" s="11">
        <f>Свод_ОФР!AN13</f>
        <v>-779.37199808454511</v>
      </c>
      <c r="AW8" s="11">
        <f>Свод_ОФР!AO13</f>
        <v>-835.10844364744321</v>
      </c>
      <c r="AX8" s="11">
        <f>Свод_ОФР!AP13</f>
        <v>-808.1915210299295</v>
      </c>
      <c r="AY8" s="11">
        <f>Свод_ОФР!AQ13</f>
        <v>-857.20286322783363</v>
      </c>
      <c r="AZ8" s="11">
        <f>Свод_ОФР!AR13</f>
        <v>-929.0749726641086</v>
      </c>
      <c r="BA8" s="11">
        <f>Свод_ОФР!AS13</f>
        <v>-962.23183928083847</v>
      </c>
      <c r="BB8" s="11">
        <f>Свод_ОФР!AT13</f>
        <v>-980.97500610740121</v>
      </c>
      <c r="BC8" s="11">
        <f>Свод_ОФР!AU13</f>
        <v>-990.68149888488551</v>
      </c>
      <c r="BD8" s="11">
        <f>Свод_ОФР!AV13</f>
        <v>-1000.5952710165744</v>
      </c>
      <c r="BE8" s="11">
        <f>Свод_ОФР!AW13</f>
        <v>-977.33102424837045</v>
      </c>
      <c r="BF8" s="11">
        <f>Свод_ОФР!AX13</f>
        <v>-973.88451321797754</v>
      </c>
      <c r="BG8" s="11">
        <f>Свод_ОФР!AY13</f>
        <v>-961.42082077193436</v>
      </c>
      <c r="BH8" s="11">
        <f>Свод_ОФР!AZ13</f>
        <v>-940.90551693768475</v>
      </c>
      <c r="BI8" s="11">
        <f>Свод_ОФР!BA13</f>
        <v>-1077.0809263568058</v>
      </c>
      <c r="BJ8" s="11">
        <f>Свод_ОФР!BB13</f>
        <v>-886.1183298666931</v>
      </c>
      <c r="BK8" s="11">
        <f>Свод_ОФР!BC13</f>
        <v>-943.14462387163849</v>
      </c>
      <c r="BL8" s="11">
        <f>Свод_ОФР!BD13</f>
        <v>-1026.6157949416825</v>
      </c>
      <c r="BM8" s="11">
        <f>Свод_ОФР!BE13</f>
        <v>-1065.1562070918908</v>
      </c>
      <c r="BN8" s="11">
        <f>Свод_ОФР!BF13</f>
        <v>-1086.9688892805568</v>
      </c>
      <c r="BO8" s="11">
        <f>Свод_ОФР!BG13</f>
        <v>-1098.2207895838408</v>
      </c>
      <c r="BP8" s="11">
        <f>Свод_ОФР!BH13</f>
        <v>-1109.7142494610896</v>
      </c>
      <c r="BQ8" s="11">
        <f>Свод_ОФР!BI13</f>
        <v>-1082.7036959809666</v>
      </c>
      <c r="BR8" s="11">
        <f>Свод_ОФР!BJ13</f>
        <v>-1067.5178881626234</v>
      </c>
      <c r="BS8" s="11">
        <f>Свод_ОФР!BK13</f>
        <v>-1053.0542127707699</v>
      </c>
      <c r="BT8" s="11">
        <f>Свод_ОФР!BL13</f>
        <v>-1035.7350421650037</v>
      </c>
      <c r="BU8" s="11">
        <f>Свод_ОФР!BM13</f>
        <v>-1187.7058764081414</v>
      </c>
      <c r="BV8" s="11">
        <f>Свод_ОФР!BN13</f>
        <v>-964.4024397835833</v>
      </c>
      <c r="BW8" s="11">
        <f>Свод_ОФР!BO13</f>
        <v>-1030.4505993140733</v>
      </c>
      <c r="BX8" s="11">
        <f>Свод_ОФР!BP13</f>
        <v>-1127.3561274705007</v>
      </c>
      <c r="BY8" s="11">
        <f>Свод_ОФР!BQ13</f>
        <v>-1172.1124361275938</v>
      </c>
      <c r="BZ8" s="11">
        <f>Свод_ОФР!BR13</f>
        <v>-1197.4885578766603</v>
      </c>
      <c r="CA8" s="11">
        <f>Свод_ОФР!BS13</f>
        <v>-1210.5885188470772</v>
      </c>
      <c r="CB8" s="11">
        <f>Свод_ОФР!BT13</f>
        <v>-1223.970484805506</v>
      </c>
      <c r="CC8" s="11">
        <f>Свод_ОФР!BU13</f>
        <v>-1192.6667161524397</v>
      </c>
      <c r="CD8" s="11">
        <f>Свод_ОФР!BV13</f>
        <v>-1175.0326621707727</v>
      </c>
      <c r="CE8" s="11">
        <f>Свод_ОФР!BW13</f>
        <v>-1166.2242056370956</v>
      </c>
      <c r="CF8" s="11">
        <f>Свод_ОФР!BX13</f>
        <v>-1138.1511947731456</v>
      </c>
      <c r="CG8" s="11">
        <f>Свод_ОФР!BY13</f>
        <v>-1315.0530798651216</v>
      </c>
      <c r="CH8" s="11">
        <f>Свод_ОФР!BZ13</f>
        <v>-1027.8656505133881</v>
      </c>
      <c r="CI8" s="11">
        <f>Свод_ОФР!CA13</f>
        <v>-1104.1985629794935</v>
      </c>
      <c r="CJ8" s="11">
        <f>Свод_ОФР!CB13</f>
        <v>-1215.6374398678406</v>
      </c>
      <c r="CK8" s="11">
        <f>Свод_ОФР!CC13</f>
        <v>-1267.3635696750969</v>
      </c>
      <c r="CL8" s="11">
        <f>Свод_ОФР!CD13</f>
        <v>-1296.4993120039856</v>
      </c>
      <c r="CM8" s="11">
        <f>Свод_ОФР!CE13</f>
        <v>-1311.9038963809817</v>
      </c>
      <c r="CN8" s="11">
        <f>Свод_ОФР!CF13</f>
        <v>-1327.6442986474694</v>
      </c>
      <c r="CO8" s="11">
        <f>Свод_ОФР!CG13</f>
        <v>-1292.1603678710183</v>
      </c>
      <c r="CP8" s="11">
        <f>Свод_ОФР!CH13</f>
        <v>-1282.0703884633187</v>
      </c>
      <c r="CQ8" s="11">
        <f>Свод_ОФР!CI13</f>
        <v>-1262.7610612859057</v>
      </c>
      <c r="CR8" s="11">
        <f>Свод_ОФР!CJ13</f>
        <v>-1230.8320522111073</v>
      </c>
      <c r="CS8" s="11">
        <f>Свод_ОФР!CK13</f>
        <v>-1433.1483431034114</v>
      </c>
      <c r="CT8" s="41"/>
      <c r="CU8" s="41"/>
      <c r="CV8" s="41"/>
      <c r="CW8" s="41"/>
      <c r="CX8" s="41"/>
      <c r="CY8" s="41"/>
      <c r="CZ8" s="41"/>
      <c r="DA8" s="41"/>
      <c r="DB8" s="41"/>
      <c r="DC8" s="41"/>
    </row>
    <row r="9" spans="2:107" outlineLevel="1" x14ac:dyDescent="0.25">
      <c r="B9" s="44" t="s">
        <v>54</v>
      </c>
      <c r="C9" s="45">
        <f>SUM(C6:C8)</f>
        <v>23075</v>
      </c>
      <c r="D9" s="45">
        <f>SUM(D6:D8)</f>
        <v>62572.24536085708</v>
      </c>
      <c r="E9" s="45">
        <f t="shared" ref="E9" si="23">SUM(E6:E8)</f>
        <v>70659.131142215687</v>
      </c>
      <c r="F9" s="45">
        <f t="shared" ref="F9:G9" si="24">SUM(F6:F8)</f>
        <v>112643.90247190639</v>
      </c>
      <c r="G9" s="45">
        <f t="shared" si="24"/>
        <v>301160.45278149855</v>
      </c>
      <c r="H9" s="45">
        <f t="shared" ref="H9" si="25">SUM(H6:H8)</f>
        <v>363475.11581579782</v>
      </c>
      <c r="I9" s="45">
        <f t="shared" ref="I9:J9" si="26">SUM(I6:I8)</f>
        <v>447705.97090227023</v>
      </c>
      <c r="J9" s="45">
        <f t="shared" si="26"/>
        <v>530644.29443525895</v>
      </c>
      <c r="K9" s="46">
        <f t="shared" si="8"/>
        <v>1911936.1129098048</v>
      </c>
      <c r="L9" s="45"/>
      <c r="M9" s="34"/>
      <c r="N9" s="45">
        <f t="shared" ref="N9:S9" si="27">N6+N7+N8</f>
        <v>2255.426929033375</v>
      </c>
      <c r="O9" s="45">
        <f t="shared" si="27"/>
        <v>5356.6107662738987</v>
      </c>
      <c r="P9" s="45">
        <f t="shared" si="27"/>
        <v>4011.8498564059446</v>
      </c>
      <c r="Q9" s="45">
        <f t="shared" si="27"/>
        <v>5270.468111189296</v>
      </c>
      <c r="R9" s="45">
        <f t="shared" si="27"/>
        <v>5382.6332803854257</v>
      </c>
      <c r="S9" s="45">
        <f t="shared" si="27"/>
        <v>4378.8304463036502</v>
      </c>
      <c r="T9" s="45">
        <f>T6+T7+T8</f>
        <v>6416.9623559330603</v>
      </c>
      <c r="U9" s="45">
        <f t="shared" ref="U9:AT9" si="28">U6+U7+U8</f>
        <v>5474.9472781340182</v>
      </c>
      <c r="V9" s="45">
        <f t="shared" si="28"/>
        <v>5255.6604398251729</v>
      </c>
      <c r="W9" s="45">
        <f t="shared" si="28"/>
        <v>4726.102424569106</v>
      </c>
      <c r="X9" s="45">
        <f t="shared" si="28"/>
        <v>6325.4306530676058</v>
      </c>
      <c r="Y9" s="45">
        <f t="shared" si="28"/>
        <v>7717.3228197364861</v>
      </c>
      <c r="Z9" s="45">
        <f t="shared" si="28"/>
        <v>3030.1419207661943</v>
      </c>
      <c r="AA9" s="45">
        <f t="shared" si="28"/>
        <v>696.25868497314309</v>
      </c>
      <c r="AB9" s="45">
        <f t="shared" si="28"/>
        <v>13039.66477912466</v>
      </c>
      <c r="AC9" s="45">
        <f t="shared" si="28"/>
        <v>1895.0435307389378</v>
      </c>
      <c r="AD9" s="45">
        <f t="shared" si="28"/>
        <v>3940.097851152731</v>
      </c>
      <c r="AE9" s="45">
        <f t="shared" si="28"/>
        <v>3863.0002395322626</v>
      </c>
      <c r="AF9" s="45">
        <f t="shared" si="28"/>
        <v>3911.5051161891543</v>
      </c>
      <c r="AG9" s="45">
        <f t="shared" si="28"/>
        <v>3672.6606825879544</v>
      </c>
      <c r="AH9" s="45">
        <f t="shared" si="28"/>
        <v>4118.0187929614967</v>
      </c>
      <c r="AI9" s="45">
        <f t="shared" si="28"/>
        <v>10106.036007201272</v>
      </c>
      <c r="AJ9" s="45">
        <f t="shared" si="28"/>
        <v>9720.821303324461</v>
      </c>
      <c r="AK9" s="45">
        <f t="shared" si="28"/>
        <v>12665.882233663475</v>
      </c>
      <c r="AL9" s="45">
        <f t="shared" si="28"/>
        <v>2845.131667326234</v>
      </c>
      <c r="AM9" s="45">
        <f t="shared" si="28"/>
        <v>3214.1473730023595</v>
      </c>
      <c r="AN9" s="45">
        <f t="shared" si="28"/>
        <v>5505.8269523545305</v>
      </c>
      <c r="AO9" s="45">
        <f t="shared" si="28"/>
        <v>5559.4079060423064</v>
      </c>
      <c r="AP9" s="45">
        <f t="shared" si="28"/>
        <v>6227.9178852653604</v>
      </c>
      <c r="AQ9" s="45">
        <f t="shared" si="28"/>
        <v>6228.9659479090396</v>
      </c>
      <c r="AR9" s="45">
        <f t="shared" si="28"/>
        <v>6069.5710147430536</v>
      </c>
      <c r="AS9" s="45">
        <f t="shared" si="28"/>
        <v>12435.280179968351</v>
      </c>
      <c r="AT9" s="45">
        <f t="shared" si="28"/>
        <v>14167.61564289787</v>
      </c>
      <c r="AU9" s="45">
        <f t="shared" ref="AU9:BB9" si="29">AU6+AU7+AU8</f>
        <v>14488.167137221746</v>
      </c>
      <c r="AV9" s="45">
        <f t="shared" si="29"/>
        <v>15378.083761830863</v>
      </c>
      <c r="AW9" s="45">
        <f t="shared" si="29"/>
        <v>20523.787003344685</v>
      </c>
      <c r="AX9" s="45">
        <f t="shared" si="29"/>
        <v>17760.324751401629</v>
      </c>
      <c r="AY9" s="45">
        <f t="shared" si="29"/>
        <v>20706.478642699702</v>
      </c>
      <c r="AZ9" s="45">
        <f t="shared" si="29"/>
        <v>24076.983844559662</v>
      </c>
      <c r="BA9" s="45">
        <f t="shared" si="29"/>
        <v>25253.954942636934</v>
      </c>
      <c r="BB9" s="45">
        <f t="shared" si="29"/>
        <v>26557.380528307302</v>
      </c>
      <c r="BC9" s="45">
        <f t="shared" ref="BC9:BZ9" si="30">BC6+BC7+BC8</f>
        <v>26233.868269979379</v>
      </c>
      <c r="BD9" s="45">
        <f t="shared" si="30"/>
        <v>27040.316049797744</v>
      </c>
      <c r="BE9" s="45">
        <f t="shared" si="30"/>
        <v>26797.879570320467</v>
      </c>
      <c r="BF9" s="45">
        <f t="shared" si="30"/>
        <v>25721.676870816042</v>
      </c>
      <c r="BG9" s="45">
        <f t="shared" si="30"/>
        <v>24782.62187555293</v>
      </c>
      <c r="BH9" s="45">
        <f t="shared" si="30"/>
        <v>23257.896483567321</v>
      </c>
      <c r="BI9" s="45">
        <f t="shared" si="30"/>
        <v>32971.070951859525</v>
      </c>
      <c r="BJ9" s="45">
        <f t="shared" si="30"/>
        <v>23061.521293103142</v>
      </c>
      <c r="BK9" s="45">
        <f t="shared" si="30"/>
        <v>24948.897593338963</v>
      </c>
      <c r="BL9" s="45">
        <f t="shared" si="30"/>
        <v>27978.38196863218</v>
      </c>
      <c r="BM9" s="45">
        <f t="shared" si="30"/>
        <v>29823.743990485706</v>
      </c>
      <c r="BN9" s="45">
        <f t="shared" si="30"/>
        <v>31623.859849414854</v>
      </c>
      <c r="BO9" s="45">
        <f t="shared" si="30"/>
        <v>32544.968979083318</v>
      </c>
      <c r="BP9" s="45">
        <f t="shared" si="30"/>
        <v>33485.136027609638</v>
      </c>
      <c r="BQ9" s="45">
        <f t="shared" si="30"/>
        <v>31831.03178027899</v>
      </c>
      <c r="BR9" s="45">
        <f t="shared" si="30"/>
        <v>30494.151304361756</v>
      </c>
      <c r="BS9" s="45">
        <f t="shared" si="30"/>
        <v>29201.783879139788</v>
      </c>
      <c r="BT9" s="45">
        <f t="shared" si="30"/>
        <v>27950.661712102599</v>
      </c>
      <c r="BU9" s="45">
        <f t="shared" si="30"/>
        <v>40530.977438246802</v>
      </c>
      <c r="BV9" s="45">
        <f t="shared" si="30"/>
        <v>27841.176241397319</v>
      </c>
      <c r="BW9" s="45">
        <f t="shared" si="30"/>
        <v>30039.231090828533</v>
      </c>
      <c r="BX9" s="45">
        <f t="shared" si="30"/>
        <v>34716.053526127886</v>
      </c>
      <c r="BY9" s="45">
        <f t="shared" si="30"/>
        <v>36864.705276292916</v>
      </c>
      <c r="BZ9" s="45">
        <f t="shared" si="30"/>
        <v>38964.538754672591</v>
      </c>
      <c r="CA9" s="45">
        <f t="shared" ref="CA9:CD9" si="31">CA6+CA7+CA8</f>
        <v>40039.201419496691</v>
      </c>
      <c r="CB9" s="45">
        <f t="shared" si="31"/>
        <v>41136.114566892997</v>
      </c>
      <c r="CC9" s="45">
        <f t="shared" si="31"/>
        <v>39210.145103822782</v>
      </c>
      <c r="CD9" s="45">
        <f t="shared" si="31"/>
        <v>37651.241750967754</v>
      </c>
      <c r="CE9" s="45">
        <f t="shared" ref="CE9:CF9" si="32">CE6+CE7+CE8</f>
        <v>37183.116304409246</v>
      </c>
      <c r="CF9" s="45">
        <f t="shared" si="32"/>
        <v>34685.362947046968</v>
      </c>
      <c r="CG9" s="45">
        <f t="shared" ref="CG9:CS9" si="33">CG6+CG7+CG8</f>
        <v>49375.083920314508</v>
      </c>
      <c r="CH9" s="45">
        <f t="shared" si="33"/>
        <v>32463.909789342648</v>
      </c>
      <c r="CI9" s="45">
        <f t="shared" si="33"/>
        <v>34666.432319626569</v>
      </c>
      <c r="CJ9" s="45">
        <f t="shared" si="33"/>
        <v>41294.093096184173</v>
      </c>
      <c r="CK9" s="45">
        <f t="shared" si="33"/>
        <v>43761.595328737771</v>
      </c>
      <c r="CL9" s="45">
        <f t="shared" si="33"/>
        <v>46159.446020270581</v>
      </c>
      <c r="CM9" s="45">
        <f t="shared" si="33"/>
        <v>47398.396911015654</v>
      </c>
      <c r="CN9" s="45">
        <f t="shared" si="33"/>
        <v>48663.309889397657</v>
      </c>
      <c r="CO9" s="45">
        <f t="shared" si="33"/>
        <v>46487.830749172957</v>
      </c>
      <c r="CP9" s="45">
        <f t="shared" si="33"/>
        <v>45984.056388428689</v>
      </c>
      <c r="CQ9" s="45">
        <f t="shared" si="33"/>
        <v>44247.507548592228</v>
      </c>
      <c r="CR9" s="45">
        <f t="shared" si="33"/>
        <v>41419.708888314439</v>
      </c>
      <c r="CS9" s="45">
        <f t="shared" si="33"/>
        <v>58098.007506175214</v>
      </c>
      <c r="CT9" s="45"/>
      <c r="CU9" s="45"/>
      <c r="CV9" s="45"/>
      <c r="CW9" s="45"/>
      <c r="CX9" s="45"/>
      <c r="CY9" s="45"/>
      <c r="CZ9" s="45"/>
      <c r="DA9" s="45"/>
      <c r="DB9" s="45"/>
      <c r="DC9" s="45"/>
    </row>
    <row r="10" spans="2:107" outlineLevel="1" x14ac:dyDescent="0.25">
      <c r="B10" s="40" t="s">
        <v>102</v>
      </c>
      <c r="C10" s="149">
        <f>Свод_ОФР!CN18</f>
        <v>0</v>
      </c>
      <c r="D10" s="149">
        <f>SUMIF($N$2:$CS$2,D$3,$N10:$CS10)</f>
        <v>-9066.1849999999995</v>
      </c>
      <c r="E10" s="149">
        <f>SUMIF($T$2:$CS$2,E$3,$T10:$CS10)</f>
        <v>-4075</v>
      </c>
      <c r="F10" s="149">
        <f>SUMIF($T$2:$CS$2,F$3,$T10:$CS10)</f>
        <v>-19403.848007471595</v>
      </c>
      <c r="G10" s="149">
        <f>SUMIF($T$2:$CS$2,G$3,$T10:$CS10)</f>
        <v>-32747.112329787851</v>
      </c>
      <c r="H10" s="149">
        <f>SUMIF($T$2:$CS$2,H$3,$T10:$CS10)</f>
        <v>-30324.930299064017</v>
      </c>
      <c r="I10" s="149">
        <f t="shared" ref="I10:J10" si="34">SUMIF($T$2:$CS$2,I$3,$T10:$CS10)</f>
        <v>-28134.167477660572</v>
      </c>
      <c r="J10" s="149">
        <f t="shared" si="34"/>
        <v>-26152.713698066109</v>
      </c>
      <c r="K10" s="42">
        <f t="shared" si="8"/>
        <v>-149903.95681205014</v>
      </c>
      <c r="L10" s="41"/>
      <c r="M10" s="34"/>
      <c r="N10" s="11">
        <f>Свод_ОФР!F18</f>
        <v>-840.57800000000009</v>
      </c>
      <c r="O10" s="11">
        <f>Свод_ОФР!G18</f>
        <v>-854.80499999999995</v>
      </c>
      <c r="P10" s="11">
        <f>Свод_ОФР!H18</f>
        <v>-854.80499999999995</v>
      </c>
      <c r="Q10" s="11">
        <f>Свод_ОФР!I18</f>
        <v>-861.96199999999999</v>
      </c>
      <c r="R10" s="11">
        <f>Свод_ОФР!J18</f>
        <v>-787.94299999999998</v>
      </c>
      <c r="S10" s="11">
        <f>Свод_ОФР!K18</f>
        <v>-792.99599999999998</v>
      </c>
      <c r="T10" s="11">
        <f>Свод_ОФР!L18</f>
        <v>-793.68499999999995</v>
      </c>
      <c r="U10" s="11">
        <f>Свод_ОФР!M18</f>
        <v>-759.68499999999995</v>
      </c>
      <c r="V10" s="11">
        <f>Свод_ОФР!N18</f>
        <v>-736.4</v>
      </c>
      <c r="W10" s="11">
        <f>Свод_ОФР!O18</f>
        <v>-738.89499999999998</v>
      </c>
      <c r="X10" s="11">
        <f>Свод_ОФР!P18</f>
        <v>-738.89499999999998</v>
      </c>
      <c r="Y10" s="11">
        <f>Свод_ОФР!Q18</f>
        <v>-305.536</v>
      </c>
      <c r="Z10" s="11">
        <f>Свод_ОФР!R18</f>
        <v>-187.66666666666669</v>
      </c>
      <c r="AA10" s="11">
        <f>Свод_ОФР!S18</f>
        <v>-187.66666666666669</v>
      </c>
      <c r="AB10" s="11">
        <f>Свод_ОФР!T18</f>
        <v>-187.66666666666669</v>
      </c>
      <c r="AC10" s="11">
        <f>Свод_ОФР!U18</f>
        <v>-187.66666666666669</v>
      </c>
      <c r="AD10" s="11">
        <f>Свод_ОФР!V18</f>
        <v>-187.66666666666669</v>
      </c>
      <c r="AE10" s="11">
        <f>Свод_ОФР!W18</f>
        <v>-187.66666666666669</v>
      </c>
      <c r="AF10" s="11">
        <f>Свод_ОФР!X18</f>
        <v>-491.5</v>
      </c>
      <c r="AG10" s="11">
        <f>Свод_ОФР!Y18</f>
        <v>-491.5</v>
      </c>
      <c r="AH10" s="11">
        <f>Свод_ОФР!Z18</f>
        <v>-491.5</v>
      </c>
      <c r="AI10" s="11">
        <f>Свод_ОФР!AA18</f>
        <v>-491.5</v>
      </c>
      <c r="AJ10" s="11">
        <f>Свод_ОФР!AB18</f>
        <v>-491.5</v>
      </c>
      <c r="AK10" s="11">
        <f>Свод_ОФР!AC18</f>
        <v>-491.5</v>
      </c>
      <c r="AL10" s="11">
        <f>Свод_ОФР!AD18</f>
        <v>-275.83194444444439</v>
      </c>
      <c r="AM10" s="11">
        <f>Свод_ОФР!AE18</f>
        <v>-274.75209490740735</v>
      </c>
      <c r="AN10" s="11">
        <f>Свод_ОФР!AF18</f>
        <v>-283.3201330054012</v>
      </c>
      <c r="AO10" s="11">
        <f>Свод_ОФР!AG18</f>
        <v>-324.87649300813393</v>
      </c>
      <c r="AP10" s="11">
        <f>Свод_ОФР!AH18</f>
        <v>-445.4157166775106</v>
      </c>
      <c r="AQ10" s="11">
        <f>Свод_ОФР!AI18</f>
        <v>-545.79766903853135</v>
      </c>
      <c r="AR10" s="11">
        <f>Свод_ОФР!AJ18</f>
        <v>-2853.6764384632102</v>
      </c>
      <c r="AS10" s="11">
        <f>Свод_ОФР!AK18</f>
        <v>-2902.7395514760165</v>
      </c>
      <c r="AT10" s="11">
        <f>Свод_ОФР!AL18</f>
        <v>-2902.7826941026055</v>
      </c>
      <c r="AU10" s="11">
        <f>Свод_ОФР!AM18</f>
        <v>-2883.7282549850838</v>
      </c>
      <c r="AV10" s="11">
        <f>Свод_ОФР!AN18</f>
        <v>-2864.8326028602082</v>
      </c>
      <c r="AW10" s="11">
        <f>Свод_ОФР!AO18</f>
        <v>-2846.0944145030394</v>
      </c>
      <c r="AX10" s="11">
        <f>Свод_ОФР!AP18</f>
        <v>-2827.5123777155145</v>
      </c>
      <c r="AY10" s="11">
        <f>Свод_ОФР!AQ18</f>
        <v>-2809.085191234552</v>
      </c>
      <c r="AZ10" s="11">
        <f>Свод_ОФР!AR18</f>
        <v>-2790.8115646409306</v>
      </c>
      <c r="BA10" s="11">
        <f>Свод_ОФР!AS18</f>
        <v>-2772.6902182689228</v>
      </c>
      <c r="BB10" s="11">
        <f>Свод_ОФР!AT18</f>
        <v>-2754.719883116682</v>
      </c>
      <c r="BC10" s="11">
        <f>Свод_ОФР!AU18</f>
        <v>-2736.8993007573763</v>
      </c>
      <c r="BD10" s="11">
        <f>Свод_ОФР!AV18</f>
        <v>-2719.227223251065</v>
      </c>
      <c r="BE10" s="11">
        <f>Свод_ОФР!AW18</f>
        <v>-2701.7024130573059</v>
      </c>
      <c r="BF10" s="11">
        <f>Свод_ОФР!AX18</f>
        <v>-2684.323642948495</v>
      </c>
      <c r="BG10" s="11">
        <f>Свод_ОФР!AY18</f>
        <v>-2667.0896959239244</v>
      </c>
      <c r="BH10" s="11">
        <f>Свод_ОФР!AZ18</f>
        <v>-2649.9993651245586</v>
      </c>
      <c r="BI10" s="11">
        <f>Свод_ОФР!BA18</f>
        <v>-2633.0514537485205</v>
      </c>
      <c r="BJ10" s="11">
        <f>Свод_ОФР!BB18</f>
        <v>-2616.2447749672824</v>
      </c>
      <c r="BK10" s="11">
        <f>Свод_ОФР!BC18</f>
        <v>-2599.5781518425556</v>
      </c>
      <c r="BL10" s="11">
        <f>Свод_ОФР!BD18</f>
        <v>-2583.0504172438673</v>
      </c>
      <c r="BM10" s="11">
        <f>Свод_ОФР!BE18</f>
        <v>-2566.6604137668351</v>
      </c>
      <c r="BN10" s="11">
        <f>Свод_ОФР!BF18</f>
        <v>-2550.4069936521114</v>
      </c>
      <c r="BO10" s="11">
        <f>Свод_ОФР!BG18</f>
        <v>-2534.2890187050102</v>
      </c>
      <c r="BP10" s="11">
        <f>Свод_ОФР!BH18</f>
        <v>-2518.305360215802</v>
      </c>
      <c r="BQ10" s="11">
        <f>Свод_ОФР!BI18</f>
        <v>-2502.4548988806705</v>
      </c>
      <c r="BR10" s="11">
        <f>Свод_ОФР!BJ18</f>
        <v>-2486.7365247233315</v>
      </c>
      <c r="BS10" s="11">
        <f>Свод_ОФР!BK18</f>
        <v>-2471.1491370173035</v>
      </c>
      <c r="BT10" s="11">
        <f>Свод_ОФР!BL18</f>
        <v>-2455.6916442088259</v>
      </c>
      <c r="BU10" s="11">
        <f>Свод_ОФР!BM18</f>
        <v>-2440.3629638404186</v>
      </c>
      <c r="BV10" s="11">
        <f>Свод_ОФР!BN18</f>
        <v>-2425.1620224750818</v>
      </c>
      <c r="BW10" s="11">
        <f>Свод_ОФР!BO18</f>
        <v>-2410.0877556211226</v>
      </c>
      <c r="BX10" s="11">
        <f>Свод_ОФР!BP18</f>
        <v>-2395.1391076576133</v>
      </c>
      <c r="BY10" s="11">
        <f>Свод_ОФР!BQ18</f>
        <v>-2380.3150317604668</v>
      </c>
      <c r="BZ10" s="11">
        <f>Свод_ОФР!BR18</f>
        <v>-2365.6144898291295</v>
      </c>
      <c r="CA10" s="11">
        <f>Свод_ОФР!BS18</f>
        <v>-2351.0364524138868</v>
      </c>
      <c r="CB10" s="11">
        <f>Свод_ОФР!BT18</f>
        <v>-2336.5798986437712</v>
      </c>
      <c r="CC10" s="11">
        <f>Свод_ОФР!BU18</f>
        <v>-2322.2438161550731</v>
      </c>
      <c r="CD10" s="11">
        <f>Свод_ОФР!BV18</f>
        <v>-2308.0272010204476</v>
      </c>
      <c r="CE10" s="11">
        <f>Свод_ОФР!BW18</f>
        <v>-2293.9290576786102</v>
      </c>
      <c r="CF10" s="11">
        <f>Свод_ОФР!BX18</f>
        <v>-2279.948398864622</v>
      </c>
      <c r="CG10" s="11">
        <f>Свод_ОФР!BY18</f>
        <v>-2266.0842455407501</v>
      </c>
      <c r="CH10" s="11">
        <f>Свод_ОФР!BZ18</f>
        <v>-2252.3356268279103</v>
      </c>
      <c r="CI10" s="11">
        <f>Свод_ОФР!CA18</f>
        <v>-2238.7015799376777</v>
      </c>
      <c r="CJ10" s="11">
        <f>Свод_ОФР!CB18</f>
        <v>-2225.1811501048637</v>
      </c>
      <c r="CK10" s="11">
        <f>Свод_ОФР!CC18</f>
        <v>-2211.7733905206569</v>
      </c>
      <c r="CL10" s="11">
        <f>Свод_ОФР!CD18</f>
        <v>-2198.4773622663179</v>
      </c>
      <c r="CM10" s="11">
        <f>Свод_ОФР!CE18</f>
        <v>-2185.2921342474319</v>
      </c>
      <c r="CN10" s="11">
        <f>Свод_ОФР!CF18</f>
        <v>-2172.2167831287034</v>
      </c>
      <c r="CO10" s="11">
        <f>Свод_ОФР!CG18</f>
        <v>-2159.2503932692975</v>
      </c>
      <c r="CP10" s="11">
        <f>Свод_ОФР!CH18</f>
        <v>-2146.3920566587203</v>
      </c>
      <c r="CQ10" s="11">
        <f>Свод_ОФР!CI18</f>
        <v>-2133.6408728532306</v>
      </c>
      <c r="CR10" s="11">
        <f>Свод_ОФР!CJ18</f>
        <v>-2120.9959489127873</v>
      </c>
      <c r="CS10" s="11">
        <f>Свод_ОФР!CK18</f>
        <v>-2108.4563993385141</v>
      </c>
      <c r="CT10" s="41"/>
      <c r="CU10" s="41"/>
      <c r="CV10" s="41"/>
      <c r="CW10" s="41"/>
      <c r="CX10" s="41"/>
      <c r="CY10" s="41"/>
      <c r="CZ10" s="41"/>
      <c r="DA10" s="41"/>
      <c r="DB10" s="41"/>
      <c r="DC10" s="41"/>
    </row>
    <row r="11" spans="2:107" outlineLevel="1" x14ac:dyDescent="0.25">
      <c r="B11" s="44" t="s">
        <v>61</v>
      </c>
      <c r="C11" s="45">
        <f>SUM(C9:C10)</f>
        <v>23075</v>
      </c>
      <c r="D11" s="45">
        <f>SUM(D9:D10)</f>
        <v>53506.060360857082</v>
      </c>
      <c r="E11" s="45">
        <f t="shared" ref="E11" si="35">SUM(E9:E10)</f>
        <v>66584.131142215687</v>
      </c>
      <c r="F11" s="45">
        <f t="shared" ref="F11:G11" si="36">SUM(F9:F10)</f>
        <v>93240.054464434797</v>
      </c>
      <c r="G11" s="45">
        <f t="shared" si="36"/>
        <v>268413.34045171068</v>
      </c>
      <c r="H11" s="45">
        <f t="shared" ref="H11" si="37">SUM(H9:H10)</f>
        <v>333150.18551673379</v>
      </c>
      <c r="I11" s="45">
        <f t="shared" ref="I11:J11" si="38">SUM(I9:I10)</f>
        <v>419571.80342460965</v>
      </c>
      <c r="J11" s="45">
        <f t="shared" si="38"/>
        <v>504491.58073719282</v>
      </c>
      <c r="K11" s="46">
        <f t="shared" si="8"/>
        <v>1762032.1560977546</v>
      </c>
      <c r="L11" s="45"/>
      <c r="M11" s="34"/>
      <c r="N11" s="45">
        <f t="shared" ref="N11" si="39">N9+N10</f>
        <v>1414.848929033375</v>
      </c>
      <c r="O11" s="45">
        <f t="shared" ref="O11:S11" si="40">O9+O10</f>
        <v>4501.8057662738984</v>
      </c>
      <c r="P11" s="45">
        <f t="shared" si="40"/>
        <v>3157.0448564059448</v>
      </c>
      <c r="Q11" s="45">
        <f t="shared" si="40"/>
        <v>4408.5061111892956</v>
      </c>
      <c r="R11" s="45">
        <f t="shared" si="40"/>
        <v>4594.6902803854255</v>
      </c>
      <c r="S11" s="45">
        <f t="shared" si="40"/>
        <v>3585.8344463036501</v>
      </c>
      <c r="T11" s="45">
        <f t="shared" ref="T11:AT11" si="41">T9+T10</f>
        <v>5623.2773559330599</v>
      </c>
      <c r="U11" s="45">
        <f t="shared" si="41"/>
        <v>4715.2622781340178</v>
      </c>
      <c r="V11" s="45">
        <f t="shared" si="41"/>
        <v>4519.2604398251733</v>
      </c>
      <c r="W11" s="45">
        <f t="shared" si="41"/>
        <v>3987.207424569106</v>
      </c>
      <c r="X11" s="45">
        <f t="shared" si="41"/>
        <v>5586.5356530676054</v>
      </c>
      <c r="Y11" s="45">
        <f t="shared" si="41"/>
        <v>7411.786819736486</v>
      </c>
      <c r="Z11" s="45">
        <f t="shared" si="41"/>
        <v>2842.4752540995278</v>
      </c>
      <c r="AA11" s="45">
        <f t="shared" si="41"/>
        <v>508.5920183064764</v>
      </c>
      <c r="AB11" s="45">
        <f t="shared" si="41"/>
        <v>12851.998112457994</v>
      </c>
      <c r="AC11" s="45">
        <f t="shared" si="41"/>
        <v>1707.376864072271</v>
      </c>
      <c r="AD11" s="45">
        <f t="shared" si="41"/>
        <v>3752.4311844860645</v>
      </c>
      <c r="AE11" s="45">
        <f t="shared" si="41"/>
        <v>3675.3335728655961</v>
      </c>
      <c r="AF11" s="45">
        <f t="shared" si="41"/>
        <v>3420.0051161891543</v>
      </c>
      <c r="AG11" s="45">
        <f t="shared" si="41"/>
        <v>3181.1606825879544</v>
      </c>
      <c r="AH11" s="45">
        <f t="shared" si="41"/>
        <v>3626.5187929614967</v>
      </c>
      <c r="AI11" s="45">
        <f t="shared" si="41"/>
        <v>9614.5360072012718</v>
      </c>
      <c r="AJ11" s="45">
        <f t="shared" si="41"/>
        <v>9229.321303324461</v>
      </c>
      <c r="AK11" s="45">
        <f t="shared" si="41"/>
        <v>12174.382233663475</v>
      </c>
      <c r="AL11" s="45">
        <f t="shared" si="41"/>
        <v>2569.2997228817894</v>
      </c>
      <c r="AM11" s="45">
        <f t="shared" si="41"/>
        <v>2939.3952780949521</v>
      </c>
      <c r="AN11" s="45">
        <f t="shared" si="41"/>
        <v>5222.5068193491297</v>
      </c>
      <c r="AO11" s="45">
        <f t="shared" si="41"/>
        <v>5234.5314130341721</v>
      </c>
      <c r="AP11" s="45">
        <f t="shared" si="41"/>
        <v>5782.5021685878501</v>
      </c>
      <c r="AQ11" s="45">
        <f t="shared" si="41"/>
        <v>5683.1682788705084</v>
      </c>
      <c r="AR11" s="45">
        <f t="shared" si="41"/>
        <v>3215.8945762798435</v>
      </c>
      <c r="AS11" s="45">
        <f t="shared" si="41"/>
        <v>9532.5406284923338</v>
      </c>
      <c r="AT11" s="45">
        <f t="shared" si="41"/>
        <v>11264.832948795265</v>
      </c>
      <c r="AU11" s="45">
        <f t="shared" ref="AU11:BB11" si="42">AU9+AU10</f>
        <v>11604.438882236662</v>
      </c>
      <c r="AV11" s="45">
        <f t="shared" si="42"/>
        <v>12513.251158970656</v>
      </c>
      <c r="AW11" s="45">
        <f t="shared" si="42"/>
        <v>17677.692588841644</v>
      </c>
      <c r="AX11" s="45">
        <f t="shared" si="42"/>
        <v>14932.812373686114</v>
      </c>
      <c r="AY11" s="45">
        <f t="shared" si="42"/>
        <v>17897.393451465148</v>
      </c>
      <c r="AZ11" s="45">
        <f t="shared" si="42"/>
        <v>21286.17227991873</v>
      </c>
      <c r="BA11" s="45">
        <f t="shared" si="42"/>
        <v>22481.264724368011</v>
      </c>
      <c r="BB11" s="45">
        <f t="shared" si="42"/>
        <v>23802.660645190619</v>
      </c>
      <c r="BC11" s="45">
        <f t="shared" ref="BC11:BZ11" si="43">BC9+BC10</f>
        <v>23496.968969222002</v>
      </c>
      <c r="BD11" s="45">
        <f t="shared" si="43"/>
        <v>24321.088826546678</v>
      </c>
      <c r="BE11" s="45">
        <f t="shared" si="43"/>
        <v>24096.177157263162</v>
      </c>
      <c r="BF11" s="45">
        <f t="shared" si="43"/>
        <v>23037.353227867548</v>
      </c>
      <c r="BG11" s="45">
        <f t="shared" si="43"/>
        <v>22115.532179629005</v>
      </c>
      <c r="BH11" s="45">
        <f t="shared" si="43"/>
        <v>20607.897118442765</v>
      </c>
      <c r="BI11" s="45">
        <f t="shared" si="43"/>
        <v>30338.019498111003</v>
      </c>
      <c r="BJ11" s="45">
        <f t="shared" si="43"/>
        <v>20445.276518135859</v>
      </c>
      <c r="BK11" s="45">
        <f t="shared" si="43"/>
        <v>22349.319441496409</v>
      </c>
      <c r="BL11" s="45">
        <f t="shared" si="43"/>
        <v>25395.331551388314</v>
      </c>
      <c r="BM11" s="45">
        <f t="shared" si="43"/>
        <v>27257.083576718869</v>
      </c>
      <c r="BN11" s="45">
        <f t="shared" si="43"/>
        <v>29073.452855762742</v>
      </c>
      <c r="BO11" s="45">
        <f t="shared" si="43"/>
        <v>30010.679960378307</v>
      </c>
      <c r="BP11" s="45">
        <f t="shared" si="43"/>
        <v>30966.830667393835</v>
      </c>
      <c r="BQ11" s="45">
        <f t="shared" si="43"/>
        <v>29328.57688139832</v>
      </c>
      <c r="BR11" s="45">
        <f t="shared" si="43"/>
        <v>28007.414779638424</v>
      </c>
      <c r="BS11" s="45">
        <f t="shared" si="43"/>
        <v>26730.634742122485</v>
      </c>
      <c r="BT11" s="45">
        <f t="shared" si="43"/>
        <v>25494.970067893773</v>
      </c>
      <c r="BU11" s="45">
        <f t="shared" si="43"/>
        <v>38090.614474406386</v>
      </c>
      <c r="BV11" s="45">
        <f t="shared" si="43"/>
        <v>25416.014218922239</v>
      </c>
      <c r="BW11" s="45">
        <f t="shared" si="43"/>
        <v>27629.143335207409</v>
      </c>
      <c r="BX11" s="45">
        <f t="shared" si="43"/>
        <v>32320.914418470271</v>
      </c>
      <c r="BY11" s="45">
        <f t="shared" si="43"/>
        <v>34484.390244532449</v>
      </c>
      <c r="BZ11" s="45">
        <f t="shared" si="43"/>
        <v>36598.924264843459</v>
      </c>
      <c r="CA11" s="45">
        <f t="shared" ref="CA11:CD11" si="44">CA9+CA10</f>
        <v>37688.164967082805</v>
      </c>
      <c r="CB11" s="45">
        <f t="shared" si="44"/>
        <v>38799.534668249224</v>
      </c>
      <c r="CC11" s="45">
        <f t="shared" si="44"/>
        <v>36887.901287667708</v>
      </c>
      <c r="CD11" s="45">
        <f t="shared" si="44"/>
        <v>35343.214549947304</v>
      </c>
      <c r="CE11" s="45">
        <f t="shared" ref="CE11:CF11" si="45">CE9+CE10</f>
        <v>34889.187246730638</v>
      </c>
      <c r="CF11" s="45">
        <f t="shared" si="45"/>
        <v>32405.414548182347</v>
      </c>
      <c r="CG11" s="45">
        <f t="shared" ref="CG11:CS11" si="46">CG9+CG10</f>
        <v>47108.99967477376</v>
      </c>
      <c r="CH11" s="45">
        <f t="shared" si="46"/>
        <v>30211.574162514738</v>
      </c>
      <c r="CI11" s="45">
        <f t="shared" si="46"/>
        <v>32427.73073968889</v>
      </c>
      <c r="CJ11" s="45">
        <f t="shared" si="46"/>
        <v>39068.911946079308</v>
      </c>
      <c r="CK11" s="45">
        <f t="shared" si="46"/>
        <v>41549.821938217116</v>
      </c>
      <c r="CL11" s="45">
        <f t="shared" si="46"/>
        <v>43960.968658004262</v>
      </c>
      <c r="CM11" s="45">
        <f t="shared" si="46"/>
        <v>45213.104776768225</v>
      </c>
      <c r="CN11" s="45">
        <f t="shared" si="46"/>
        <v>46491.093106268956</v>
      </c>
      <c r="CO11" s="45">
        <f t="shared" si="46"/>
        <v>44328.580355903658</v>
      </c>
      <c r="CP11" s="45">
        <f t="shared" si="46"/>
        <v>43837.664331769971</v>
      </c>
      <c r="CQ11" s="45">
        <f t="shared" si="46"/>
        <v>42113.866675738995</v>
      </c>
      <c r="CR11" s="45">
        <f t="shared" si="46"/>
        <v>39298.712939401652</v>
      </c>
      <c r="CS11" s="45">
        <f t="shared" si="46"/>
        <v>55989.551106836698</v>
      </c>
      <c r="CT11" s="45"/>
      <c r="CU11" s="45"/>
      <c r="CV11" s="45"/>
      <c r="CW11" s="45"/>
      <c r="CX11" s="45"/>
      <c r="CY11" s="45"/>
      <c r="CZ11" s="45"/>
      <c r="DA11" s="45"/>
      <c r="DB11" s="45"/>
      <c r="DC11" s="45"/>
    </row>
    <row r="12" spans="2:107" outlineLevel="1" x14ac:dyDescent="0.25">
      <c r="B12" s="40" t="s">
        <v>103</v>
      </c>
      <c r="C12" s="149">
        <f>Свод_ОФР!CN22+Свод_ОФР!CN23</f>
        <v>-4565</v>
      </c>
      <c r="D12" s="149">
        <f>SUMIF($N$2:$CS$2,D$3,$N12:$CS12)</f>
        <v>-6215.2224399999996</v>
      </c>
      <c r="E12" s="149">
        <f t="shared" ref="E12:H13" si="47">SUMIF($T$2:$CS$2,E$3,$T12:$CS12)</f>
        <v>-13661.778285427879</v>
      </c>
      <c r="F12" s="149">
        <f t="shared" si="47"/>
        <v>-18000.526295950302</v>
      </c>
      <c r="G12" s="149">
        <f t="shared" si="47"/>
        <v>-12113.527286150304</v>
      </c>
      <c r="H12" s="149">
        <f t="shared" si="47"/>
        <v>-4378.1838202472736</v>
      </c>
      <c r="I12" s="149">
        <f t="shared" ref="I12:J13" si="48">SUMIF($T$2:$CS$2,I$3,$T12:$CS12)</f>
        <v>-3247.1193604000014</v>
      </c>
      <c r="J12" s="149">
        <f t="shared" si="48"/>
        <v>-3247.1193604000014</v>
      </c>
      <c r="K12" s="42">
        <f t="shared" si="8"/>
        <v>-65428.476848575752</v>
      </c>
      <c r="L12" s="41"/>
      <c r="M12" s="34"/>
      <c r="N12" s="11">
        <f>Свод_ОФР!F22+Свод_ОФР!F23</f>
        <v>-469.6173</v>
      </c>
      <c r="O12" s="11">
        <f>Свод_ОФР!G22+Свод_ОФР!G23</f>
        <v>-480.14777000000004</v>
      </c>
      <c r="P12" s="11">
        <f>Свод_ОФР!H22+Свод_ОФР!H23</f>
        <v>-443.57821999999999</v>
      </c>
      <c r="Q12" s="11">
        <f>Свод_ОФР!I22+Свод_ОФР!I23</f>
        <v>-561.64537000000007</v>
      </c>
      <c r="R12" s="11">
        <f>Свод_ОФР!J22+Свод_ОФР!J23</f>
        <v>-479.55033000000003</v>
      </c>
      <c r="S12" s="11">
        <f>Свод_ОФР!K22+Свод_ОФР!K23</f>
        <v>-497.24459000000002</v>
      </c>
      <c r="T12" s="11">
        <f>Свод_ОФР!L22+Свод_ОФР!L23</f>
        <v>-459.42226999999997</v>
      </c>
      <c r="U12" s="11">
        <f>Свод_ОФР!M22+Свод_ОФР!M23</f>
        <v>-495.29108999999994</v>
      </c>
      <c r="V12" s="11">
        <f>Свод_ОФР!N22+Свод_ОФР!N23</f>
        <v>-503.63000000000005</v>
      </c>
      <c r="W12" s="11">
        <f>Свод_ОФР!O22+Свод_ОФР!O23</f>
        <v>-507.21240999999998</v>
      </c>
      <c r="X12" s="11">
        <f>Свод_ОФР!P22+Свод_ОФР!P23</f>
        <v>-625.54854999999998</v>
      </c>
      <c r="Y12" s="11">
        <f>Свод_ОФР!Q22+Свод_ОФР!Q23</f>
        <v>-692.33453999999995</v>
      </c>
      <c r="Z12" s="11">
        <f>Свод_ОФР!R22+Свод_ОФР!R23</f>
        <v>-568.66753999999992</v>
      </c>
      <c r="AA12" s="11">
        <f>Свод_ОФР!S22+Свод_ОФР!S23</f>
        <v>-568.66753999999992</v>
      </c>
      <c r="AB12" s="11">
        <f>Свод_ОФР!T22+Свод_ОФР!T23</f>
        <v>-568.66753999999992</v>
      </c>
      <c r="AC12" s="11">
        <f>Свод_ОФР!U22+Свод_ОФР!U23</f>
        <v>-568.66753999999992</v>
      </c>
      <c r="AD12" s="11">
        <f>Свод_ОФР!V22+Свод_ОФР!V23</f>
        <v>-568.66753999999992</v>
      </c>
      <c r="AE12" s="11">
        <f>Свод_ОФР!W22+Свод_ОФР!W23</f>
        <v>-568.66753999999992</v>
      </c>
      <c r="AF12" s="11">
        <f>Свод_ОФР!X22+Свод_ОФР!X23</f>
        <v>-1548.77</v>
      </c>
      <c r="AG12" s="11">
        <f>Свод_ОФР!Y22+Свод_ОФР!Y23</f>
        <v>-1586.5070000000001</v>
      </c>
      <c r="AH12" s="11">
        <f>Свод_ОФР!Z22+Свод_ОФР!Z23</f>
        <v>-1877.6325530236363</v>
      </c>
      <c r="AI12" s="11">
        <f>Свод_ОФР!AA22+Свод_ОФР!AA23</f>
        <v>-1776.1746363569698</v>
      </c>
      <c r="AJ12" s="11">
        <f>Свод_ОФР!AB22+Свод_ОФР!AB23</f>
        <v>-1766.8978446903031</v>
      </c>
      <c r="AK12" s="11">
        <f>Свод_ОФР!AC22+Свод_ОФР!AC23</f>
        <v>-1693.7910113569699</v>
      </c>
      <c r="AL12" s="11">
        <f>Свод_ОФР!AD22+Свод_ОФР!AD23</f>
        <v>-1723.9992334236365</v>
      </c>
      <c r="AM12" s="11">
        <f>Свод_ОФР!AE22+Свод_ОФР!AE23</f>
        <v>-1760.4575111236363</v>
      </c>
      <c r="AN12" s="11">
        <f>Свод_ОФР!AF22+Свод_ОФР!AF23</f>
        <v>-1799.0724554903031</v>
      </c>
      <c r="AO12" s="11">
        <f>Свод_ОФР!AG22+Свод_ОФР!AG23</f>
        <v>-1631.0295108903031</v>
      </c>
      <c r="AP12" s="11">
        <f>Свод_ОФР!AH22+Свод_ОФР!AH23</f>
        <v>-1601.5032885903031</v>
      </c>
      <c r="AQ12" s="11">
        <f>Свод_ОФР!AI22+Свод_ОФР!AI23</f>
        <v>-1531.3520662903031</v>
      </c>
      <c r="AR12" s="11">
        <f>Свод_ОФР!AJ22+Свод_ОФР!AJ23</f>
        <v>-1458.0007883569697</v>
      </c>
      <c r="AS12" s="11">
        <f>Свод_ОФР!AK22+Свод_ОФР!AK23</f>
        <v>-1397.2996216903032</v>
      </c>
      <c r="AT12" s="11">
        <f>Свод_ОФР!AL22+Свод_ОФР!AL23</f>
        <v>-1336.5984550236365</v>
      </c>
      <c r="AU12" s="11">
        <f>Свод_ОФР!AM22+Свод_ОФР!AM23</f>
        <v>-1275.8972883569697</v>
      </c>
      <c r="AV12" s="11">
        <f>Свод_ОФР!AN22+Свод_ОФР!AN23</f>
        <v>-1253.7377883569698</v>
      </c>
      <c r="AW12" s="11">
        <f>Свод_ОФР!AO22+Свод_ОФР!AO23</f>
        <v>-1231.5782883569698</v>
      </c>
      <c r="AX12" s="11">
        <f>Свод_ОФР!AP22+Свод_ОФР!AP23</f>
        <v>-1192.1516766236364</v>
      </c>
      <c r="AY12" s="11">
        <f>Свод_ОФР!AQ22+Свод_ОФР!AQ23</f>
        <v>-1169.9921766236366</v>
      </c>
      <c r="AZ12" s="11">
        <f>Свод_ОФР!AR22+Свод_ОФР!AR23</f>
        <v>-1147.8326766236364</v>
      </c>
      <c r="BA12" s="11">
        <f>Свод_ОФР!AS22+Свод_ОФР!AS23</f>
        <v>-1106.9612321791922</v>
      </c>
      <c r="BB12" s="11">
        <f>Свод_ОФР!AT22+Свод_ОФР!AT23</f>
        <v>-1066.0897877347475</v>
      </c>
      <c r="BC12" s="11">
        <f>Свод_ОФР!AU22+Свод_ОФР!AU23</f>
        <v>-1025.218343290303</v>
      </c>
      <c r="BD12" s="11">
        <f>Свод_ОФР!AV22+Свод_ОФР!AV23</f>
        <v>-984.34689884585862</v>
      </c>
      <c r="BE12" s="11">
        <f>Свод_ОФР!AW22+Свод_ОФР!AW23</f>
        <v>-943.47545440141425</v>
      </c>
      <c r="BF12" s="11">
        <f>Свод_ОФР!AX22+Свод_ОФР!AX23</f>
        <v>-902.60400995696978</v>
      </c>
      <c r="BG12" s="11">
        <f>Свод_ОФР!AY22+Свод_ОФР!AY23</f>
        <v>-880.4445099569698</v>
      </c>
      <c r="BH12" s="11">
        <f>Свод_ОФР!AZ22+Свод_ОФР!AZ23</f>
        <v>-858.28500995696982</v>
      </c>
      <c r="BI12" s="11">
        <f>Свод_ОФР!BA22+Свод_ОФР!BA23</f>
        <v>-836.12550995696984</v>
      </c>
      <c r="BJ12" s="11">
        <f>Свод_ОФР!BB22+Свод_ОФР!BB23</f>
        <v>-723.01906397224252</v>
      </c>
      <c r="BK12" s="11">
        <f>Свод_ОФР!BC22+Свод_ОФР!BC23</f>
        <v>-609.9126179875152</v>
      </c>
      <c r="BL12" s="11">
        <f>Свод_ОФР!BD22+Свод_ОФР!BD23</f>
        <v>-496.80617200278789</v>
      </c>
      <c r="BM12" s="11">
        <f>Свод_ОФР!BE22+Свод_ОФР!BE23</f>
        <v>-383.69972601806063</v>
      </c>
      <c r="BN12" s="11">
        <f>Свод_ОФР!BF22+Свод_ОФР!BF23</f>
        <v>-270.59328003333337</v>
      </c>
      <c r="BO12" s="11">
        <f>Свод_ОФР!BG22+Свод_ОФР!BG23</f>
        <v>-270.59328003333337</v>
      </c>
      <c r="BP12" s="11">
        <f>Свод_ОФР!BH22+Свод_ОФР!BH23</f>
        <v>-270.59328003333337</v>
      </c>
      <c r="BQ12" s="11">
        <f>Свод_ОФР!BI22+Свод_ОФР!BI23</f>
        <v>-270.59328003333337</v>
      </c>
      <c r="BR12" s="11">
        <f>Свод_ОФР!BJ22+Свод_ОФР!BJ23</f>
        <v>-270.59328003333337</v>
      </c>
      <c r="BS12" s="11">
        <f>Свод_ОФР!BK22+Свод_ОФР!BK23</f>
        <v>-270.59328003333337</v>
      </c>
      <c r="BT12" s="11">
        <f>Свод_ОФР!BL22+Свод_ОФР!BL23</f>
        <v>-270.59328003333337</v>
      </c>
      <c r="BU12" s="11">
        <f>Свод_ОФР!BM22+Свод_ОФР!BM23</f>
        <v>-270.59328003333337</v>
      </c>
      <c r="BV12" s="11">
        <f>Свод_ОФР!BN22+Свод_ОФР!BN23</f>
        <v>-270.59328003333337</v>
      </c>
      <c r="BW12" s="11">
        <f>Свод_ОФР!BO22+Свод_ОФР!BO23</f>
        <v>-270.59328003333337</v>
      </c>
      <c r="BX12" s="11">
        <f>Свод_ОФР!BP22+Свод_ОФР!BP23</f>
        <v>-270.59328003333337</v>
      </c>
      <c r="BY12" s="11">
        <f>Свод_ОФР!BQ22+Свод_ОФР!BQ23</f>
        <v>-270.59328003333337</v>
      </c>
      <c r="BZ12" s="11">
        <f>Свод_ОФР!BR22+Свод_ОФР!BR23</f>
        <v>-270.59328003333337</v>
      </c>
      <c r="CA12" s="11">
        <f>Свод_ОФР!BS22+Свод_ОФР!BS23</f>
        <v>-270.59328003333337</v>
      </c>
      <c r="CB12" s="11">
        <f>Свод_ОФР!BT22+Свод_ОФР!BT23</f>
        <v>-270.59328003333337</v>
      </c>
      <c r="CC12" s="11">
        <f>Свод_ОФР!BU22+Свод_ОФР!BU23</f>
        <v>-270.59328003333337</v>
      </c>
      <c r="CD12" s="11">
        <f>Свод_ОФР!BV22+Свод_ОФР!BV23</f>
        <v>-270.59328003333337</v>
      </c>
      <c r="CE12" s="11">
        <f>Свод_ОФР!BW22+Свод_ОФР!BW23</f>
        <v>-270.59328003333337</v>
      </c>
      <c r="CF12" s="11">
        <f>Свод_ОФР!BX22+Свод_ОФР!BX23</f>
        <v>-270.59328003333337</v>
      </c>
      <c r="CG12" s="11">
        <f>Свод_ОФР!BY22+Свод_ОФР!BY23</f>
        <v>-270.59328003333337</v>
      </c>
      <c r="CH12" s="11">
        <f>Свод_ОФР!BZ22+Свод_ОФР!BZ23</f>
        <v>-270.59328003333337</v>
      </c>
      <c r="CI12" s="11">
        <f>Свод_ОФР!CA22+Свод_ОФР!CA23</f>
        <v>-270.59328003333337</v>
      </c>
      <c r="CJ12" s="11">
        <f>Свод_ОФР!CB22+Свод_ОФР!CB23</f>
        <v>-270.59328003333337</v>
      </c>
      <c r="CK12" s="11">
        <f>Свод_ОФР!CC22+Свод_ОФР!CC23</f>
        <v>-270.59328003333337</v>
      </c>
      <c r="CL12" s="11">
        <f>Свод_ОФР!CD22+Свод_ОФР!CD23</f>
        <v>-270.59328003333337</v>
      </c>
      <c r="CM12" s="11">
        <f>Свод_ОФР!CE22+Свод_ОФР!CE23</f>
        <v>-270.59328003333337</v>
      </c>
      <c r="CN12" s="11">
        <f>Свод_ОФР!CF22+Свод_ОФР!CF23</f>
        <v>-270.59328003333337</v>
      </c>
      <c r="CO12" s="11">
        <f>Свод_ОФР!CG22+Свод_ОФР!CG23</f>
        <v>-270.59328003333337</v>
      </c>
      <c r="CP12" s="11">
        <f>Свод_ОФР!CH22+Свод_ОФР!CH23</f>
        <v>-270.59328003333337</v>
      </c>
      <c r="CQ12" s="11">
        <f>Свод_ОФР!CI22+Свод_ОФР!CI23</f>
        <v>-270.59328003333337</v>
      </c>
      <c r="CR12" s="11">
        <f>Свод_ОФР!CJ22+Свод_ОФР!CJ23</f>
        <v>-270.59328003333337</v>
      </c>
      <c r="CS12" s="11">
        <f>Свод_ОФР!CK22+Свод_ОФР!CK23</f>
        <v>-270.59328003333337</v>
      </c>
      <c r="CT12" s="41"/>
      <c r="CU12" s="41"/>
      <c r="CV12" s="41"/>
      <c r="CW12" s="41"/>
      <c r="CX12" s="41"/>
      <c r="CY12" s="41"/>
      <c r="CZ12" s="41"/>
      <c r="DA12" s="41"/>
      <c r="DB12" s="41"/>
      <c r="DC12" s="41"/>
    </row>
    <row r="13" spans="2:107" outlineLevel="1" x14ac:dyDescent="0.25">
      <c r="B13" s="40" t="s">
        <v>306</v>
      </c>
      <c r="C13" s="149">
        <f>Свод_ОФР!CN24</f>
        <v>0</v>
      </c>
      <c r="D13" s="149">
        <f>SUMIF($N$2:$CS$2,D$3,$N13:$CS13)</f>
        <v>-5289.4626400000034</v>
      </c>
      <c r="E13" s="149">
        <f t="shared" si="47"/>
        <v>-3858.9999999999964</v>
      </c>
      <c r="F13" s="149">
        <f t="shared" si="47"/>
        <v>0</v>
      </c>
      <c r="G13" s="149">
        <f t="shared" si="47"/>
        <v>0</v>
      </c>
      <c r="H13" s="149">
        <f t="shared" si="47"/>
        <v>0</v>
      </c>
      <c r="I13" s="149">
        <f t="shared" si="48"/>
        <v>0</v>
      </c>
      <c r="J13" s="149">
        <f t="shared" si="48"/>
        <v>0</v>
      </c>
      <c r="K13" s="42">
        <f t="shared" si="8"/>
        <v>-9148.4626399999997</v>
      </c>
      <c r="L13" s="41"/>
      <c r="M13" s="34"/>
      <c r="N13" s="11">
        <f>Свод_ОФР!F24</f>
        <v>-713.26294000000053</v>
      </c>
      <c r="O13" s="11">
        <f>Свод_ОФР!G24</f>
        <v>-657.25982000000295</v>
      </c>
      <c r="P13" s="11">
        <f>Свод_ОФР!H24</f>
        <v>-389.73338000000149</v>
      </c>
      <c r="Q13" s="11">
        <f>Свод_ОФР!I24</f>
        <v>648.28993000000628</v>
      </c>
      <c r="R13" s="11">
        <f>Свод_ОФР!J24</f>
        <v>-462.16595000000052</v>
      </c>
      <c r="S13" s="11">
        <f>Свод_ОФР!K24</f>
        <v>-457.55459999999948</v>
      </c>
      <c r="T13" s="11">
        <f>Свод_ОФР!L24</f>
        <v>-616.02092000000266</v>
      </c>
      <c r="U13" s="11">
        <f>Свод_ОФР!M24</f>
        <v>-563.42616000000089</v>
      </c>
      <c r="V13" s="11">
        <f>Свод_ОФР!N24</f>
        <v>-308.66974999999911</v>
      </c>
      <c r="W13" s="11">
        <f>Свод_ОФР!O24</f>
        <v>-610.5051999999996</v>
      </c>
      <c r="X13" s="11">
        <f>Свод_ОФР!P24</f>
        <v>-556.06926999999996</v>
      </c>
      <c r="Y13" s="11">
        <f>Свод_ОФР!Q24</f>
        <v>-603.08458000000246</v>
      </c>
      <c r="Z13" s="11">
        <f>Свод_ОФР!R24</f>
        <v>-606.5</v>
      </c>
      <c r="AA13" s="11">
        <f>Свод_ОФР!S24</f>
        <v>-606.5</v>
      </c>
      <c r="AB13" s="11">
        <f>Свод_ОФР!T24</f>
        <v>-606.5</v>
      </c>
      <c r="AC13" s="11">
        <f>Свод_ОФР!U24</f>
        <v>-606.5</v>
      </c>
      <c r="AD13" s="11">
        <f>Свод_ОФР!V24</f>
        <v>-606.5</v>
      </c>
      <c r="AE13" s="11">
        <f>Свод_ОФР!W24</f>
        <v>-606.5</v>
      </c>
      <c r="AF13" s="11">
        <f>Свод_ОФР!X24</f>
        <v>-36.66666666666606</v>
      </c>
      <c r="AG13" s="11">
        <f>Свод_ОФР!Y24</f>
        <v>-36.66666666666606</v>
      </c>
      <c r="AH13" s="11">
        <f>Свод_ОФР!Z24</f>
        <v>-36.66666666666606</v>
      </c>
      <c r="AI13" s="11">
        <f>Свод_ОФР!AA24</f>
        <v>-36.66666666666606</v>
      </c>
      <c r="AJ13" s="11">
        <f>Свод_ОФР!AB24</f>
        <v>-36.66666666666606</v>
      </c>
      <c r="AK13" s="11">
        <f>Свод_ОФР!AC24</f>
        <v>-36.66666666666606</v>
      </c>
      <c r="AL13" s="11">
        <f>Свод_ОФР!AD24</f>
        <v>0</v>
      </c>
      <c r="AM13" s="11">
        <f>Свод_ОФР!AE24</f>
        <v>0</v>
      </c>
      <c r="AN13" s="11">
        <f>Свод_ОФР!AF24</f>
        <v>0</v>
      </c>
      <c r="AO13" s="11">
        <f>Свод_ОФР!AG24</f>
        <v>0</v>
      </c>
      <c r="AP13" s="11">
        <f>Свод_ОФР!AH24</f>
        <v>0</v>
      </c>
      <c r="AQ13" s="11">
        <f>Свод_ОФР!AI24</f>
        <v>0</v>
      </c>
      <c r="AR13" s="11">
        <f>Свод_ОФР!AJ24</f>
        <v>0</v>
      </c>
      <c r="AS13" s="11">
        <f>Свод_ОФР!AK24</f>
        <v>0</v>
      </c>
      <c r="AT13" s="11">
        <f>Свод_ОФР!AL24</f>
        <v>0</v>
      </c>
      <c r="AU13" s="11">
        <f>Свод_ОФР!AM24</f>
        <v>0</v>
      </c>
      <c r="AV13" s="11">
        <f>Свод_ОФР!AN24</f>
        <v>0</v>
      </c>
      <c r="AW13" s="11">
        <f>Свод_ОФР!AO24</f>
        <v>0</v>
      </c>
      <c r="AX13" s="11">
        <f>Свод_ОФР!AP24</f>
        <v>0</v>
      </c>
      <c r="AY13" s="11">
        <f>Свод_ОФР!AQ24</f>
        <v>0</v>
      </c>
      <c r="AZ13" s="11">
        <f>Свод_ОФР!AR24</f>
        <v>0</v>
      </c>
      <c r="BA13" s="11">
        <f>Свод_ОФР!AS24</f>
        <v>0</v>
      </c>
      <c r="BB13" s="11">
        <f>Свод_ОФР!AT24</f>
        <v>0</v>
      </c>
      <c r="BC13" s="11">
        <f>Свод_ОФР!AU24</f>
        <v>0</v>
      </c>
      <c r="BD13" s="11">
        <f>Свод_ОФР!AV24</f>
        <v>0</v>
      </c>
      <c r="BE13" s="11">
        <f>Свод_ОФР!AW24</f>
        <v>0</v>
      </c>
      <c r="BF13" s="11">
        <f>Свод_ОФР!AX24</f>
        <v>0</v>
      </c>
      <c r="BG13" s="11">
        <f>Свод_ОФР!AY24</f>
        <v>0</v>
      </c>
      <c r="BH13" s="11">
        <f>Свод_ОФР!AZ24</f>
        <v>0</v>
      </c>
      <c r="BI13" s="11">
        <f>Свод_ОФР!BA24</f>
        <v>0</v>
      </c>
      <c r="BJ13" s="11">
        <f>Свод_ОФР!BB24</f>
        <v>0</v>
      </c>
      <c r="BK13" s="11">
        <f>Свод_ОФР!BC24</f>
        <v>0</v>
      </c>
      <c r="BL13" s="11">
        <f>Свод_ОФР!BD24</f>
        <v>0</v>
      </c>
      <c r="BM13" s="11">
        <f>Свод_ОФР!BE24</f>
        <v>0</v>
      </c>
      <c r="BN13" s="11">
        <f>Свод_ОФР!BF24</f>
        <v>0</v>
      </c>
      <c r="BO13" s="11">
        <f>Свод_ОФР!BG24</f>
        <v>0</v>
      </c>
      <c r="BP13" s="11">
        <f>Свод_ОФР!BH24</f>
        <v>0</v>
      </c>
      <c r="BQ13" s="11">
        <f>Свод_ОФР!BI24</f>
        <v>0</v>
      </c>
      <c r="BR13" s="11">
        <f>Свод_ОФР!BJ24</f>
        <v>0</v>
      </c>
      <c r="BS13" s="11">
        <f>Свод_ОФР!BK24</f>
        <v>0</v>
      </c>
      <c r="BT13" s="11">
        <f>Свод_ОФР!BL24</f>
        <v>0</v>
      </c>
      <c r="BU13" s="11">
        <f>Свод_ОФР!BM24</f>
        <v>0</v>
      </c>
      <c r="BV13" s="11">
        <f>Свод_ОФР!BN24</f>
        <v>0</v>
      </c>
      <c r="BW13" s="11">
        <f>Свод_ОФР!BO24</f>
        <v>0</v>
      </c>
      <c r="BX13" s="11">
        <f>Свод_ОФР!BP24</f>
        <v>0</v>
      </c>
      <c r="BY13" s="11">
        <f>Свод_ОФР!BQ24</f>
        <v>0</v>
      </c>
      <c r="BZ13" s="11">
        <f>Свод_ОФР!BR24</f>
        <v>0</v>
      </c>
      <c r="CA13" s="11">
        <f>Свод_ОФР!BS24</f>
        <v>0</v>
      </c>
      <c r="CB13" s="11">
        <f>Свод_ОФР!BT24</f>
        <v>0</v>
      </c>
      <c r="CC13" s="11">
        <f>Свод_ОФР!BU24</f>
        <v>0</v>
      </c>
      <c r="CD13" s="11">
        <f>Свод_ОФР!BV24</f>
        <v>0</v>
      </c>
      <c r="CE13" s="11">
        <f>Свод_ОФР!BW24</f>
        <v>0</v>
      </c>
      <c r="CF13" s="11">
        <f>Свод_ОФР!BX24</f>
        <v>0</v>
      </c>
      <c r="CG13" s="11">
        <f>Свод_ОФР!BY24</f>
        <v>0</v>
      </c>
      <c r="CH13" s="11">
        <f>Свод_ОФР!BZ24</f>
        <v>0</v>
      </c>
      <c r="CI13" s="11">
        <f>Свод_ОФР!CA24</f>
        <v>0</v>
      </c>
      <c r="CJ13" s="11">
        <f>Свод_ОФР!CB24</f>
        <v>0</v>
      </c>
      <c r="CK13" s="11">
        <f>Свод_ОФР!CC24</f>
        <v>0</v>
      </c>
      <c r="CL13" s="11">
        <f>Свод_ОФР!CD24</f>
        <v>0</v>
      </c>
      <c r="CM13" s="11">
        <f>Свод_ОФР!CE24</f>
        <v>0</v>
      </c>
      <c r="CN13" s="11">
        <f>Свод_ОФР!CF24</f>
        <v>0</v>
      </c>
      <c r="CO13" s="11">
        <f>Свод_ОФР!CG24</f>
        <v>0</v>
      </c>
      <c r="CP13" s="11">
        <f>Свод_ОФР!CH24</f>
        <v>0</v>
      </c>
      <c r="CQ13" s="11">
        <f>Свод_ОФР!CI24</f>
        <v>0</v>
      </c>
      <c r="CR13" s="11">
        <f>Свод_ОФР!CJ24</f>
        <v>0</v>
      </c>
      <c r="CS13" s="11">
        <f>Свод_ОФР!CK24</f>
        <v>0</v>
      </c>
      <c r="CT13" s="41"/>
      <c r="CU13" s="41"/>
      <c r="CV13" s="41"/>
      <c r="CW13" s="41"/>
      <c r="CX13" s="41"/>
      <c r="CY13" s="41"/>
      <c r="CZ13" s="41"/>
      <c r="DA13" s="41"/>
      <c r="DB13" s="41"/>
      <c r="DC13" s="41"/>
    </row>
    <row r="14" spans="2:107" outlineLevel="1" x14ac:dyDescent="0.25">
      <c r="B14" s="40" t="s">
        <v>62</v>
      </c>
      <c r="C14" s="149">
        <f>C11+C12+C13</f>
        <v>18510</v>
      </c>
      <c r="D14" s="149">
        <f t="shared" ref="D14:H14" si="49">D11+D12+D13</f>
        <v>42001.375280857079</v>
      </c>
      <c r="E14" s="149">
        <f t="shared" si="49"/>
        <v>49063.352856787809</v>
      </c>
      <c r="F14" s="149">
        <f t="shared" si="49"/>
        <v>75239.528168484496</v>
      </c>
      <c r="G14" s="149">
        <f t="shared" si="49"/>
        <v>256299.81316556036</v>
      </c>
      <c r="H14" s="149">
        <f t="shared" si="49"/>
        <v>328772.00169648649</v>
      </c>
      <c r="I14" s="149">
        <f t="shared" ref="I14:J14" si="50">I11+I12+I13</f>
        <v>416324.68406420964</v>
      </c>
      <c r="J14" s="149">
        <f t="shared" si="50"/>
        <v>501244.46137679281</v>
      </c>
      <c r="K14" s="42">
        <f t="shared" si="8"/>
        <v>1687455.2166091786</v>
      </c>
      <c r="L14" s="41"/>
      <c r="M14" s="34"/>
      <c r="N14" s="41">
        <f>N11+N12+N13</f>
        <v>231.96868903337452</v>
      </c>
      <c r="O14" s="41">
        <f t="shared" ref="O14:BZ14" si="51">O11+O12+O13</f>
        <v>3364.3981762738954</v>
      </c>
      <c r="P14" s="41">
        <f t="shared" si="51"/>
        <v>2323.7332564059434</v>
      </c>
      <c r="Q14" s="41">
        <f t="shared" si="51"/>
        <v>4495.1506711893016</v>
      </c>
      <c r="R14" s="41">
        <f t="shared" si="51"/>
        <v>3652.9740003854249</v>
      </c>
      <c r="S14" s="41">
        <f t="shared" si="51"/>
        <v>2631.0352563036504</v>
      </c>
      <c r="T14" s="41">
        <f t="shared" si="51"/>
        <v>4547.8341659330572</v>
      </c>
      <c r="U14" s="41">
        <f t="shared" si="51"/>
        <v>3656.5450281340172</v>
      </c>
      <c r="V14" s="41">
        <f t="shared" si="51"/>
        <v>3706.9606898251741</v>
      </c>
      <c r="W14" s="41">
        <f t="shared" si="51"/>
        <v>2869.4898145691063</v>
      </c>
      <c r="X14" s="41">
        <f t="shared" si="51"/>
        <v>4404.9178330676059</v>
      </c>
      <c r="Y14" s="41">
        <f t="shared" si="51"/>
        <v>6116.3676997364837</v>
      </c>
      <c r="Z14" s="41">
        <f t="shared" si="51"/>
        <v>1667.3077140995279</v>
      </c>
      <c r="AA14" s="41">
        <f t="shared" si="51"/>
        <v>-666.57552169352357</v>
      </c>
      <c r="AB14" s="41">
        <f t="shared" si="51"/>
        <v>11676.830572457993</v>
      </c>
      <c r="AC14" s="41">
        <f t="shared" si="51"/>
        <v>532.2093240722711</v>
      </c>
      <c r="AD14" s="41">
        <f t="shared" si="51"/>
        <v>2577.2636444860645</v>
      </c>
      <c r="AE14" s="41">
        <f t="shared" si="51"/>
        <v>2500.1660328655962</v>
      </c>
      <c r="AF14" s="41">
        <f t="shared" si="51"/>
        <v>1834.5684495224882</v>
      </c>
      <c r="AG14" s="41">
        <f t="shared" si="51"/>
        <v>1557.9870159212883</v>
      </c>
      <c r="AH14" s="41">
        <f t="shared" si="51"/>
        <v>1712.2195732711943</v>
      </c>
      <c r="AI14" s="41">
        <f t="shared" si="51"/>
        <v>7801.6947041776357</v>
      </c>
      <c r="AJ14" s="41">
        <f t="shared" si="51"/>
        <v>7425.7567919674921</v>
      </c>
      <c r="AK14" s="41">
        <f t="shared" si="51"/>
        <v>10443.924555639838</v>
      </c>
      <c r="AL14" s="41">
        <f t="shared" si="51"/>
        <v>845.30048945815292</v>
      </c>
      <c r="AM14" s="41">
        <f t="shared" si="51"/>
        <v>1178.9377669713158</v>
      </c>
      <c r="AN14" s="41">
        <f t="shared" si="51"/>
        <v>3423.4343638588266</v>
      </c>
      <c r="AO14" s="41">
        <f t="shared" si="51"/>
        <v>3603.5019021438693</v>
      </c>
      <c r="AP14" s="41">
        <f t="shared" si="51"/>
        <v>4180.9988799975472</v>
      </c>
      <c r="AQ14" s="41">
        <f t="shared" si="51"/>
        <v>4151.8162125802055</v>
      </c>
      <c r="AR14" s="41">
        <f t="shared" si="51"/>
        <v>1757.8937879228738</v>
      </c>
      <c r="AS14" s="41">
        <f t="shared" si="51"/>
        <v>8135.2410068020308</v>
      </c>
      <c r="AT14" s="41">
        <f t="shared" si="51"/>
        <v>9928.234493771628</v>
      </c>
      <c r="AU14" s="41">
        <f t="shared" si="51"/>
        <v>10328.541593879692</v>
      </c>
      <c r="AV14" s="41">
        <f t="shared" si="51"/>
        <v>11259.513370613686</v>
      </c>
      <c r="AW14" s="41">
        <f t="shared" si="51"/>
        <v>16446.114300484674</v>
      </c>
      <c r="AX14" s="41">
        <f t="shared" si="51"/>
        <v>13740.660697062478</v>
      </c>
      <c r="AY14" s="41">
        <f t="shared" si="51"/>
        <v>16727.401274841512</v>
      </c>
      <c r="AZ14" s="41">
        <f t="shared" si="51"/>
        <v>20138.339603295095</v>
      </c>
      <c r="BA14" s="41">
        <f t="shared" si="51"/>
        <v>21374.303492188817</v>
      </c>
      <c r="BB14" s="41">
        <f t="shared" si="51"/>
        <v>22736.57085745587</v>
      </c>
      <c r="BC14" s="41">
        <f t="shared" si="51"/>
        <v>22471.750625931698</v>
      </c>
      <c r="BD14" s="41">
        <f t="shared" si="51"/>
        <v>23336.741927700819</v>
      </c>
      <c r="BE14" s="41">
        <f t="shared" si="51"/>
        <v>23152.701702861748</v>
      </c>
      <c r="BF14" s="41">
        <f t="shared" si="51"/>
        <v>22134.749217910579</v>
      </c>
      <c r="BG14" s="41">
        <f t="shared" si="51"/>
        <v>21235.087669672033</v>
      </c>
      <c r="BH14" s="41">
        <f t="shared" si="51"/>
        <v>19749.612108485795</v>
      </c>
      <c r="BI14" s="41">
        <f t="shared" si="51"/>
        <v>29501.893988154035</v>
      </c>
      <c r="BJ14" s="41">
        <f t="shared" si="51"/>
        <v>19722.257454163617</v>
      </c>
      <c r="BK14" s="41">
        <f t="shared" si="51"/>
        <v>21739.406823508893</v>
      </c>
      <c r="BL14" s="41">
        <f t="shared" si="51"/>
        <v>24898.525379385526</v>
      </c>
      <c r="BM14" s="41">
        <f t="shared" si="51"/>
        <v>26873.383850700808</v>
      </c>
      <c r="BN14" s="41">
        <f t="shared" si="51"/>
        <v>28802.85957572941</v>
      </c>
      <c r="BO14" s="41">
        <f t="shared" si="51"/>
        <v>29740.086680344975</v>
      </c>
      <c r="BP14" s="41">
        <f t="shared" si="51"/>
        <v>30696.237387360503</v>
      </c>
      <c r="BQ14" s="41">
        <f t="shared" si="51"/>
        <v>29057.983601364987</v>
      </c>
      <c r="BR14" s="41">
        <f t="shared" si="51"/>
        <v>27736.821499605092</v>
      </c>
      <c r="BS14" s="41">
        <f t="shared" si="51"/>
        <v>26460.041462089153</v>
      </c>
      <c r="BT14" s="41">
        <f t="shared" si="51"/>
        <v>25224.376787860441</v>
      </c>
      <c r="BU14" s="41">
        <f t="shared" si="51"/>
        <v>37820.021194373054</v>
      </c>
      <c r="BV14" s="41">
        <f t="shared" si="51"/>
        <v>25145.420938888907</v>
      </c>
      <c r="BW14" s="41">
        <f t="shared" si="51"/>
        <v>27358.550055174077</v>
      </c>
      <c r="BX14" s="41">
        <f t="shared" si="51"/>
        <v>32050.321138436939</v>
      </c>
      <c r="BY14" s="41">
        <f t="shared" si="51"/>
        <v>34213.796964499117</v>
      </c>
      <c r="BZ14" s="41">
        <f t="shared" si="51"/>
        <v>36328.330984810127</v>
      </c>
      <c r="CA14" s="41">
        <f t="shared" ref="CA14:CT14" si="52">CA11+CA12+CA13</f>
        <v>37417.571687049473</v>
      </c>
      <c r="CB14" s="41">
        <f t="shared" si="52"/>
        <v>38528.941388215891</v>
      </c>
      <c r="CC14" s="41">
        <f t="shared" si="52"/>
        <v>36617.308007634376</v>
      </c>
      <c r="CD14" s="41">
        <f t="shared" si="52"/>
        <v>35072.621269913972</v>
      </c>
      <c r="CE14" s="41">
        <f t="shared" si="52"/>
        <v>34618.593966697306</v>
      </c>
      <c r="CF14" s="41">
        <f t="shared" si="52"/>
        <v>32134.821268149015</v>
      </c>
      <c r="CG14" s="41">
        <f t="shared" ref="CG14:CS14" si="53">CG11+CG12+CG13</f>
        <v>46838.406394740428</v>
      </c>
      <c r="CH14" s="41">
        <f t="shared" si="53"/>
        <v>29940.980882481406</v>
      </c>
      <c r="CI14" s="41">
        <f t="shared" si="53"/>
        <v>32157.137459655558</v>
      </c>
      <c r="CJ14" s="41">
        <f t="shared" si="53"/>
        <v>38798.318666045976</v>
      </c>
      <c r="CK14" s="41">
        <f t="shared" si="53"/>
        <v>41279.228658183783</v>
      </c>
      <c r="CL14" s="41">
        <f t="shared" si="53"/>
        <v>43690.37537797093</v>
      </c>
      <c r="CM14" s="41">
        <f t="shared" si="53"/>
        <v>44942.511496734893</v>
      </c>
      <c r="CN14" s="41">
        <f t="shared" si="53"/>
        <v>46220.499826235624</v>
      </c>
      <c r="CO14" s="41">
        <f t="shared" si="53"/>
        <v>44057.987075870325</v>
      </c>
      <c r="CP14" s="41">
        <f t="shared" si="53"/>
        <v>43567.071051736639</v>
      </c>
      <c r="CQ14" s="41">
        <f t="shared" si="53"/>
        <v>41843.273395705663</v>
      </c>
      <c r="CR14" s="41">
        <f t="shared" si="53"/>
        <v>39028.11965936832</v>
      </c>
      <c r="CS14" s="41">
        <f t="shared" si="53"/>
        <v>55718.957826803366</v>
      </c>
      <c r="CT14" s="41">
        <f t="shared" si="52"/>
        <v>0</v>
      </c>
      <c r="CU14" s="41"/>
      <c r="CV14" s="41"/>
      <c r="CW14" s="41"/>
      <c r="CX14" s="41"/>
      <c r="CY14" s="41"/>
      <c r="CZ14" s="41"/>
      <c r="DA14" s="41"/>
      <c r="DB14" s="41"/>
      <c r="DC14" s="41"/>
    </row>
    <row r="15" spans="2:107" outlineLevel="1" x14ac:dyDescent="0.25">
      <c r="B15" s="40" t="s">
        <v>60</v>
      </c>
      <c r="C15" s="149">
        <f>Свод_ОФР!CN28</f>
        <v>-2925</v>
      </c>
      <c r="D15" s="149">
        <f>SUMIF($N$2:$CS$2,D$3,$N15:$CS15)</f>
        <v>-9993.3303117808427</v>
      </c>
      <c r="E15" s="149">
        <f>SUMIF($T$2:$CS$2,E$3,$T15:$CS15)</f>
        <v>-13656.274592676888</v>
      </c>
      <c r="F15" s="149">
        <f>SUMIF($T$2:$CS$2,F$3,$T15:$CS15)</f>
        <v>-18809.882042121128</v>
      </c>
      <c r="G15" s="149">
        <f>SUMIF($T$2:$CS$2,G$3,$T15:$CS15)</f>
        <v>-64074.953291390128</v>
      </c>
      <c r="H15" s="149">
        <f>SUMIF($T$2:$CS$2,H$3,$T15:$CS15)</f>
        <v>-82193.000424121594</v>
      </c>
      <c r="I15" s="149">
        <f t="shared" ref="I15:J15" si="54">SUMIF($T$2:$CS$2,I$3,$T15:$CS15)</f>
        <v>-104081.17101605241</v>
      </c>
      <c r="J15" s="149">
        <f t="shared" si="54"/>
        <v>-125311.11534419813</v>
      </c>
      <c r="K15" s="42">
        <f t="shared" si="8"/>
        <v>-421044.7270223411</v>
      </c>
      <c r="L15" s="41"/>
      <c r="M15" s="34"/>
      <c r="N15" s="11">
        <f>Свод_ОФР!F28</f>
        <v>-24.781255175160901</v>
      </c>
      <c r="O15" s="11">
        <f>Свод_ОФР!G28</f>
        <v>-787.84327927166157</v>
      </c>
      <c r="P15" s="11">
        <f>Свод_ОФР!H28</f>
        <v>-541.37673163828674</v>
      </c>
      <c r="Q15" s="11">
        <f>Свод_ОФР!I28</f>
        <v>-1075.6139248620291</v>
      </c>
      <c r="R15" s="11">
        <f>Свод_ОФР!J28</f>
        <v>-858.99445259752258</v>
      </c>
      <c r="S15" s="11">
        <f>Свод_ОФР!K28</f>
        <v>-615.67157930474264</v>
      </c>
      <c r="T15" s="11">
        <f>Свод_ОФР!L28</f>
        <v>-1072.4980901587635</v>
      </c>
      <c r="U15" s="11">
        <f>Свод_ОФР!M28</f>
        <v>-861.49206670231013</v>
      </c>
      <c r="V15" s="11">
        <f>Свод_ОФР!N28</f>
        <v>-875.52501731242148</v>
      </c>
      <c r="W15" s="11">
        <f>Свод_ОФР!O28</f>
        <v>-792.7510796020631</v>
      </c>
      <c r="X15" s="11">
        <f>Свод_ОФР!P28</f>
        <v>-1039.8318595404778</v>
      </c>
      <c r="Y15" s="11">
        <f>Свод_ОФР!Q28</f>
        <v>-1446.9509756154034</v>
      </c>
      <c r="Z15" s="11">
        <f>Свод_ОФР!R28</f>
        <v>-443.09815372020933</v>
      </c>
      <c r="AA15" s="11">
        <f>Свод_ОФР!S28</f>
        <v>0</v>
      </c>
      <c r="AB15" s="11">
        <f>Свод_ОФР!T28</f>
        <v>-2075.9077796446427</v>
      </c>
      <c r="AC15" s="11">
        <f>Свод_ОФР!U28</f>
        <v>-159.7500573095366</v>
      </c>
      <c r="AD15" s="11">
        <f>Свод_ОФР!V28</f>
        <v>-671.86545007917834</v>
      </c>
      <c r="AE15" s="11">
        <f>Свод_ОФР!W28</f>
        <v>-650.76482887686211</v>
      </c>
      <c r="AF15" s="11">
        <f>Свод_ОФР!X28</f>
        <v>-768.28125016722424</v>
      </c>
      <c r="AG15" s="11">
        <f>Свод_ОФР!Y28</f>
        <v>-637.32176869070372</v>
      </c>
      <c r="AH15" s="11">
        <f>Свод_ОФР!Z28</f>
        <v>-936.441291242288</v>
      </c>
      <c r="AI15" s="11">
        <f>Свод_ОФР!AA28</f>
        <v>-2248.4236760444091</v>
      </c>
      <c r="AJ15" s="11">
        <f>Свод_ОФР!AB28</f>
        <v>-2154.4391979918728</v>
      </c>
      <c r="AK15" s="11">
        <f>Свод_ОФР!AC28</f>
        <v>-2909.9811389099596</v>
      </c>
      <c r="AL15" s="11">
        <f>Свод_ОФР!AD28</f>
        <v>-211.32512236453846</v>
      </c>
      <c r="AM15" s="11">
        <f>Свод_ОФР!AE28</f>
        <v>-294.73444174282895</v>
      </c>
      <c r="AN15" s="11">
        <f>Свод_ОФР!AF28</f>
        <v>-855.85859096470665</v>
      </c>
      <c r="AO15" s="11">
        <f>Свод_ОФР!AG28</f>
        <v>-900.87547553596733</v>
      </c>
      <c r="AP15" s="11">
        <f>Свод_ОФР!AH28</f>
        <v>-1045.2497199993868</v>
      </c>
      <c r="AQ15" s="11">
        <f>Свод_ОФР!AI28</f>
        <v>-1037.9540531450514</v>
      </c>
      <c r="AR15" s="11">
        <f>Свод_ОФР!AJ28</f>
        <v>-439.47344698071845</v>
      </c>
      <c r="AS15" s="11">
        <f>Свод_ОФР!AK28</f>
        <v>-2033.8102517005077</v>
      </c>
      <c r="AT15" s="11">
        <f>Свод_ОФР!AL28</f>
        <v>-2482.0586234429065</v>
      </c>
      <c r="AU15" s="11">
        <f>Свод_ОФР!AM28</f>
        <v>-2582.1353984699231</v>
      </c>
      <c r="AV15" s="11">
        <f>Свод_ОФР!AN28</f>
        <v>-2814.8783426534214</v>
      </c>
      <c r="AW15" s="11">
        <f>Свод_ОФР!AO28</f>
        <v>-4111.5285751211686</v>
      </c>
      <c r="AX15" s="11">
        <f>Свод_ОФР!AP28</f>
        <v>-3435.1651742656195</v>
      </c>
      <c r="AY15" s="11">
        <f>Свод_ОФР!AQ28</f>
        <v>-4181.8503187103779</v>
      </c>
      <c r="AZ15" s="11">
        <f>Свод_ОФР!AR28</f>
        <v>-5034.5849008237738</v>
      </c>
      <c r="BA15" s="11">
        <f>Свод_ОФР!AS28</f>
        <v>-5343.5758730472044</v>
      </c>
      <c r="BB15" s="11">
        <f>Свод_ОФР!AT28</f>
        <v>-5684.1427143639676</v>
      </c>
      <c r="BC15" s="11">
        <f>Свод_ОФР!AU28</f>
        <v>-5617.9376564829245</v>
      </c>
      <c r="BD15" s="11">
        <f>Свод_ОФР!AV28</f>
        <v>-5834.1854819252067</v>
      </c>
      <c r="BE15" s="11">
        <f>Свод_ОФР!AW28</f>
        <v>-5788.1754257154371</v>
      </c>
      <c r="BF15" s="11">
        <f>Свод_ОФР!AX28</f>
        <v>-5533.6873044776448</v>
      </c>
      <c r="BG15" s="11">
        <f>Свод_ОФР!AY28</f>
        <v>-5308.7719174180093</v>
      </c>
      <c r="BH15" s="11">
        <f>Свод_ОФР!AZ28</f>
        <v>-4937.4030271214506</v>
      </c>
      <c r="BI15" s="11">
        <f>Свод_ОФР!BA28</f>
        <v>-7375.4734970385107</v>
      </c>
      <c r="BJ15" s="11">
        <f>Свод_ОФР!BB28</f>
        <v>-4930.5643635409042</v>
      </c>
      <c r="BK15" s="11">
        <f>Свод_ОФР!BC28</f>
        <v>-5434.8517058772231</v>
      </c>
      <c r="BL15" s="11">
        <f>Свод_ОФР!BD28</f>
        <v>-6224.6313448463816</v>
      </c>
      <c r="BM15" s="11">
        <f>Свод_ОФР!BE28</f>
        <v>-6718.3459626752019</v>
      </c>
      <c r="BN15" s="11">
        <f>Свод_ОФР!BF28</f>
        <v>-7200.7148939323524</v>
      </c>
      <c r="BO15" s="11">
        <f>Свод_ОФР!BG28</f>
        <v>-7435.0216700862438</v>
      </c>
      <c r="BP15" s="11">
        <f>Свод_ОФР!BH28</f>
        <v>-7674.0593468401257</v>
      </c>
      <c r="BQ15" s="11">
        <f>Свод_ОФР!BI28</f>
        <v>-7264.495900341245</v>
      </c>
      <c r="BR15" s="11">
        <f>Свод_ОФР!BJ28</f>
        <v>-6934.205374901273</v>
      </c>
      <c r="BS15" s="11">
        <f>Свод_ОФР!BK28</f>
        <v>-6615.0103655222892</v>
      </c>
      <c r="BT15" s="11">
        <f>Свод_ОФР!BL28</f>
        <v>-6306.0941969651094</v>
      </c>
      <c r="BU15" s="11">
        <f>Свод_ОФР!BM28</f>
        <v>-9455.0052985932634</v>
      </c>
      <c r="BV15" s="11">
        <f>Свод_ОФР!BN28</f>
        <v>-6286.3552347222267</v>
      </c>
      <c r="BW15" s="11">
        <f>Свод_ОФР!BO28</f>
        <v>-6839.6375137935192</v>
      </c>
      <c r="BX15" s="11">
        <f>Свод_ОФР!BP28</f>
        <v>-8012.5802846092347</v>
      </c>
      <c r="BY15" s="11">
        <f>Свод_ОФР!BQ28</f>
        <v>-8553.4492411247811</v>
      </c>
      <c r="BZ15" s="11">
        <f>Свод_ОФР!BR28</f>
        <v>-9082.0827462025318</v>
      </c>
      <c r="CA15" s="11">
        <f>Свод_ОФР!BS28</f>
        <v>-9354.3929217623681</v>
      </c>
      <c r="CB15" s="11">
        <f>Свод_ОФР!BT28</f>
        <v>-9632.2353470539729</v>
      </c>
      <c r="CC15" s="11">
        <f>Свод_ОФР!BU28</f>
        <v>-9154.327001908594</v>
      </c>
      <c r="CD15" s="11">
        <f>Свод_ОФР!BV28</f>
        <v>-8768.1553174784931</v>
      </c>
      <c r="CE15" s="11">
        <f>Свод_ОФР!BW28</f>
        <v>-8654.6484916743266</v>
      </c>
      <c r="CF15" s="11">
        <f>Свод_ОФР!BX28</f>
        <v>-8033.7053170372519</v>
      </c>
      <c r="CG15" s="11">
        <f>Свод_ОФР!BY28</f>
        <v>-11709.601598685107</v>
      </c>
      <c r="CH15" s="11">
        <f>Свод_ОФР!BZ28</f>
        <v>-7485.2452206203516</v>
      </c>
      <c r="CI15" s="11">
        <f>Свод_ОФР!CA28</f>
        <v>-8039.2843649138895</v>
      </c>
      <c r="CJ15" s="11">
        <f>Свод_ОФР!CB28</f>
        <v>-9699.579666511494</v>
      </c>
      <c r="CK15" s="11">
        <f>Свод_ОФР!CC28</f>
        <v>-10319.807164545946</v>
      </c>
      <c r="CL15" s="11">
        <f>Свод_ОФР!CD28</f>
        <v>-10922.593844492732</v>
      </c>
      <c r="CM15" s="11">
        <f>Свод_ОФР!CE28</f>
        <v>-11235.627874183723</v>
      </c>
      <c r="CN15" s="11">
        <f>Свод_ОФР!CF28</f>
        <v>-11555.124956558906</v>
      </c>
      <c r="CO15" s="11">
        <f>Свод_ОФР!CG28</f>
        <v>-11014.496768967583</v>
      </c>
      <c r="CP15" s="11">
        <f>Свод_ОФР!CH28</f>
        <v>-10891.76776293416</v>
      </c>
      <c r="CQ15" s="11">
        <f>Свод_ОФР!CI28</f>
        <v>-10460.818348926414</v>
      </c>
      <c r="CR15" s="11">
        <f>Свод_ОФР!CJ28</f>
        <v>-9757.02991484208</v>
      </c>
      <c r="CS15" s="11">
        <f>Свод_ОФР!CK28</f>
        <v>-13929.739456700843</v>
      </c>
      <c r="CT15" s="41"/>
      <c r="CU15" s="41"/>
      <c r="CV15" s="41"/>
      <c r="CW15" s="41"/>
      <c r="CX15" s="41"/>
      <c r="CY15" s="41"/>
      <c r="CZ15" s="41"/>
      <c r="DA15" s="41"/>
      <c r="DB15" s="41"/>
      <c r="DC15" s="41"/>
    </row>
    <row r="16" spans="2:107" outlineLevel="1" x14ac:dyDescent="0.25">
      <c r="B16" s="44" t="s">
        <v>57</v>
      </c>
      <c r="C16" s="45">
        <f>C14+C15</f>
        <v>15585</v>
      </c>
      <c r="D16" s="45">
        <f>D14+D15</f>
        <v>32008.044969076236</v>
      </c>
      <c r="E16" s="45">
        <f t="shared" ref="E16" si="55">E14+E15</f>
        <v>35407.078264110925</v>
      </c>
      <c r="F16" s="45">
        <f t="shared" ref="F16:G16" si="56">F14+F15</f>
        <v>56429.646126363368</v>
      </c>
      <c r="G16" s="45">
        <f t="shared" si="56"/>
        <v>192224.85987417024</v>
      </c>
      <c r="H16" s="45">
        <f t="shared" ref="H16" si="57">H14+H15</f>
        <v>246579.0012723649</v>
      </c>
      <c r="I16" s="45">
        <f t="shared" ref="I16:J16" si="58">I14+I15</f>
        <v>312243.51304815721</v>
      </c>
      <c r="J16" s="45">
        <f t="shared" si="58"/>
        <v>375933.34603259468</v>
      </c>
      <c r="K16" s="46">
        <f t="shared" si="8"/>
        <v>1266410.4895868376</v>
      </c>
      <c r="L16" s="45"/>
      <c r="M16" s="34"/>
      <c r="N16" s="45">
        <f t="shared" ref="N16" si="59">N14+N15</f>
        <v>207.18743385821361</v>
      </c>
      <c r="O16" s="45">
        <f t="shared" ref="O16:S16" si="60">O14+O15</f>
        <v>2576.5548970022337</v>
      </c>
      <c r="P16" s="45">
        <f t="shared" si="60"/>
        <v>1782.3565247676565</v>
      </c>
      <c r="Q16" s="45">
        <f t="shared" si="60"/>
        <v>3419.5367463272723</v>
      </c>
      <c r="R16" s="45">
        <f t="shared" si="60"/>
        <v>2793.9795477879024</v>
      </c>
      <c r="S16" s="45">
        <f t="shared" si="60"/>
        <v>2015.3636769989077</v>
      </c>
      <c r="T16" s="45">
        <f t="shared" ref="T16:AT16" si="61">T14+T15</f>
        <v>3475.3360757742939</v>
      </c>
      <c r="U16" s="45">
        <f t="shared" si="61"/>
        <v>2795.052961431707</v>
      </c>
      <c r="V16" s="45">
        <f t="shared" si="61"/>
        <v>2831.4356725127527</v>
      </c>
      <c r="W16" s="45">
        <f t="shared" si="61"/>
        <v>2076.7387349670435</v>
      </c>
      <c r="X16" s="45">
        <f t="shared" si="61"/>
        <v>3365.0859735271279</v>
      </c>
      <c r="Y16" s="45">
        <f t="shared" si="61"/>
        <v>4669.4167241210798</v>
      </c>
      <c r="Z16" s="45">
        <f t="shared" si="61"/>
        <v>1224.2095603793186</v>
      </c>
      <c r="AA16" s="45">
        <f t="shared" si="61"/>
        <v>-666.57552169352357</v>
      </c>
      <c r="AB16" s="45">
        <f t="shared" si="61"/>
        <v>9600.9227928133514</v>
      </c>
      <c r="AC16" s="45">
        <f t="shared" si="61"/>
        <v>372.4592667627345</v>
      </c>
      <c r="AD16" s="45">
        <f t="shared" si="61"/>
        <v>1905.3981944068862</v>
      </c>
      <c r="AE16" s="45">
        <f t="shared" si="61"/>
        <v>1849.4012039887341</v>
      </c>
      <c r="AF16" s="45">
        <f t="shared" si="61"/>
        <v>1066.287199355264</v>
      </c>
      <c r="AG16" s="45">
        <f t="shared" si="61"/>
        <v>920.66524723058455</v>
      </c>
      <c r="AH16" s="45">
        <f t="shared" si="61"/>
        <v>775.77828202890635</v>
      </c>
      <c r="AI16" s="45">
        <f t="shared" si="61"/>
        <v>5553.2710281332265</v>
      </c>
      <c r="AJ16" s="45">
        <f t="shared" si="61"/>
        <v>5271.3175939756193</v>
      </c>
      <c r="AK16" s="45">
        <f t="shared" si="61"/>
        <v>7533.9434167298787</v>
      </c>
      <c r="AL16" s="45">
        <f t="shared" si="61"/>
        <v>633.97536709361452</v>
      </c>
      <c r="AM16" s="45">
        <f t="shared" si="61"/>
        <v>884.20332522848685</v>
      </c>
      <c r="AN16" s="45">
        <f t="shared" si="61"/>
        <v>2567.5757728941198</v>
      </c>
      <c r="AO16" s="45">
        <f t="shared" si="61"/>
        <v>2702.626426607902</v>
      </c>
      <c r="AP16" s="45">
        <f t="shared" si="61"/>
        <v>3135.7491599981604</v>
      </c>
      <c r="AQ16" s="45">
        <f t="shared" si="61"/>
        <v>3113.8621594351544</v>
      </c>
      <c r="AR16" s="45">
        <f t="shared" si="61"/>
        <v>1318.4203409421552</v>
      </c>
      <c r="AS16" s="45">
        <f t="shared" si="61"/>
        <v>6101.4307551015227</v>
      </c>
      <c r="AT16" s="45">
        <f t="shared" si="61"/>
        <v>7446.1758703287214</v>
      </c>
      <c r="AU16" s="45">
        <f t="shared" ref="AU16:BB16" si="62">AU14+AU15</f>
        <v>7746.4061954097688</v>
      </c>
      <c r="AV16" s="45">
        <f t="shared" si="62"/>
        <v>8444.6350279602648</v>
      </c>
      <c r="AW16" s="45">
        <f t="shared" si="62"/>
        <v>12334.585725363506</v>
      </c>
      <c r="AX16" s="45">
        <f t="shared" si="62"/>
        <v>10305.495522796858</v>
      </c>
      <c r="AY16" s="45">
        <f t="shared" si="62"/>
        <v>12545.550956131134</v>
      </c>
      <c r="AZ16" s="45">
        <f t="shared" si="62"/>
        <v>15103.75470247132</v>
      </c>
      <c r="BA16" s="45">
        <f t="shared" si="62"/>
        <v>16030.727619141613</v>
      </c>
      <c r="BB16" s="45">
        <f t="shared" si="62"/>
        <v>17052.428143091904</v>
      </c>
      <c r="BC16" s="45">
        <f t="shared" ref="BC16:BZ16" si="63">BC14+BC15</f>
        <v>16853.812969448772</v>
      </c>
      <c r="BD16" s="45">
        <f t="shared" si="63"/>
        <v>17502.556445775612</v>
      </c>
      <c r="BE16" s="45">
        <f t="shared" si="63"/>
        <v>17364.526277146309</v>
      </c>
      <c r="BF16" s="45">
        <f t="shared" si="63"/>
        <v>16601.061913432935</v>
      </c>
      <c r="BG16" s="45">
        <f t="shared" si="63"/>
        <v>15926.315752254024</v>
      </c>
      <c r="BH16" s="45">
        <f t="shared" si="63"/>
        <v>14812.209081364344</v>
      </c>
      <c r="BI16" s="45">
        <f t="shared" si="63"/>
        <v>22126.420491115525</v>
      </c>
      <c r="BJ16" s="45">
        <f t="shared" si="63"/>
        <v>14791.693090622713</v>
      </c>
      <c r="BK16" s="45">
        <f t="shared" si="63"/>
        <v>16304.555117631669</v>
      </c>
      <c r="BL16" s="45">
        <f t="shared" si="63"/>
        <v>18673.894034539146</v>
      </c>
      <c r="BM16" s="45">
        <f t="shared" si="63"/>
        <v>20155.037888025607</v>
      </c>
      <c r="BN16" s="45">
        <f t="shared" si="63"/>
        <v>21602.144681797057</v>
      </c>
      <c r="BO16" s="45">
        <f t="shared" si="63"/>
        <v>22305.065010258731</v>
      </c>
      <c r="BP16" s="45">
        <f t="shared" si="63"/>
        <v>23022.178040520375</v>
      </c>
      <c r="BQ16" s="45">
        <f t="shared" si="63"/>
        <v>21793.487701023743</v>
      </c>
      <c r="BR16" s="45">
        <f t="shared" si="63"/>
        <v>20802.616124703818</v>
      </c>
      <c r="BS16" s="45">
        <f t="shared" si="63"/>
        <v>19845.031096566865</v>
      </c>
      <c r="BT16" s="45">
        <f t="shared" si="63"/>
        <v>18918.282590895331</v>
      </c>
      <c r="BU16" s="45">
        <f t="shared" si="63"/>
        <v>28365.01589577979</v>
      </c>
      <c r="BV16" s="45">
        <f t="shared" si="63"/>
        <v>18859.065704166678</v>
      </c>
      <c r="BW16" s="45">
        <f t="shared" si="63"/>
        <v>20518.91254138056</v>
      </c>
      <c r="BX16" s="45">
        <f t="shared" si="63"/>
        <v>24037.740853827705</v>
      </c>
      <c r="BY16" s="45">
        <f t="shared" si="63"/>
        <v>25660.347723374336</v>
      </c>
      <c r="BZ16" s="45">
        <f t="shared" si="63"/>
        <v>27246.248238607594</v>
      </c>
      <c r="CA16" s="45">
        <f t="shared" ref="CA16:CD16" si="64">CA14+CA15</f>
        <v>28063.178765287106</v>
      </c>
      <c r="CB16" s="45">
        <f t="shared" si="64"/>
        <v>28896.706041161917</v>
      </c>
      <c r="CC16" s="45">
        <f t="shared" si="64"/>
        <v>27462.981005725782</v>
      </c>
      <c r="CD16" s="45">
        <f t="shared" si="64"/>
        <v>26304.465952435479</v>
      </c>
      <c r="CE16" s="45">
        <f t="shared" ref="CE16:CF16" si="65">CE14+CE15</f>
        <v>25963.945475022978</v>
      </c>
      <c r="CF16" s="45">
        <f t="shared" si="65"/>
        <v>24101.115951111762</v>
      </c>
      <c r="CG16" s="45">
        <f t="shared" ref="CG16:CS16" si="66">CG14+CG15</f>
        <v>35128.804796055323</v>
      </c>
      <c r="CH16" s="45">
        <f t="shared" si="66"/>
        <v>22455.735661861054</v>
      </c>
      <c r="CI16" s="45">
        <f t="shared" si="66"/>
        <v>24117.853094741669</v>
      </c>
      <c r="CJ16" s="45">
        <f t="shared" si="66"/>
        <v>29098.738999534482</v>
      </c>
      <c r="CK16" s="45">
        <f t="shared" si="66"/>
        <v>30959.421493637838</v>
      </c>
      <c r="CL16" s="45">
        <f t="shared" si="66"/>
        <v>32767.781533478199</v>
      </c>
      <c r="CM16" s="45">
        <f t="shared" si="66"/>
        <v>33706.88362255117</v>
      </c>
      <c r="CN16" s="45">
        <f t="shared" si="66"/>
        <v>34665.374869676714</v>
      </c>
      <c r="CO16" s="45">
        <f t="shared" si="66"/>
        <v>33043.490306902742</v>
      </c>
      <c r="CP16" s="45">
        <f t="shared" si="66"/>
        <v>32675.303288802479</v>
      </c>
      <c r="CQ16" s="45">
        <f t="shared" si="66"/>
        <v>31382.455046779251</v>
      </c>
      <c r="CR16" s="45">
        <f t="shared" si="66"/>
        <v>29271.089744526238</v>
      </c>
      <c r="CS16" s="45">
        <f t="shared" si="66"/>
        <v>41789.218370102521</v>
      </c>
      <c r="CT16" s="45"/>
      <c r="CU16" s="45"/>
      <c r="CV16" s="45"/>
      <c r="CW16" s="45"/>
      <c r="CX16" s="45"/>
      <c r="CY16" s="45"/>
      <c r="CZ16" s="45"/>
      <c r="DA16" s="45"/>
      <c r="DB16" s="45"/>
      <c r="DC16" s="45"/>
    </row>
    <row r="17" spans="1:107" outlineLevel="1" x14ac:dyDescent="0.25">
      <c r="B17" s="48" t="s">
        <v>102</v>
      </c>
      <c r="C17" s="149">
        <f>-C10</f>
        <v>0</v>
      </c>
      <c r="D17" s="149">
        <f>-D10</f>
        <v>9066.1849999999995</v>
      </c>
      <c r="E17" s="149">
        <f t="shared" ref="E17" si="67">-E10</f>
        <v>4075</v>
      </c>
      <c r="F17" s="149">
        <f t="shared" ref="F17:G17" si="68">-F10</f>
        <v>19403.848007471595</v>
      </c>
      <c r="G17" s="149">
        <f t="shared" si="68"/>
        <v>32747.112329787851</v>
      </c>
      <c r="H17" s="149">
        <f t="shared" ref="H17" si="69">-H10</f>
        <v>30324.930299064017</v>
      </c>
      <c r="I17" s="149">
        <f t="shared" ref="I17:J17" si="70">-I10</f>
        <v>28134.167477660572</v>
      </c>
      <c r="J17" s="149">
        <f t="shared" si="70"/>
        <v>26152.713698066109</v>
      </c>
      <c r="K17" s="42">
        <f t="shared" si="8"/>
        <v>149903.95681205014</v>
      </c>
      <c r="L17" s="41"/>
      <c r="M17" s="34"/>
      <c r="N17" s="150"/>
      <c r="O17" s="150"/>
      <c r="P17" s="150"/>
      <c r="Q17" s="150"/>
      <c r="R17" s="150"/>
      <c r="S17" s="150"/>
      <c r="T17" s="49">
        <f t="shared" ref="T17:AT17" si="71">-T10</f>
        <v>793.68499999999995</v>
      </c>
      <c r="U17" s="49">
        <f t="shared" si="71"/>
        <v>759.68499999999995</v>
      </c>
      <c r="V17" s="49">
        <f t="shared" si="71"/>
        <v>736.4</v>
      </c>
      <c r="W17" s="49">
        <f t="shared" si="71"/>
        <v>738.89499999999998</v>
      </c>
      <c r="X17" s="49">
        <f t="shared" si="71"/>
        <v>738.89499999999998</v>
      </c>
      <c r="Y17" s="49">
        <f t="shared" si="71"/>
        <v>305.536</v>
      </c>
      <c r="Z17" s="49">
        <f t="shared" si="71"/>
        <v>187.66666666666669</v>
      </c>
      <c r="AA17" s="49">
        <f t="shared" si="71"/>
        <v>187.66666666666669</v>
      </c>
      <c r="AB17" s="49">
        <f t="shared" si="71"/>
        <v>187.66666666666669</v>
      </c>
      <c r="AC17" s="49">
        <f t="shared" si="71"/>
        <v>187.66666666666669</v>
      </c>
      <c r="AD17" s="49">
        <f t="shared" si="71"/>
        <v>187.66666666666669</v>
      </c>
      <c r="AE17" s="49">
        <f t="shared" si="71"/>
        <v>187.66666666666669</v>
      </c>
      <c r="AF17" s="49">
        <f t="shared" si="71"/>
        <v>491.5</v>
      </c>
      <c r="AG17" s="49">
        <f t="shared" si="71"/>
        <v>491.5</v>
      </c>
      <c r="AH17" s="49">
        <f t="shared" si="71"/>
        <v>491.5</v>
      </c>
      <c r="AI17" s="49">
        <f t="shared" si="71"/>
        <v>491.5</v>
      </c>
      <c r="AJ17" s="49">
        <f t="shared" si="71"/>
        <v>491.5</v>
      </c>
      <c r="AK17" s="49">
        <f t="shared" si="71"/>
        <v>491.5</v>
      </c>
      <c r="AL17" s="49">
        <f t="shared" si="71"/>
        <v>275.83194444444439</v>
      </c>
      <c r="AM17" s="49">
        <f t="shared" si="71"/>
        <v>274.75209490740735</v>
      </c>
      <c r="AN17" s="49">
        <f t="shared" si="71"/>
        <v>283.3201330054012</v>
      </c>
      <c r="AO17" s="49">
        <f t="shared" si="71"/>
        <v>324.87649300813393</v>
      </c>
      <c r="AP17" s="49">
        <f t="shared" si="71"/>
        <v>445.4157166775106</v>
      </c>
      <c r="AQ17" s="49">
        <f t="shared" si="71"/>
        <v>545.79766903853135</v>
      </c>
      <c r="AR17" s="49">
        <f t="shared" si="71"/>
        <v>2853.6764384632102</v>
      </c>
      <c r="AS17" s="49">
        <f t="shared" si="71"/>
        <v>2902.7395514760165</v>
      </c>
      <c r="AT17" s="49">
        <f t="shared" si="71"/>
        <v>2902.7826941026055</v>
      </c>
      <c r="AU17" s="49">
        <f t="shared" ref="AU17:BB17" si="72">-AU10</f>
        <v>2883.7282549850838</v>
      </c>
      <c r="AV17" s="49">
        <f t="shared" si="72"/>
        <v>2864.8326028602082</v>
      </c>
      <c r="AW17" s="49">
        <f t="shared" si="72"/>
        <v>2846.0944145030394</v>
      </c>
      <c r="AX17" s="49">
        <f t="shared" si="72"/>
        <v>2827.5123777155145</v>
      </c>
      <c r="AY17" s="49">
        <f t="shared" si="72"/>
        <v>2809.085191234552</v>
      </c>
      <c r="AZ17" s="49">
        <f t="shared" si="72"/>
        <v>2790.8115646409306</v>
      </c>
      <c r="BA17" s="49">
        <f t="shared" si="72"/>
        <v>2772.6902182689228</v>
      </c>
      <c r="BB17" s="49">
        <f t="shared" si="72"/>
        <v>2754.719883116682</v>
      </c>
      <c r="BC17" s="49">
        <f t="shared" ref="BC17:BZ17" si="73">-BC10</f>
        <v>2736.8993007573763</v>
      </c>
      <c r="BD17" s="49">
        <f t="shared" si="73"/>
        <v>2719.227223251065</v>
      </c>
      <c r="BE17" s="49">
        <f t="shared" si="73"/>
        <v>2701.7024130573059</v>
      </c>
      <c r="BF17" s="49">
        <f t="shared" si="73"/>
        <v>2684.323642948495</v>
      </c>
      <c r="BG17" s="49">
        <f t="shared" si="73"/>
        <v>2667.0896959239244</v>
      </c>
      <c r="BH17" s="49">
        <f t="shared" si="73"/>
        <v>2649.9993651245586</v>
      </c>
      <c r="BI17" s="49">
        <f t="shared" si="73"/>
        <v>2633.0514537485205</v>
      </c>
      <c r="BJ17" s="49">
        <f t="shared" si="73"/>
        <v>2616.2447749672824</v>
      </c>
      <c r="BK17" s="49">
        <f t="shared" si="73"/>
        <v>2599.5781518425556</v>
      </c>
      <c r="BL17" s="49">
        <f t="shared" si="73"/>
        <v>2583.0504172438673</v>
      </c>
      <c r="BM17" s="49">
        <f t="shared" si="73"/>
        <v>2566.6604137668351</v>
      </c>
      <c r="BN17" s="49">
        <f t="shared" si="73"/>
        <v>2550.4069936521114</v>
      </c>
      <c r="BO17" s="49">
        <f t="shared" si="73"/>
        <v>2534.2890187050102</v>
      </c>
      <c r="BP17" s="49">
        <f t="shared" si="73"/>
        <v>2518.305360215802</v>
      </c>
      <c r="BQ17" s="49">
        <f t="shared" si="73"/>
        <v>2502.4548988806705</v>
      </c>
      <c r="BR17" s="49">
        <f t="shared" si="73"/>
        <v>2486.7365247233315</v>
      </c>
      <c r="BS17" s="49">
        <f t="shared" si="73"/>
        <v>2471.1491370173035</v>
      </c>
      <c r="BT17" s="49">
        <f t="shared" si="73"/>
        <v>2455.6916442088259</v>
      </c>
      <c r="BU17" s="49">
        <f t="shared" si="73"/>
        <v>2440.3629638404186</v>
      </c>
      <c r="BV17" s="49">
        <f t="shared" si="73"/>
        <v>2425.1620224750818</v>
      </c>
      <c r="BW17" s="49">
        <f t="shared" si="73"/>
        <v>2410.0877556211226</v>
      </c>
      <c r="BX17" s="49">
        <f t="shared" si="73"/>
        <v>2395.1391076576133</v>
      </c>
      <c r="BY17" s="49">
        <f t="shared" si="73"/>
        <v>2380.3150317604668</v>
      </c>
      <c r="BZ17" s="49">
        <f t="shared" si="73"/>
        <v>2365.6144898291295</v>
      </c>
      <c r="CA17" s="49">
        <f t="shared" ref="CA17:CD17" si="74">-CA10</f>
        <v>2351.0364524138868</v>
      </c>
      <c r="CB17" s="49">
        <f t="shared" si="74"/>
        <v>2336.5798986437712</v>
      </c>
      <c r="CC17" s="49">
        <f t="shared" si="74"/>
        <v>2322.2438161550731</v>
      </c>
      <c r="CD17" s="49">
        <f t="shared" si="74"/>
        <v>2308.0272010204476</v>
      </c>
      <c r="CE17" s="49">
        <f t="shared" ref="CE17:CF17" si="75">-CE10</f>
        <v>2293.9290576786102</v>
      </c>
      <c r="CF17" s="49">
        <f t="shared" si="75"/>
        <v>2279.948398864622</v>
      </c>
      <c r="CG17" s="49">
        <f t="shared" ref="CG17:CS17" si="76">-CG10</f>
        <v>2266.0842455407501</v>
      </c>
      <c r="CH17" s="49">
        <f t="shared" si="76"/>
        <v>2252.3356268279103</v>
      </c>
      <c r="CI17" s="49">
        <f t="shared" si="76"/>
        <v>2238.7015799376777</v>
      </c>
      <c r="CJ17" s="49">
        <f t="shared" si="76"/>
        <v>2225.1811501048637</v>
      </c>
      <c r="CK17" s="49">
        <f t="shared" si="76"/>
        <v>2211.7733905206569</v>
      </c>
      <c r="CL17" s="49">
        <f t="shared" si="76"/>
        <v>2198.4773622663179</v>
      </c>
      <c r="CM17" s="49">
        <f t="shared" si="76"/>
        <v>2185.2921342474319</v>
      </c>
      <c r="CN17" s="49">
        <f t="shared" si="76"/>
        <v>2172.2167831287034</v>
      </c>
      <c r="CO17" s="49">
        <f t="shared" si="76"/>
        <v>2159.2503932692975</v>
      </c>
      <c r="CP17" s="49">
        <f t="shared" si="76"/>
        <v>2146.3920566587203</v>
      </c>
      <c r="CQ17" s="49">
        <f t="shared" si="76"/>
        <v>2133.6408728532306</v>
      </c>
      <c r="CR17" s="49">
        <f t="shared" si="76"/>
        <v>2120.9959489127873</v>
      </c>
      <c r="CS17" s="49">
        <f t="shared" si="76"/>
        <v>2108.4563993385141</v>
      </c>
      <c r="CT17" s="49"/>
      <c r="CU17" s="49"/>
      <c r="CV17" s="49"/>
      <c r="CW17" s="49"/>
      <c r="CX17" s="49"/>
      <c r="CY17" s="49"/>
      <c r="CZ17" s="49"/>
      <c r="DA17" s="49"/>
      <c r="DB17" s="49"/>
      <c r="DC17" s="49"/>
    </row>
    <row r="18" spans="1:107" outlineLevel="1" x14ac:dyDescent="0.25">
      <c r="B18" s="48" t="s">
        <v>104</v>
      </c>
      <c r="C18" s="149"/>
      <c r="D18" s="149">
        <f>SUMIF($T$2:$CS$2,D$3,$T18:$CS18)</f>
        <v>0</v>
      </c>
      <c r="E18" s="149">
        <f>SUMIF($T$2:$CS$2,E$3,$T18:$CS18)</f>
        <v>0</v>
      </c>
      <c r="F18" s="149">
        <f>SUMIF($T$2:$CS$2,F$3,$T18:$CS18)</f>
        <v>0</v>
      </c>
      <c r="G18" s="149">
        <f>SUMIF($T$2:$CS$2,G$3,$T18:$CS18)</f>
        <v>0</v>
      </c>
      <c r="H18" s="149">
        <f>SUMIF($T$2:$CS$2,H$3,$T18:$CS18)</f>
        <v>0</v>
      </c>
      <c r="I18" s="149">
        <f t="shared" ref="I18:J18" si="77">SUMIF($T$2:$CS$2,I$3,$T18:$CS18)</f>
        <v>0</v>
      </c>
      <c r="J18" s="149">
        <f t="shared" si="77"/>
        <v>0</v>
      </c>
      <c r="K18" s="42">
        <f t="shared" si="8"/>
        <v>0</v>
      </c>
      <c r="L18" s="41"/>
      <c r="M18" s="34"/>
      <c r="N18" s="150"/>
      <c r="O18" s="150"/>
      <c r="P18" s="150"/>
      <c r="Q18" s="150"/>
      <c r="R18" s="150"/>
      <c r="S18" s="150"/>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49"/>
      <c r="CU18" s="49"/>
      <c r="CV18" s="49"/>
      <c r="CW18" s="49"/>
      <c r="CX18" s="49"/>
      <c r="CY18" s="49"/>
      <c r="CZ18" s="49"/>
      <c r="DA18" s="49"/>
      <c r="DB18" s="49"/>
      <c r="DC18" s="49"/>
    </row>
    <row r="19" spans="1:107" s="53" customFormat="1" x14ac:dyDescent="0.25">
      <c r="A19" s="50"/>
      <c r="B19" s="44" t="s">
        <v>69</v>
      </c>
      <c r="C19" s="174">
        <f>C16+C17+C18</f>
        <v>15585</v>
      </c>
      <c r="D19" s="174">
        <f>D16+D17+D18</f>
        <v>41074.229969076237</v>
      </c>
      <c r="E19" s="174">
        <f>E16+E17+E18</f>
        <v>39482.078264110925</v>
      </c>
      <c r="F19" s="174">
        <f t="shared" ref="F19:G19" si="78">F16+F17+F18</f>
        <v>75833.49413383496</v>
      </c>
      <c r="G19" s="174">
        <f t="shared" si="78"/>
        <v>224971.97220395808</v>
      </c>
      <c r="H19" s="174">
        <f t="shared" ref="H19" si="79">H16+H17+H18</f>
        <v>276903.9315714289</v>
      </c>
      <c r="I19" s="174">
        <f t="shared" ref="I19:J19" si="80">I16+I17+I18</f>
        <v>340377.68052581779</v>
      </c>
      <c r="J19" s="174">
        <f t="shared" si="80"/>
        <v>402086.05973066081</v>
      </c>
      <c r="K19" s="46">
        <f t="shared" si="8"/>
        <v>1416314.4463988878</v>
      </c>
      <c r="L19" s="45"/>
      <c r="M19" s="52"/>
      <c r="N19" s="150"/>
      <c r="O19" s="150"/>
      <c r="P19" s="150"/>
      <c r="Q19" s="150"/>
      <c r="R19" s="150"/>
      <c r="S19" s="150"/>
      <c r="T19" s="51">
        <f t="shared" ref="T19:AT19" si="81">T16+T17+T18</f>
        <v>4269.0210757742934</v>
      </c>
      <c r="U19" s="51">
        <f t="shared" si="81"/>
        <v>3554.7379614317069</v>
      </c>
      <c r="V19" s="51">
        <f t="shared" si="81"/>
        <v>3567.8356725127528</v>
      </c>
      <c r="W19" s="51">
        <f t="shared" si="81"/>
        <v>2815.6337349670434</v>
      </c>
      <c r="X19" s="51">
        <f t="shared" si="81"/>
        <v>4103.9809735271283</v>
      </c>
      <c r="Y19" s="51">
        <f t="shared" si="81"/>
        <v>4974.9527241210799</v>
      </c>
      <c r="Z19" s="51">
        <f t="shared" si="81"/>
        <v>1411.8762270459854</v>
      </c>
      <c r="AA19" s="51">
        <f t="shared" si="81"/>
        <v>-478.90885502685688</v>
      </c>
      <c r="AB19" s="51">
        <f t="shared" si="81"/>
        <v>9788.5894594800175</v>
      </c>
      <c r="AC19" s="51">
        <f t="shared" si="81"/>
        <v>560.12593342940113</v>
      </c>
      <c r="AD19" s="51">
        <f t="shared" si="81"/>
        <v>2093.0648610735529</v>
      </c>
      <c r="AE19" s="51">
        <f t="shared" si="81"/>
        <v>2037.0678706554008</v>
      </c>
      <c r="AF19" s="51">
        <f t="shared" si="81"/>
        <v>1557.787199355264</v>
      </c>
      <c r="AG19" s="51">
        <f t="shared" si="81"/>
        <v>1412.1652472305846</v>
      </c>
      <c r="AH19" s="51">
        <f t="shared" si="81"/>
        <v>1267.2782820289062</v>
      </c>
      <c r="AI19" s="51">
        <f t="shared" si="81"/>
        <v>6044.7710281332265</v>
      </c>
      <c r="AJ19" s="51">
        <f t="shared" si="81"/>
        <v>5762.8175939756193</v>
      </c>
      <c r="AK19" s="51">
        <f t="shared" si="81"/>
        <v>8025.4434167298787</v>
      </c>
      <c r="AL19" s="51">
        <f t="shared" si="81"/>
        <v>909.80731153805891</v>
      </c>
      <c r="AM19" s="51">
        <f t="shared" si="81"/>
        <v>1158.9554201358942</v>
      </c>
      <c r="AN19" s="51">
        <f t="shared" si="81"/>
        <v>2850.895905899521</v>
      </c>
      <c r="AO19" s="51">
        <f t="shared" si="81"/>
        <v>3027.5029196160358</v>
      </c>
      <c r="AP19" s="51">
        <f t="shared" si="81"/>
        <v>3581.1648766756712</v>
      </c>
      <c r="AQ19" s="51">
        <f t="shared" si="81"/>
        <v>3659.6598284736856</v>
      </c>
      <c r="AR19" s="51">
        <f t="shared" si="81"/>
        <v>4172.0967794053649</v>
      </c>
      <c r="AS19" s="51">
        <f t="shared" si="81"/>
        <v>9004.17030657754</v>
      </c>
      <c r="AT19" s="51">
        <f t="shared" si="81"/>
        <v>10348.958564431327</v>
      </c>
      <c r="AU19" s="51">
        <f t="shared" ref="AU19:BB19" si="82">AU16+AU17+AU18</f>
        <v>10630.134450394853</v>
      </c>
      <c r="AV19" s="51">
        <f t="shared" si="82"/>
        <v>11309.467630820473</v>
      </c>
      <c r="AW19" s="51">
        <f t="shared" si="82"/>
        <v>15180.680139866545</v>
      </c>
      <c r="AX19" s="51">
        <f t="shared" si="82"/>
        <v>13133.007900512373</v>
      </c>
      <c r="AY19" s="51">
        <f t="shared" si="82"/>
        <v>15354.636147365685</v>
      </c>
      <c r="AZ19" s="51">
        <f t="shared" si="82"/>
        <v>17894.566267112252</v>
      </c>
      <c r="BA19" s="51">
        <f t="shared" si="82"/>
        <v>18803.417837410536</v>
      </c>
      <c r="BB19" s="51">
        <f t="shared" si="82"/>
        <v>19807.148026208586</v>
      </c>
      <c r="BC19" s="51">
        <f t="shared" ref="BC19:BZ19" si="83">BC16+BC17+BC18</f>
        <v>19590.71227020615</v>
      </c>
      <c r="BD19" s="51">
        <f t="shared" si="83"/>
        <v>20221.783669026678</v>
      </c>
      <c r="BE19" s="51">
        <f t="shared" si="83"/>
        <v>20066.228690203614</v>
      </c>
      <c r="BF19" s="51">
        <f t="shared" si="83"/>
        <v>19285.385556381429</v>
      </c>
      <c r="BG19" s="51">
        <f t="shared" si="83"/>
        <v>18593.405448177949</v>
      </c>
      <c r="BH19" s="51">
        <f t="shared" si="83"/>
        <v>17462.208446488905</v>
      </c>
      <c r="BI19" s="51">
        <f t="shared" si="83"/>
        <v>24759.471944864046</v>
      </c>
      <c r="BJ19" s="51">
        <f t="shared" si="83"/>
        <v>17407.937865589996</v>
      </c>
      <c r="BK19" s="51">
        <f t="shared" si="83"/>
        <v>18904.133269474223</v>
      </c>
      <c r="BL19" s="51">
        <f t="shared" si="83"/>
        <v>21256.944451783012</v>
      </c>
      <c r="BM19" s="51">
        <f t="shared" si="83"/>
        <v>22721.698301792443</v>
      </c>
      <c r="BN19" s="51">
        <f t="shared" si="83"/>
        <v>24152.551675449169</v>
      </c>
      <c r="BO19" s="51">
        <f t="shared" si="83"/>
        <v>24839.354028963742</v>
      </c>
      <c r="BP19" s="51">
        <f t="shared" si="83"/>
        <v>25540.483400736179</v>
      </c>
      <c r="BQ19" s="51">
        <f t="shared" si="83"/>
        <v>24295.942599904414</v>
      </c>
      <c r="BR19" s="51">
        <f t="shared" si="83"/>
        <v>23289.35264942715</v>
      </c>
      <c r="BS19" s="51">
        <f t="shared" si="83"/>
        <v>22316.180233584168</v>
      </c>
      <c r="BT19" s="51">
        <f t="shared" si="83"/>
        <v>21373.974235104157</v>
      </c>
      <c r="BU19" s="51">
        <f t="shared" si="83"/>
        <v>30805.37885962021</v>
      </c>
      <c r="BV19" s="51">
        <f t="shared" si="83"/>
        <v>21284.227726641759</v>
      </c>
      <c r="BW19" s="51">
        <f t="shared" si="83"/>
        <v>22929.000297001683</v>
      </c>
      <c r="BX19" s="51">
        <f t="shared" si="83"/>
        <v>26432.87996148532</v>
      </c>
      <c r="BY19" s="51">
        <f t="shared" si="83"/>
        <v>28040.662755134803</v>
      </c>
      <c r="BZ19" s="51">
        <f t="shared" si="83"/>
        <v>29611.862728436725</v>
      </c>
      <c r="CA19" s="51">
        <f t="shared" ref="CA19:CD19" si="84">CA16+CA17+CA18</f>
        <v>30414.215217700992</v>
      </c>
      <c r="CB19" s="51">
        <f t="shared" si="84"/>
        <v>31233.28593980569</v>
      </c>
      <c r="CC19" s="51">
        <f t="shared" si="84"/>
        <v>29785.224821880856</v>
      </c>
      <c r="CD19" s="51">
        <f t="shared" si="84"/>
        <v>28612.493153455925</v>
      </c>
      <c r="CE19" s="51">
        <f t="shared" ref="CE19:CF19" si="85">CE16+CE17+CE18</f>
        <v>28257.874532701589</v>
      </c>
      <c r="CF19" s="51">
        <f t="shared" si="85"/>
        <v>26381.064349976383</v>
      </c>
      <c r="CG19" s="51">
        <f t="shared" ref="CG19:CS19" si="86">CG16+CG17+CG18</f>
        <v>37394.88904159607</v>
      </c>
      <c r="CH19" s="51">
        <f t="shared" si="86"/>
        <v>24708.071288688963</v>
      </c>
      <c r="CI19" s="51">
        <f t="shared" si="86"/>
        <v>26356.554674679348</v>
      </c>
      <c r="CJ19" s="51">
        <f t="shared" si="86"/>
        <v>31323.920149639347</v>
      </c>
      <c r="CK19" s="51">
        <f t="shared" si="86"/>
        <v>33171.194884158496</v>
      </c>
      <c r="CL19" s="51">
        <f t="shared" si="86"/>
        <v>34966.258895744519</v>
      </c>
      <c r="CM19" s="51">
        <f t="shared" si="86"/>
        <v>35892.175756798599</v>
      </c>
      <c r="CN19" s="51">
        <f t="shared" si="86"/>
        <v>36837.591652805415</v>
      </c>
      <c r="CO19" s="51">
        <f t="shared" si="86"/>
        <v>35202.740700172042</v>
      </c>
      <c r="CP19" s="51">
        <f t="shared" si="86"/>
        <v>34821.695345461201</v>
      </c>
      <c r="CQ19" s="51">
        <f t="shared" si="86"/>
        <v>33516.095919632484</v>
      </c>
      <c r="CR19" s="51">
        <f t="shared" si="86"/>
        <v>31392.085693439025</v>
      </c>
      <c r="CS19" s="51">
        <f t="shared" si="86"/>
        <v>43897.674769441037</v>
      </c>
      <c r="CT19" s="51"/>
      <c r="CU19" s="51"/>
      <c r="CV19" s="51"/>
      <c r="CW19" s="51"/>
      <c r="CX19" s="51"/>
      <c r="CY19" s="51"/>
      <c r="CZ19" s="51"/>
      <c r="DA19" s="51"/>
      <c r="DB19" s="51"/>
      <c r="DC19" s="51"/>
    </row>
    <row r="20" spans="1:107" s="53" customFormat="1" x14ac:dyDescent="0.25">
      <c r="A20" s="50"/>
      <c r="B20" s="44" t="s">
        <v>77</v>
      </c>
      <c r="C20" s="173"/>
      <c r="D20" s="149">
        <f>SUMIF($T$2:$CS$2,D$3,$T20:$CS20)</f>
        <v>0</v>
      </c>
      <c r="E20" s="149">
        <f>SUMIF($T$2:$CS$2,E$3,$T20:$CS20)</f>
        <v>-10000</v>
      </c>
      <c r="F20" s="149">
        <f>SUMIF($T$2:$CS$2,F$3,$T20:$CS20)</f>
        <v>-388620.6</v>
      </c>
      <c r="G20" s="149">
        <f>SUMIF($T$2:$CS$2,G$3,$T20:$CS20)</f>
        <v>-6768</v>
      </c>
      <c r="H20" s="149">
        <f>SUMIF($T$2:$CS$2,H$3,$T20:$CS20)</f>
        <v>-6768</v>
      </c>
      <c r="I20" s="149">
        <f t="shared" ref="I20:J20" si="87">SUMIF($T$2:$CS$2,I$3,$T20:$CS20)</f>
        <v>-6768</v>
      </c>
      <c r="J20" s="149">
        <f t="shared" si="87"/>
        <v>-6768</v>
      </c>
      <c r="K20" s="46">
        <f t="shared" si="8"/>
        <v>-425692.6</v>
      </c>
      <c r="L20" s="45"/>
      <c r="M20" s="52"/>
      <c r="N20" s="150"/>
      <c r="O20" s="150"/>
      <c r="P20" s="150"/>
      <c r="Q20" s="150"/>
      <c r="R20" s="150"/>
      <c r="S20" s="150"/>
      <c r="T20" s="51">
        <f>Свод_БДДС!F12</f>
        <v>0</v>
      </c>
      <c r="U20" s="51">
        <f>Свод_БДДС!G12</f>
        <v>0</v>
      </c>
      <c r="V20" s="51">
        <f>Свод_БДДС!H12</f>
        <v>0</v>
      </c>
      <c r="W20" s="51">
        <f>Свод_БДДС!I12</f>
        <v>0</v>
      </c>
      <c r="X20" s="51">
        <f>Свод_БДДС!J12</f>
        <v>0</v>
      </c>
      <c r="Y20" s="51">
        <f>Свод_БДДС!K12</f>
        <v>0</v>
      </c>
      <c r="Z20" s="51">
        <f>Свод_БДДС!L12</f>
        <v>0</v>
      </c>
      <c r="AA20" s="51">
        <f>Свод_БДДС!M12</f>
        <v>0</v>
      </c>
      <c r="AB20" s="51">
        <f>Свод_БДДС!N12</f>
        <v>0</v>
      </c>
      <c r="AC20" s="51">
        <f>Свод_БДДС!O12</f>
        <v>0</v>
      </c>
      <c r="AD20" s="51">
        <f>Свод_БДДС!P12</f>
        <v>0</v>
      </c>
      <c r="AE20" s="51">
        <f>Свод_БДДС!Q12</f>
        <v>0</v>
      </c>
      <c r="AF20" s="51">
        <f>Свод_БДДС!R12</f>
        <v>0</v>
      </c>
      <c r="AG20" s="51">
        <f>Свод_БДДС!S12</f>
        <v>0</v>
      </c>
      <c r="AH20" s="51">
        <f>Свод_БДДС!T12</f>
        <v>0</v>
      </c>
      <c r="AI20" s="51">
        <f>Свод_БДДС!U12</f>
        <v>0</v>
      </c>
      <c r="AJ20" s="51">
        <f>Свод_БДДС!V12</f>
        <v>0</v>
      </c>
      <c r="AK20" s="51">
        <f>Свод_БДДС!W12</f>
        <v>-10000</v>
      </c>
      <c r="AL20" s="51">
        <f>Свод_БДДС!X12</f>
        <v>0</v>
      </c>
      <c r="AM20" s="51">
        <f>Свод_БДДС!Y12</f>
        <v>-1388</v>
      </c>
      <c r="AN20" s="51">
        <f>Свод_БДДС!Z12</f>
        <v>-6148.6</v>
      </c>
      <c r="AO20" s="51">
        <f>Свод_БДДС!AA12</f>
        <v>-17572</v>
      </c>
      <c r="AP20" s="51">
        <f>Свод_БДДС!AB12</f>
        <v>-14814</v>
      </c>
      <c r="AQ20" s="51">
        <f>Свод_БДДС!AC12</f>
        <v>-332814</v>
      </c>
      <c r="AR20" s="51">
        <f>Свод_БДДС!AD12</f>
        <v>-10314</v>
      </c>
      <c r="AS20" s="51">
        <f>Свод_БДДС!AE12</f>
        <v>-3314</v>
      </c>
      <c r="AT20" s="51">
        <f>Свод_БДДС!AF12</f>
        <v>-564</v>
      </c>
      <c r="AU20" s="51">
        <f>Свод_БДДС!AG12</f>
        <v>-564</v>
      </c>
      <c r="AV20" s="51">
        <f>Свод_БДДС!AH12</f>
        <v>-564</v>
      </c>
      <c r="AW20" s="51">
        <f>Свод_БДДС!AI12</f>
        <v>-564</v>
      </c>
      <c r="AX20" s="51">
        <f>Свод_БДДС!AJ12</f>
        <v>-564</v>
      </c>
      <c r="AY20" s="51">
        <f>Свод_БДДС!AK12</f>
        <v>-564</v>
      </c>
      <c r="AZ20" s="51">
        <f>Свод_БДДС!AL12</f>
        <v>-564</v>
      </c>
      <c r="BA20" s="51">
        <f>Свод_БДДС!AM12</f>
        <v>-564</v>
      </c>
      <c r="BB20" s="51">
        <f>Свод_БДДС!AN12</f>
        <v>-564</v>
      </c>
      <c r="BC20" s="51">
        <f>Свод_БДДС!AO12</f>
        <v>-564</v>
      </c>
      <c r="BD20" s="51">
        <f>Свод_БДДС!AP12</f>
        <v>-564</v>
      </c>
      <c r="BE20" s="51">
        <f>Свод_БДДС!AQ12</f>
        <v>-564</v>
      </c>
      <c r="BF20" s="51">
        <f>Свод_БДДС!AR12</f>
        <v>-564</v>
      </c>
      <c r="BG20" s="51">
        <f>Свод_БДДС!AS12</f>
        <v>-564</v>
      </c>
      <c r="BH20" s="51">
        <f>Свод_БДДС!AT12</f>
        <v>-564</v>
      </c>
      <c r="BI20" s="51">
        <f>Свод_БДДС!AU12</f>
        <v>-564</v>
      </c>
      <c r="BJ20" s="51">
        <f>Свод_БДДС!AV12</f>
        <v>-564</v>
      </c>
      <c r="BK20" s="51">
        <f>Свод_БДДС!AW12</f>
        <v>-564</v>
      </c>
      <c r="BL20" s="51">
        <f>Свод_БДДС!AX12</f>
        <v>-564</v>
      </c>
      <c r="BM20" s="51">
        <f>Свод_БДДС!AY12</f>
        <v>-564</v>
      </c>
      <c r="BN20" s="51">
        <f>Свод_БДДС!AZ12</f>
        <v>-564</v>
      </c>
      <c r="BO20" s="51">
        <f>Свод_БДДС!BA12</f>
        <v>-564</v>
      </c>
      <c r="BP20" s="51">
        <f>Свод_БДДС!BB12</f>
        <v>-564</v>
      </c>
      <c r="BQ20" s="51">
        <f>Свод_БДДС!BC12</f>
        <v>-564</v>
      </c>
      <c r="BR20" s="51">
        <f>Свод_БДДС!BD12</f>
        <v>-564</v>
      </c>
      <c r="BS20" s="51">
        <f>Свод_БДДС!BE12</f>
        <v>-564</v>
      </c>
      <c r="BT20" s="51">
        <f>Свод_БДДС!BF12</f>
        <v>-564</v>
      </c>
      <c r="BU20" s="51">
        <f>Свод_БДДС!BG12</f>
        <v>-564</v>
      </c>
      <c r="BV20" s="51">
        <f>Свод_БДДС!BH12</f>
        <v>-564</v>
      </c>
      <c r="BW20" s="51">
        <f>Свод_БДДС!BI12</f>
        <v>-564</v>
      </c>
      <c r="BX20" s="51">
        <f>Свод_БДДС!BJ12</f>
        <v>-564</v>
      </c>
      <c r="BY20" s="51">
        <f>Свод_БДДС!BK12</f>
        <v>-564</v>
      </c>
      <c r="BZ20" s="51">
        <f>Свод_БДДС!BL12</f>
        <v>-564</v>
      </c>
      <c r="CA20" s="51">
        <f>Свод_БДДС!BM12</f>
        <v>-564</v>
      </c>
      <c r="CB20" s="51">
        <f>Свод_БДДС!BN12</f>
        <v>-564</v>
      </c>
      <c r="CC20" s="51">
        <f>Свод_БДДС!BO12</f>
        <v>-564</v>
      </c>
      <c r="CD20" s="51">
        <f>Свод_БДДС!BP12</f>
        <v>-564</v>
      </c>
      <c r="CE20" s="51">
        <f>Свод_БДДС!BQ12</f>
        <v>-564</v>
      </c>
      <c r="CF20" s="51">
        <f>Свод_БДДС!BR12</f>
        <v>-564</v>
      </c>
      <c r="CG20" s="51">
        <f>Свод_БДДС!BS12</f>
        <v>-564</v>
      </c>
      <c r="CH20" s="51">
        <f>Свод_БДДС!BT12</f>
        <v>-564</v>
      </c>
      <c r="CI20" s="51">
        <f>Свод_БДДС!BU12</f>
        <v>-564</v>
      </c>
      <c r="CJ20" s="51">
        <f>Свод_БДДС!BV12</f>
        <v>-564</v>
      </c>
      <c r="CK20" s="51">
        <f>Свод_БДДС!BW12</f>
        <v>-564</v>
      </c>
      <c r="CL20" s="51">
        <f>Свод_БДДС!BX12</f>
        <v>-564</v>
      </c>
      <c r="CM20" s="51">
        <f>Свод_БДДС!BY12</f>
        <v>-564</v>
      </c>
      <c r="CN20" s="51">
        <f>Свод_БДДС!BZ12</f>
        <v>-564</v>
      </c>
      <c r="CO20" s="51">
        <f>Свод_БДДС!CA12</f>
        <v>-564</v>
      </c>
      <c r="CP20" s="51">
        <f>Свод_БДДС!CB12</f>
        <v>-564</v>
      </c>
      <c r="CQ20" s="51">
        <f>Свод_БДДС!CC12</f>
        <v>-564</v>
      </c>
      <c r="CR20" s="51">
        <f>Свод_БДДС!CD12</f>
        <v>-564</v>
      </c>
      <c r="CS20" s="51">
        <f>Свод_БДДС!CE12</f>
        <v>-564</v>
      </c>
      <c r="CT20" s="51"/>
      <c r="CU20" s="51"/>
      <c r="CV20" s="51"/>
      <c r="CW20" s="51"/>
      <c r="CX20" s="51"/>
      <c r="CY20" s="51"/>
      <c r="CZ20" s="51"/>
      <c r="DA20" s="51"/>
      <c r="DB20" s="51"/>
      <c r="DC20" s="51"/>
    </row>
    <row r="21" spans="1:107" x14ac:dyDescent="0.25">
      <c r="B21" s="48"/>
      <c r="C21" s="150"/>
      <c r="D21" s="150"/>
      <c r="E21" s="41">
        <f ca="1">SUMIF($K$2:$CY$2,E$3,$T21:$DA21)</f>
        <v>0</v>
      </c>
      <c r="F21" s="41">
        <f ca="1">SUMIF($K$2:$CY$2,F$3,$T21:$DA21)</f>
        <v>0</v>
      </c>
      <c r="G21" s="41">
        <f ca="1">SUMIF($K$2:$CY$2,G$3,$T21:$DA21)</f>
        <v>0</v>
      </c>
      <c r="H21" s="41">
        <f ca="1">SUMIF($K$2:$CY$2,H$3,$T21:$DA21)</f>
        <v>0</v>
      </c>
      <c r="I21" s="41">
        <f t="shared" ref="I21:J21" ca="1" si="88">SUMIF($K$2:$CY$2,I$3,$T21:$DA21)</f>
        <v>0</v>
      </c>
      <c r="J21" s="41">
        <f t="shared" ca="1" si="88"/>
        <v>0</v>
      </c>
      <c r="K21" s="42">
        <f ca="1">SUM(D21:J21)</f>
        <v>0</v>
      </c>
      <c r="L21" s="41"/>
      <c r="M21" s="462"/>
      <c r="N21" s="150"/>
      <c r="O21" s="150"/>
      <c r="P21" s="150"/>
      <c r="Q21" s="150"/>
      <c r="R21" s="150"/>
      <c r="S21" s="150"/>
    </row>
    <row r="22" spans="1:107" x14ac:dyDescent="0.25">
      <c r="B22" s="44" t="s">
        <v>105</v>
      </c>
      <c r="C22" s="150"/>
      <c r="D22" s="150"/>
      <c r="E22" s="174">
        <f>E19+E20</f>
        <v>29482.078264110925</v>
      </c>
      <c r="F22" s="174">
        <f t="shared" ref="F22:H22" si="89">F19+F20</f>
        <v>-312787.10586616502</v>
      </c>
      <c r="G22" s="174">
        <f t="shared" si="89"/>
        <v>218203.97220395808</v>
      </c>
      <c r="H22" s="174">
        <f t="shared" si="89"/>
        <v>270135.9315714289</v>
      </c>
      <c r="I22" s="174">
        <f t="shared" ref="I22:J22" si="90">I19+I20</f>
        <v>333609.68052581779</v>
      </c>
      <c r="J22" s="174">
        <f t="shared" si="90"/>
        <v>395318.05973066081</v>
      </c>
      <c r="K22" s="46">
        <f>SUM(D22:J22)</f>
        <v>933962.61642981158</v>
      </c>
      <c r="L22" s="45"/>
      <c r="M22" s="463"/>
      <c r="N22" s="150"/>
      <c r="O22" s="150"/>
      <c r="P22" s="150"/>
      <c r="Q22" s="150"/>
      <c r="R22" s="150"/>
      <c r="S22" s="150"/>
      <c r="T22" s="51">
        <f>SUM(T19:T20)</f>
        <v>4269.0210757742934</v>
      </c>
      <c r="U22" s="51">
        <f>SUM(U19:U20)</f>
        <v>3554.7379614317069</v>
      </c>
      <c r="V22" s="51">
        <f t="shared" ref="V22:AT22" si="91">SUM(V19:V20)</f>
        <v>3567.8356725127528</v>
      </c>
      <c r="W22" s="51">
        <f t="shared" si="91"/>
        <v>2815.6337349670434</v>
      </c>
      <c r="X22" s="51">
        <f t="shared" si="91"/>
        <v>4103.9809735271283</v>
      </c>
      <c r="Y22" s="51">
        <f t="shared" si="91"/>
        <v>4974.9527241210799</v>
      </c>
      <c r="Z22" s="51">
        <f t="shared" si="91"/>
        <v>1411.8762270459854</v>
      </c>
      <c r="AA22" s="51">
        <f t="shared" si="91"/>
        <v>-478.90885502685688</v>
      </c>
      <c r="AB22" s="51">
        <f t="shared" si="91"/>
        <v>9788.5894594800175</v>
      </c>
      <c r="AC22" s="51">
        <f t="shared" si="91"/>
        <v>560.12593342940113</v>
      </c>
      <c r="AD22" s="51">
        <f t="shared" si="91"/>
        <v>2093.0648610735529</v>
      </c>
      <c r="AE22" s="51">
        <f t="shared" si="91"/>
        <v>2037.0678706554008</v>
      </c>
      <c r="AF22" s="51">
        <f t="shared" si="91"/>
        <v>1557.787199355264</v>
      </c>
      <c r="AG22" s="51">
        <f t="shared" si="91"/>
        <v>1412.1652472305846</v>
      </c>
      <c r="AH22" s="51">
        <f t="shared" si="91"/>
        <v>1267.2782820289062</v>
      </c>
      <c r="AI22" s="51">
        <f t="shared" si="91"/>
        <v>6044.7710281332265</v>
      </c>
      <c r="AJ22" s="51">
        <f t="shared" si="91"/>
        <v>5762.8175939756193</v>
      </c>
      <c r="AK22" s="51">
        <f t="shared" si="91"/>
        <v>-1974.5565832701213</v>
      </c>
      <c r="AL22" s="51">
        <f t="shared" si="91"/>
        <v>909.80731153805891</v>
      </c>
      <c r="AM22" s="51">
        <f t="shared" si="91"/>
        <v>-229.0445798641058</v>
      </c>
      <c r="AN22" s="51">
        <f t="shared" si="91"/>
        <v>-3297.7040941004793</v>
      </c>
      <c r="AO22" s="51">
        <f t="shared" si="91"/>
        <v>-14544.497080383964</v>
      </c>
      <c r="AP22" s="51">
        <f t="shared" si="91"/>
        <v>-11232.835123324328</v>
      </c>
      <c r="AQ22" s="51">
        <f t="shared" si="91"/>
        <v>-329154.3401715263</v>
      </c>
      <c r="AR22" s="51">
        <f t="shared" si="91"/>
        <v>-6141.9032205946351</v>
      </c>
      <c r="AS22" s="51">
        <f t="shared" si="91"/>
        <v>5690.17030657754</v>
      </c>
      <c r="AT22" s="51">
        <f t="shared" si="91"/>
        <v>9784.9585644313265</v>
      </c>
      <c r="AU22" s="51">
        <f t="shared" ref="AU22:BB22" si="92">SUM(AU19:AU20)</f>
        <v>10066.134450394853</v>
      </c>
      <c r="AV22" s="51">
        <f t="shared" si="92"/>
        <v>10745.467630820473</v>
      </c>
      <c r="AW22" s="51">
        <f t="shared" si="92"/>
        <v>14616.680139866545</v>
      </c>
      <c r="AX22" s="51">
        <f t="shared" si="92"/>
        <v>12569.007900512373</v>
      </c>
      <c r="AY22" s="51">
        <f t="shared" si="92"/>
        <v>14790.636147365685</v>
      </c>
      <c r="AZ22" s="51">
        <f t="shared" si="92"/>
        <v>17330.566267112252</v>
      </c>
      <c r="BA22" s="51">
        <f t="shared" si="92"/>
        <v>18239.417837410536</v>
      </c>
      <c r="BB22" s="51">
        <f t="shared" si="92"/>
        <v>19243.148026208586</v>
      </c>
      <c r="BC22" s="51">
        <f t="shared" ref="BC22:BZ22" si="93">SUM(BC19:BC20)</f>
        <v>19026.71227020615</v>
      </c>
      <c r="BD22" s="51">
        <f t="shared" si="93"/>
        <v>19657.783669026678</v>
      </c>
      <c r="BE22" s="51">
        <f t="shared" si="93"/>
        <v>19502.228690203614</v>
      </c>
      <c r="BF22" s="51">
        <f t="shared" si="93"/>
        <v>18721.385556381429</v>
      </c>
      <c r="BG22" s="51">
        <f t="shared" si="93"/>
        <v>18029.405448177949</v>
      </c>
      <c r="BH22" s="51">
        <f t="shared" si="93"/>
        <v>16898.208446488905</v>
      </c>
      <c r="BI22" s="51">
        <f t="shared" si="93"/>
        <v>24195.471944864046</v>
      </c>
      <c r="BJ22" s="51">
        <f t="shared" si="93"/>
        <v>16843.937865589996</v>
      </c>
      <c r="BK22" s="51">
        <f t="shared" si="93"/>
        <v>18340.133269474223</v>
      </c>
      <c r="BL22" s="51">
        <f t="shared" si="93"/>
        <v>20692.944451783012</v>
      </c>
      <c r="BM22" s="51">
        <f t="shared" si="93"/>
        <v>22157.698301792443</v>
      </c>
      <c r="BN22" s="51">
        <f t="shared" si="93"/>
        <v>23588.551675449169</v>
      </c>
      <c r="BO22" s="51">
        <f t="shared" si="93"/>
        <v>24275.354028963742</v>
      </c>
      <c r="BP22" s="51">
        <f t="shared" si="93"/>
        <v>24976.483400736179</v>
      </c>
      <c r="BQ22" s="51">
        <f t="shared" si="93"/>
        <v>23731.942599904414</v>
      </c>
      <c r="BR22" s="51">
        <f t="shared" si="93"/>
        <v>22725.35264942715</v>
      </c>
      <c r="BS22" s="51">
        <f t="shared" si="93"/>
        <v>21752.180233584168</v>
      </c>
      <c r="BT22" s="51">
        <f t="shared" si="93"/>
        <v>20809.974235104157</v>
      </c>
      <c r="BU22" s="51">
        <f t="shared" si="93"/>
        <v>30241.37885962021</v>
      </c>
      <c r="BV22" s="51">
        <f t="shared" si="93"/>
        <v>20720.227726641759</v>
      </c>
      <c r="BW22" s="51">
        <f t="shared" si="93"/>
        <v>22365.000297001683</v>
      </c>
      <c r="BX22" s="51">
        <f t="shared" si="93"/>
        <v>25868.87996148532</v>
      </c>
      <c r="BY22" s="51">
        <f t="shared" si="93"/>
        <v>27476.662755134803</v>
      </c>
      <c r="BZ22" s="51">
        <f t="shared" si="93"/>
        <v>29047.862728436725</v>
      </c>
      <c r="CA22" s="51">
        <f t="shared" ref="CA22:CD22" si="94">SUM(CA19:CA20)</f>
        <v>29850.215217700992</v>
      </c>
      <c r="CB22" s="51">
        <f t="shared" si="94"/>
        <v>30669.28593980569</v>
      </c>
      <c r="CC22" s="51">
        <f t="shared" si="94"/>
        <v>29221.224821880856</v>
      </c>
      <c r="CD22" s="51">
        <f t="shared" si="94"/>
        <v>28048.493153455925</v>
      </c>
      <c r="CE22" s="51">
        <f t="shared" ref="CE22:CF22" si="95">SUM(CE19:CE20)</f>
        <v>27693.874532701589</v>
      </c>
      <c r="CF22" s="51">
        <f t="shared" si="95"/>
        <v>25817.064349976383</v>
      </c>
      <c r="CG22" s="51">
        <f t="shared" ref="CG22:CS22" si="96">SUM(CG19:CG20)</f>
        <v>36830.88904159607</v>
      </c>
      <c r="CH22" s="51">
        <f t="shared" si="96"/>
        <v>24144.071288688963</v>
      </c>
      <c r="CI22" s="51">
        <f t="shared" si="96"/>
        <v>25792.554674679348</v>
      </c>
      <c r="CJ22" s="51">
        <f t="shared" si="96"/>
        <v>30759.920149639347</v>
      </c>
      <c r="CK22" s="51">
        <f t="shared" si="96"/>
        <v>32607.194884158496</v>
      </c>
      <c r="CL22" s="51">
        <f t="shared" si="96"/>
        <v>34402.258895744519</v>
      </c>
      <c r="CM22" s="51">
        <f t="shared" si="96"/>
        <v>35328.175756798599</v>
      </c>
      <c r="CN22" s="51">
        <f t="shared" si="96"/>
        <v>36273.591652805415</v>
      </c>
      <c r="CO22" s="51">
        <f t="shared" si="96"/>
        <v>34638.740700172042</v>
      </c>
      <c r="CP22" s="51">
        <f t="shared" si="96"/>
        <v>34257.695345461201</v>
      </c>
      <c r="CQ22" s="51">
        <f t="shared" si="96"/>
        <v>32952.095919632484</v>
      </c>
      <c r="CR22" s="51">
        <f t="shared" si="96"/>
        <v>30828.085693439025</v>
      </c>
      <c r="CS22" s="51">
        <f t="shared" si="96"/>
        <v>43333.674769441037</v>
      </c>
      <c r="CT22" s="51"/>
      <c r="CU22" s="51"/>
      <c r="CV22" s="51"/>
      <c r="CW22" s="51"/>
      <c r="CX22" s="51"/>
      <c r="CY22" s="51"/>
      <c r="CZ22" s="51"/>
      <c r="DA22" s="51"/>
      <c r="DB22" s="51"/>
      <c r="DC22" s="51"/>
    </row>
    <row r="23" spans="1:107" x14ac:dyDescent="0.25">
      <c r="B23" s="48" t="s">
        <v>106</v>
      </c>
      <c r="C23" s="150"/>
      <c r="D23" s="150"/>
      <c r="E23" s="149">
        <f>E22</f>
        <v>29482.078264110925</v>
      </c>
      <c r="F23" s="149">
        <f t="shared" ref="F23:G23" si="97">F22+E23</f>
        <v>-283305.02760205406</v>
      </c>
      <c r="G23" s="149">
        <f t="shared" si="97"/>
        <v>-65101.055398095981</v>
      </c>
      <c r="H23" s="149">
        <f t="shared" ref="H23" si="98">H22+G23</f>
        <v>205034.87617333292</v>
      </c>
      <c r="I23" s="149">
        <f t="shared" ref="I23" si="99">I22+H23</f>
        <v>538644.55669915071</v>
      </c>
      <c r="J23" s="149">
        <f t="shared" ref="J23" si="100">J22+I23</f>
        <v>933962.61642981158</v>
      </c>
      <c r="K23" s="42"/>
      <c r="L23" s="41"/>
      <c r="M23" s="54"/>
      <c r="N23" s="150"/>
      <c r="O23" s="150"/>
      <c r="P23" s="150"/>
      <c r="Q23" s="150"/>
      <c r="R23" s="150"/>
      <c r="S23" s="150"/>
      <c r="T23" s="11">
        <f>T22</f>
        <v>4269.0210757742934</v>
      </c>
      <c r="U23" s="11">
        <f t="shared" ref="U23:AT23" si="101">U22+T23</f>
        <v>7823.7590372060004</v>
      </c>
      <c r="V23" s="11">
        <f t="shared" si="101"/>
        <v>11391.594709718753</v>
      </c>
      <c r="W23" s="11">
        <f t="shared" si="101"/>
        <v>14207.228444685796</v>
      </c>
      <c r="X23" s="11">
        <f t="shared" si="101"/>
        <v>18311.209418212922</v>
      </c>
      <c r="Y23" s="11">
        <f t="shared" si="101"/>
        <v>23286.162142334004</v>
      </c>
      <c r="Z23" s="11">
        <f t="shared" si="101"/>
        <v>24698.038369379989</v>
      </c>
      <c r="AA23" s="11">
        <f t="shared" si="101"/>
        <v>24219.129514353132</v>
      </c>
      <c r="AB23" s="11">
        <f t="shared" si="101"/>
        <v>34007.718973833151</v>
      </c>
      <c r="AC23" s="11">
        <f t="shared" si="101"/>
        <v>34567.844907262552</v>
      </c>
      <c r="AD23" s="11">
        <f t="shared" si="101"/>
        <v>36660.909768336103</v>
      </c>
      <c r="AE23" s="11">
        <f t="shared" si="101"/>
        <v>38697.977638991506</v>
      </c>
      <c r="AF23" s="11">
        <f t="shared" si="101"/>
        <v>40255.764838346768</v>
      </c>
      <c r="AG23" s="11">
        <f t="shared" si="101"/>
        <v>41667.930085577354</v>
      </c>
      <c r="AH23" s="11">
        <f t="shared" si="101"/>
        <v>42935.208367606261</v>
      </c>
      <c r="AI23" s="11">
        <f t="shared" si="101"/>
        <v>48979.979395739487</v>
      </c>
      <c r="AJ23" s="11">
        <f t="shared" si="101"/>
        <v>54742.796989715105</v>
      </c>
      <c r="AK23" s="11">
        <f t="shared" si="101"/>
        <v>52768.24040644498</v>
      </c>
      <c r="AL23" s="11">
        <f t="shared" si="101"/>
        <v>53678.047717983041</v>
      </c>
      <c r="AM23" s="11">
        <f t="shared" si="101"/>
        <v>53449.003138118933</v>
      </c>
      <c r="AN23" s="11">
        <f t="shared" si="101"/>
        <v>50151.299044018451</v>
      </c>
      <c r="AO23" s="11">
        <f t="shared" si="101"/>
        <v>35606.801963634483</v>
      </c>
      <c r="AP23" s="11">
        <f t="shared" si="101"/>
        <v>24373.966840310153</v>
      </c>
      <c r="AQ23" s="11">
        <f t="shared" si="101"/>
        <v>-304780.37333121616</v>
      </c>
      <c r="AR23" s="11">
        <f t="shared" si="101"/>
        <v>-310922.27655181079</v>
      </c>
      <c r="AS23" s="11">
        <f t="shared" si="101"/>
        <v>-305232.10624523327</v>
      </c>
      <c r="AT23" s="11">
        <f t="shared" si="101"/>
        <v>-295447.14768080192</v>
      </c>
      <c r="AU23" s="11">
        <f t="shared" ref="AU23" si="102">AU22+AT23</f>
        <v>-285381.01323040709</v>
      </c>
      <c r="AV23" s="11">
        <f t="shared" ref="AV23" si="103">AV22+AU23</f>
        <v>-274635.54559958662</v>
      </c>
      <c r="AW23" s="11">
        <f t="shared" ref="AW23" si="104">AW22+AV23</f>
        <v>-260018.86545972008</v>
      </c>
      <c r="AX23" s="11">
        <f t="shared" ref="AX23" si="105">AX22+AW23</f>
        <v>-247449.85755920771</v>
      </c>
      <c r="AY23" s="11">
        <f t="shared" ref="AY23" si="106">AY22+AX23</f>
        <v>-232659.22141184204</v>
      </c>
      <c r="AZ23" s="11">
        <f t="shared" ref="AZ23" si="107">AZ22+AY23</f>
        <v>-215328.6551447298</v>
      </c>
      <c r="BA23" s="11">
        <f t="shared" ref="BA23" si="108">BA22+AZ23</f>
        <v>-197089.23730731927</v>
      </c>
      <c r="BB23" s="11">
        <f t="shared" ref="BB23" si="109">BB22+BA23</f>
        <v>-177846.08928111068</v>
      </c>
      <c r="BC23" s="11">
        <f t="shared" ref="BC23" si="110">BC22+BB23</f>
        <v>-158819.37701090451</v>
      </c>
      <c r="BD23" s="11">
        <f t="shared" ref="BD23" si="111">BD22+BC23</f>
        <v>-139161.59334187783</v>
      </c>
      <c r="BE23" s="11">
        <f t="shared" ref="BE23" si="112">BE22+BD23</f>
        <v>-119659.36465167422</v>
      </c>
      <c r="BF23" s="11">
        <f t="shared" ref="BF23" si="113">BF22+BE23</f>
        <v>-100937.97909529279</v>
      </c>
      <c r="BG23" s="11">
        <f t="shared" ref="BG23" si="114">BG22+BF23</f>
        <v>-82908.573647114841</v>
      </c>
      <c r="BH23" s="11">
        <f t="shared" ref="BH23" si="115">BH22+BG23</f>
        <v>-66010.365200625936</v>
      </c>
      <c r="BI23" s="11">
        <f t="shared" ref="BI23" si="116">BI22+BH23</f>
        <v>-41814.89325576189</v>
      </c>
      <c r="BJ23" s="11">
        <f t="shared" ref="BJ23" si="117">BJ22+BI23</f>
        <v>-24970.955390171894</v>
      </c>
      <c r="BK23" s="11">
        <f t="shared" ref="BK23" si="118">BK22+BJ23</f>
        <v>-6630.8221206976705</v>
      </c>
      <c r="BL23" s="11">
        <f t="shared" ref="BL23" si="119">BL22+BK23</f>
        <v>14062.122331085342</v>
      </c>
      <c r="BM23" s="11">
        <f t="shared" ref="BM23" si="120">BM22+BL23</f>
        <v>36219.820632877789</v>
      </c>
      <c r="BN23" s="11">
        <f t="shared" ref="BN23" si="121">BN22+BM23</f>
        <v>59808.372308326958</v>
      </c>
      <c r="BO23" s="11">
        <f t="shared" ref="BO23" si="122">BO22+BN23</f>
        <v>84083.726337290704</v>
      </c>
      <c r="BP23" s="11">
        <f t="shared" ref="BP23" si="123">BP22+BO23</f>
        <v>109060.20973802688</v>
      </c>
      <c r="BQ23" s="11">
        <f t="shared" ref="BQ23" si="124">BQ22+BP23</f>
        <v>132792.1523379313</v>
      </c>
      <c r="BR23" s="11">
        <f t="shared" ref="BR23" si="125">BR22+BQ23</f>
        <v>155517.50498735846</v>
      </c>
      <c r="BS23" s="11">
        <f t="shared" ref="BS23" si="126">BS22+BR23</f>
        <v>177269.68522094263</v>
      </c>
      <c r="BT23" s="11">
        <f t="shared" ref="BT23" si="127">BT22+BS23</f>
        <v>198079.65945604679</v>
      </c>
      <c r="BU23" s="11">
        <f t="shared" ref="BU23" si="128">BU22+BT23</f>
        <v>228321.03831566701</v>
      </c>
      <c r="BV23" s="11">
        <f t="shared" ref="BV23" si="129">BV22+BU23</f>
        <v>249041.26604230877</v>
      </c>
      <c r="BW23" s="11">
        <f t="shared" ref="BW23" si="130">BW22+BV23</f>
        <v>271406.26633931044</v>
      </c>
      <c r="BX23" s="11">
        <f t="shared" ref="BX23" si="131">BX22+BW23</f>
        <v>297275.14630079578</v>
      </c>
      <c r="BY23" s="11">
        <f t="shared" ref="BY23" si="132">BY22+BX23</f>
        <v>324751.80905593059</v>
      </c>
      <c r="BZ23" s="11">
        <f t="shared" ref="BZ23" si="133">BZ22+BY23</f>
        <v>353799.6717843673</v>
      </c>
      <c r="CA23" s="11">
        <f t="shared" ref="CA23" si="134">CA22+BZ23</f>
        <v>383649.88700206828</v>
      </c>
      <c r="CB23" s="11">
        <f t="shared" ref="CB23" si="135">CB22+CA23</f>
        <v>414319.17294187396</v>
      </c>
      <c r="CC23" s="11">
        <f t="shared" ref="CC23" si="136">CC22+CB23</f>
        <v>443540.39776375482</v>
      </c>
      <c r="CD23" s="11">
        <f t="shared" ref="CD23" si="137">CD22+CC23</f>
        <v>471588.89091721072</v>
      </c>
      <c r="CE23" s="11">
        <f t="shared" ref="CE23" si="138">CE22+CD23</f>
        <v>499282.76544991229</v>
      </c>
      <c r="CF23" s="11">
        <f t="shared" ref="CF23" si="139">CF22+CE23</f>
        <v>525099.82979988866</v>
      </c>
      <c r="CG23" s="11">
        <f t="shared" ref="CG23" si="140">CG22+CF23</f>
        <v>561930.71884148475</v>
      </c>
      <c r="CH23" s="11">
        <f t="shared" ref="CH23" si="141">CH22+CG23</f>
        <v>586074.79013017367</v>
      </c>
      <c r="CI23" s="11">
        <f t="shared" ref="CI23" si="142">CI22+CH23</f>
        <v>611867.34480485297</v>
      </c>
      <c r="CJ23" s="11">
        <f t="shared" ref="CJ23" si="143">CJ22+CI23</f>
        <v>642627.26495449233</v>
      </c>
      <c r="CK23" s="11">
        <f t="shared" ref="CK23" si="144">CK22+CJ23</f>
        <v>675234.45983865089</v>
      </c>
      <c r="CL23" s="11">
        <f t="shared" ref="CL23" si="145">CL22+CK23</f>
        <v>709636.71873439546</v>
      </c>
      <c r="CM23" s="11">
        <f t="shared" ref="CM23" si="146">CM22+CL23</f>
        <v>744964.89449119405</v>
      </c>
      <c r="CN23" s="11">
        <f t="shared" ref="CN23" si="147">CN22+CM23</f>
        <v>781238.4861439995</v>
      </c>
      <c r="CO23" s="11">
        <f t="shared" ref="CO23" si="148">CO22+CN23</f>
        <v>815877.22684417153</v>
      </c>
      <c r="CP23" s="11">
        <f t="shared" ref="CP23" si="149">CP22+CO23</f>
        <v>850134.92218963278</v>
      </c>
      <c r="CQ23" s="11">
        <f t="shared" ref="CQ23" si="150">CQ22+CP23</f>
        <v>883087.01810926525</v>
      </c>
      <c r="CR23" s="11">
        <f t="shared" ref="CR23" si="151">CR22+CQ23</f>
        <v>913915.10380270425</v>
      </c>
      <c r="CS23" s="11">
        <f t="shared" ref="CS23" si="152">CS22+CR23</f>
        <v>957248.77857214527</v>
      </c>
      <c r="CT23" s="49"/>
      <c r="CU23" s="49"/>
      <c r="CV23" s="49"/>
      <c r="CW23" s="49"/>
      <c r="CX23" s="49"/>
      <c r="CY23" s="49"/>
      <c r="CZ23" s="49"/>
      <c r="DA23" s="49"/>
      <c r="DB23" s="49"/>
      <c r="DC23" s="49"/>
    </row>
    <row r="24" spans="1:107" x14ac:dyDescent="0.25">
      <c r="B24" s="48" t="s">
        <v>107</v>
      </c>
      <c r="C24" s="150"/>
      <c r="D24" s="150"/>
      <c r="E24" s="175">
        <f>SUMIF($T$2:$CS$2,E$3,$T24:$CS24)</f>
        <v>0</v>
      </c>
      <c r="F24" s="175">
        <f>SUMIF($T$2:$CS$2,F$3,$T24:$CS24)</f>
        <v>0.58333333333333326</v>
      </c>
      <c r="G24" s="175">
        <f>SUMIF($T$2:$CS$2,G$3,$T24:$CS24)</f>
        <v>1</v>
      </c>
      <c r="H24" s="175">
        <f>SUMIF($T$2:$CS$2,H$3,$T24:$CS24)</f>
        <v>0.16666666666666666</v>
      </c>
      <c r="I24" s="175">
        <f t="shared" ref="I24:J24" si="153">SUMIF($T$2:$CS$2,I$3,$T24:$CS24)</f>
        <v>0</v>
      </c>
      <c r="J24" s="175">
        <f t="shared" si="153"/>
        <v>0</v>
      </c>
      <c r="K24" s="151">
        <f>SUM(C24:J24)</f>
        <v>1.75</v>
      </c>
      <c r="L24" s="55"/>
      <c r="M24" s="34"/>
      <c r="N24" s="150"/>
      <c r="O24" s="150"/>
      <c r="P24" s="150"/>
      <c r="Q24" s="150"/>
      <c r="R24" s="150"/>
      <c r="S24" s="150"/>
      <c r="T24" s="56">
        <f>IF(T23&lt;0,1/12,0)</f>
        <v>0</v>
      </c>
      <c r="U24" s="56">
        <f t="shared" ref="U24:BZ24" si="154">IF(U23&lt;0,1/12,0)</f>
        <v>0</v>
      </c>
      <c r="V24" s="56">
        <f t="shared" si="154"/>
        <v>0</v>
      </c>
      <c r="W24" s="56">
        <f t="shared" si="154"/>
        <v>0</v>
      </c>
      <c r="X24" s="56">
        <f t="shared" si="154"/>
        <v>0</v>
      </c>
      <c r="Y24" s="56">
        <f t="shared" si="154"/>
        <v>0</v>
      </c>
      <c r="Z24" s="56">
        <f t="shared" si="154"/>
        <v>0</v>
      </c>
      <c r="AA24" s="56">
        <f t="shared" si="154"/>
        <v>0</v>
      </c>
      <c r="AB24" s="56">
        <f t="shared" si="154"/>
        <v>0</v>
      </c>
      <c r="AC24" s="56">
        <f t="shared" si="154"/>
        <v>0</v>
      </c>
      <c r="AD24" s="56">
        <f t="shared" si="154"/>
        <v>0</v>
      </c>
      <c r="AE24" s="56">
        <f t="shared" si="154"/>
        <v>0</v>
      </c>
      <c r="AF24" s="56">
        <f t="shared" si="154"/>
        <v>0</v>
      </c>
      <c r="AG24" s="56">
        <f t="shared" si="154"/>
        <v>0</v>
      </c>
      <c r="AH24" s="56">
        <f t="shared" si="154"/>
        <v>0</v>
      </c>
      <c r="AI24" s="56">
        <f t="shared" si="154"/>
        <v>0</v>
      </c>
      <c r="AJ24" s="56">
        <f t="shared" si="154"/>
        <v>0</v>
      </c>
      <c r="AK24" s="56">
        <f t="shared" si="154"/>
        <v>0</v>
      </c>
      <c r="AL24" s="56">
        <f t="shared" si="154"/>
        <v>0</v>
      </c>
      <c r="AM24" s="56">
        <f t="shared" si="154"/>
        <v>0</v>
      </c>
      <c r="AN24" s="56">
        <f t="shared" si="154"/>
        <v>0</v>
      </c>
      <c r="AO24" s="56">
        <f t="shared" si="154"/>
        <v>0</v>
      </c>
      <c r="AP24" s="56">
        <f t="shared" si="154"/>
        <v>0</v>
      </c>
      <c r="AQ24" s="56">
        <f t="shared" si="154"/>
        <v>8.3333333333333329E-2</v>
      </c>
      <c r="AR24" s="56">
        <f t="shared" si="154"/>
        <v>8.3333333333333329E-2</v>
      </c>
      <c r="AS24" s="56">
        <f t="shared" si="154"/>
        <v>8.3333333333333329E-2</v>
      </c>
      <c r="AT24" s="56">
        <f t="shared" si="154"/>
        <v>8.3333333333333329E-2</v>
      </c>
      <c r="AU24" s="56">
        <f t="shared" si="154"/>
        <v>8.3333333333333329E-2</v>
      </c>
      <c r="AV24" s="56">
        <f t="shared" si="154"/>
        <v>8.3333333333333329E-2</v>
      </c>
      <c r="AW24" s="56">
        <f t="shared" si="154"/>
        <v>8.3333333333333329E-2</v>
      </c>
      <c r="AX24" s="56">
        <f t="shared" si="154"/>
        <v>8.3333333333333329E-2</v>
      </c>
      <c r="AY24" s="56">
        <f t="shared" si="154"/>
        <v>8.3333333333333329E-2</v>
      </c>
      <c r="AZ24" s="56">
        <f t="shared" si="154"/>
        <v>8.3333333333333329E-2</v>
      </c>
      <c r="BA24" s="56">
        <f t="shared" si="154"/>
        <v>8.3333333333333329E-2</v>
      </c>
      <c r="BB24" s="56">
        <f t="shared" si="154"/>
        <v>8.3333333333333329E-2</v>
      </c>
      <c r="BC24" s="56">
        <f t="shared" si="154"/>
        <v>8.3333333333333329E-2</v>
      </c>
      <c r="BD24" s="56">
        <f t="shared" si="154"/>
        <v>8.3333333333333329E-2</v>
      </c>
      <c r="BE24" s="56">
        <f t="shared" si="154"/>
        <v>8.3333333333333329E-2</v>
      </c>
      <c r="BF24" s="56">
        <f t="shared" si="154"/>
        <v>8.3333333333333329E-2</v>
      </c>
      <c r="BG24" s="56">
        <f t="shared" si="154"/>
        <v>8.3333333333333329E-2</v>
      </c>
      <c r="BH24" s="56">
        <f t="shared" si="154"/>
        <v>8.3333333333333329E-2</v>
      </c>
      <c r="BI24" s="56">
        <f t="shared" si="154"/>
        <v>8.3333333333333329E-2</v>
      </c>
      <c r="BJ24" s="56">
        <f t="shared" si="154"/>
        <v>8.3333333333333329E-2</v>
      </c>
      <c r="BK24" s="56">
        <f t="shared" si="154"/>
        <v>8.3333333333333329E-2</v>
      </c>
      <c r="BL24" s="56">
        <f t="shared" si="154"/>
        <v>0</v>
      </c>
      <c r="BM24" s="56">
        <f t="shared" si="154"/>
        <v>0</v>
      </c>
      <c r="BN24" s="56">
        <f t="shared" si="154"/>
        <v>0</v>
      </c>
      <c r="BO24" s="56">
        <f t="shared" si="154"/>
        <v>0</v>
      </c>
      <c r="BP24" s="56">
        <f t="shared" si="154"/>
        <v>0</v>
      </c>
      <c r="BQ24" s="56">
        <f t="shared" si="154"/>
        <v>0</v>
      </c>
      <c r="BR24" s="56">
        <f t="shared" si="154"/>
        <v>0</v>
      </c>
      <c r="BS24" s="56">
        <f t="shared" si="154"/>
        <v>0</v>
      </c>
      <c r="BT24" s="56">
        <f t="shared" si="154"/>
        <v>0</v>
      </c>
      <c r="BU24" s="56">
        <f t="shared" si="154"/>
        <v>0</v>
      </c>
      <c r="BV24" s="56">
        <f t="shared" si="154"/>
        <v>0</v>
      </c>
      <c r="BW24" s="56">
        <f t="shared" si="154"/>
        <v>0</v>
      </c>
      <c r="BX24" s="56">
        <f t="shared" si="154"/>
        <v>0</v>
      </c>
      <c r="BY24" s="56">
        <f t="shared" si="154"/>
        <v>0</v>
      </c>
      <c r="BZ24" s="56">
        <f t="shared" si="154"/>
        <v>0</v>
      </c>
      <c r="CA24" s="56">
        <f t="shared" ref="CA24:CD24" si="155">IF(CA23&lt;0,1/12,0)</f>
        <v>0</v>
      </c>
      <c r="CB24" s="56">
        <f t="shared" si="155"/>
        <v>0</v>
      </c>
      <c r="CC24" s="56">
        <f t="shared" si="155"/>
        <v>0</v>
      </c>
      <c r="CD24" s="56">
        <f t="shared" si="155"/>
        <v>0</v>
      </c>
      <c r="CE24" s="56">
        <f t="shared" ref="CE24:CF24" si="156">IF(CE23&lt;0,1/12,0)</f>
        <v>0</v>
      </c>
      <c r="CF24" s="56">
        <f t="shared" si="156"/>
        <v>0</v>
      </c>
      <c r="CG24" s="56">
        <f t="shared" ref="CG24:CS24" si="157">IF(CG23&lt;0,1/12,0)</f>
        <v>0</v>
      </c>
      <c r="CH24" s="56">
        <f t="shared" si="157"/>
        <v>0</v>
      </c>
      <c r="CI24" s="56">
        <f t="shared" si="157"/>
        <v>0</v>
      </c>
      <c r="CJ24" s="56">
        <f t="shared" si="157"/>
        <v>0</v>
      </c>
      <c r="CK24" s="56">
        <f t="shared" si="157"/>
        <v>0</v>
      </c>
      <c r="CL24" s="56">
        <f t="shared" si="157"/>
        <v>0</v>
      </c>
      <c r="CM24" s="56">
        <f t="shared" si="157"/>
        <v>0</v>
      </c>
      <c r="CN24" s="56">
        <f t="shared" si="157"/>
        <v>0</v>
      </c>
      <c r="CO24" s="56">
        <f t="shared" si="157"/>
        <v>0</v>
      </c>
      <c r="CP24" s="56">
        <f t="shared" si="157"/>
        <v>0</v>
      </c>
      <c r="CQ24" s="56">
        <f t="shared" si="157"/>
        <v>0</v>
      </c>
      <c r="CR24" s="56">
        <f t="shared" si="157"/>
        <v>0</v>
      </c>
      <c r="CS24" s="56">
        <f t="shared" si="157"/>
        <v>0</v>
      </c>
      <c r="CT24" s="56"/>
      <c r="CU24" s="56"/>
      <c r="CV24" s="56"/>
      <c r="CW24" s="56"/>
      <c r="CX24" s="56"/>
      <c r="CY24" s="56"/>
      <c r="CZ24" s="56"/>
      <c r="DA24" s="56"/>
      <c r="DB24" s="56"/>
      <c r="DC24" s="56"/>
    </row>
    <row r="25" spans="1:107" x14ac:dyDescent="0.25">
      <c r="B25" s="48" t="s">
        <v>108</v>
      </c>
      <c r="C25" s="150"/>
      <c r="D25" s="150"/>
      <c r="E25" s="150"/>
      <c r="F25" s="150"/>
      <c r="G25" s="150"/>
      <c r="H25" s="150"/>
      <c r="I25" s="150"/>
      <c r="J25" s="150"/>
      <c r="K25" s="42">
        <f>SUM(D25:E25)</f>
        <v>0</v>
      </c>
      <c r="L25" s="41"/>
      <c r="M25" s="34"/>
      <c r="N25" s="150"/>
      <c r="O25" s="150"/>
      <c r="P25" s="150"/>
      <c r="Q25" s="150"/>
      <c r="R25" s="150"/>
      <c r="S25" s="150"/>
      <c r="T25" s="56">
        <f>1/12</f>
        <v>8.3333333333333329E-2</v>
      </c>
      <c r="U25" s="56">
        <f t="shared" ref="U25:BB25" si="158">T25+1/12</f>
        <v>0.16666666666666666</v>
      </c>
      <c r="V25" s="56">
        <f t="shared" si="158"/>
        <v>0.25</v>
      </c>
      <c r="W25" s="56">
        <f t="shared" si="158"/>
        <v>0.33333333333333331</v>
      </c>
      <c r="X25" s="56">
        <f t="shared" si="158"/>
        <v>0.41666666666666663</v>
      </c>
      <c r="Y25" s="56">
        <f t="shared" si="158"/>
        <v>0.49999999999999994</v>
      </c>
      <c r="Z25" s="56">
        <f t="shared" si="158"/>
        <v>0.58333333333333326</v>
      </c>
      <c r="AA25" s="56">
        <f t="shared" si="158"/>
        <v>0.66666666666666663</v>
      </c>
      <c r="AB25" s="56">
        <f t="shared" si="158"/>
        <v>0.75</v>
      </c>
      <c r="AC25" s="56">
        <f t="shared" si="158"/>
        <v>0.83333333333333337</v>
      </c>
      <c r="AD25" s="56">
        <f t="shared" si="158"/>
        <v>0.91666666666666674</v>
      </c>
      <c r="AE25" s="56">
        <f t="shared" si="158"/>
        <v>1</v>
      </c>
      <c r="AF25" s="56">
        <f t="shared" si="158"/>
        <v>1.0833333333333333</v>
      </c>
      <c r="AG25" s="56">
        <f t="shared" si="158"/>
        <v>1.1666666666666665</v>
      </c>
      <c r="AH25" s="56">
        <f t="shared" si="158"/>
        <v>1.2499999999999998</v>
      </c>
      <c r="AI25" s="56">
        <f t="shared" si="158"/>
        <v>1.333333333333333</v>
      </c>
      <c r="AJ25" s="56">
        <f t="shared" si="158"/>
        <v>1.4166666666666663</v>
      </c>
      <c r="AK25" s="56">
        <f t="shared" si="158"/>
        <v>1.4999999999999996</v>
      </c>
      <c r="AL25" s="56">
        <f t="shared" si="158"/>
        <v>1.5833333333333328</v>
      </c>
      <c r="AM25" s="56">
        <f t="shared" si="158"/>
        <v>1.6666666666666661</v>
      </c>
      <c r="AN25" s="56">
        <f t="shared" si="158"/>
        <v>1.7499999999999993</v>
      </c>
      <c r="AO25" s="56">
        <f t="shared" si="158"/>
        <v>1.8333333333333326</v>
      </c>
      <c r="AP25" s="56">
        <f t="shared" si="158"/>
        <v>1.9166666666666659</v>
      </c>
      <c r="AQ25" s="56">
        <f t="shared" si="158"/>
        <v>1.9999999999999991</v>
      </c>
      <c r="AR25" s="56">
        <f t="shared" si="158"/>
        <v>2.0833333333333326</v>
      </c>
      <c r="AS25" s="56">
        <f t="shared" si="158"/>
        <v>2.1666666666666661</v>
      </c>
      <c r="AT25" s="56">
        <f t="shared" si="158"/>
        <v>2.2499999999999996</v>
      </c>
      <c r="AU25" s="56">
        <f t="shared" si="158"/>
        <v>2.333333333333333</v>
      </c>
      <c r="AV25" s="56">
        <f t="shared" si="158"/>
        <v>2.4166666666666665</v>
      </c>
      <c r="AW25" s="56">
        <f t="shared" si="158"/>
        <v>2.5</v>
      </c>
      <c r="AX25" s="56">
        <f t="shared" si="158"/>
        <v>2.5833333333333335</v>
      </c>
      <c r="AY25" s="56">
        <f t="shared" si="158"/>
        <v>2.666666666666667</v>
      </c>
      <c r="AZ25" s="56">
        <f t="shared" si="158"/>
        <v>2.7500000000000004</v>
      </c>
      <c r="BA25" s="56">
        <f t="shared" si="158"/>
        <v>2.8333333333333339</v>
      </c>
      <c r="BB25" s="56">
        <f t="shared" si="158"/>
        <v>2.9166666666666674</v>
      </c>
      <c r="BC25" s="56">
        <f t="shared" ref="BC25" si="159">BB25+1/12</f>
        <v>3.0000000000000009</v>
      </c>
      <c r="BD25" s="56">
        <f t="shared" ref="BD25" si="160">BC25+1/12</f>
        <v>3.0833333333333344</v>
      </c>
      <c r="BE25" s="56">
        <f t="shared" ref="BE25" si="161">BD25+1/12</f>
        <v>3.1666666666666679</v>
      </c>
      <c r="BF25" s="56">
        <f t="shared" ref="BF25" si="162">BE25+1/12</f>
        <v>3.2500000000000013</v>
      </c>
      <c r="BG25" s="56">
        <f t="shared" ref="BG25" si="163">BF25+1/12</f>
        <v>3.3333333333333348</v>
      </c>
      <c r="BH25" s="56">
        <f t="shared" ref="BH25" si="164">BG25+1/12</f>
        <v>3.4166666666666683</v>
      </c>
      <c r="BI25" s="56">
        <f t="shared" ref="BI25" si="165">BH25+1/12</f>
        <v>3.5000000000000018</v>
      </c>
      <c r="BJ25" s="56">
        <f t="shared" ref="BJ25" si="166">BI25+1/12</f>
        <v>3.5833333333333353</v>
      </c>
      <c r="BK25" s="56">
        <f t="shared" ref="BK25" si="167">BJ25+1/12</f>
        <v>3.6666666666666687</v>
      </c>
      <c r="BL25" s="56">
        <f t="shared" ref="BL25" si="168">BK25+1/12</f>
        <v>3.7500000000000022</v>
      </c>
      <c r="BM25" s="56">
        <f t="shared" ref="BM25" si="169">BL25+1/12</f>
        <v>3.8333333333333357</v>
      </c>
      <c r="BN25" s="56">
        <f t="shared" ref="BN25" si="170">BM25+1/12</f>
        <v>3.9166666666666692</v>
      </c>
      <c r="BO25" s="56">
        <f t="shared" ref="BO25" si="171">BN25+1/12</f>
        <v>4.0000000000000027</v>
      </c>
      <c r="BP25" s="56">
        <f t="shared" ref="BP25" si="172">BO25+1/12</f>
        <v>4.0833333333333357</v>
      </c>
      <c r="BQ25" s="56">
        <f t="shared" ref="BQ25" si="173">BP25+1/12</f>
        <v>4.1666666666666687</v>
      </c>
      <c r="BR25" s="56">
        <f t="shared" ref="BR25" si="174">BQ25+1/12</f>
        <v>4.2500000000000018</v>
      </c>
      <c r="BS25" s="56">
        <f t="shared" ref="BS25" si="175">BR25+1/12</f>
        <v>4.3333333333333348</v>
      </c>
      <c r="BT25" s="56">
        <f t="shared" ref="BT25" si="176">BS25+1/12</f>
        <v>4.4166666666666679</v>
      </c>
      <c r="BU25" s="56">
        <f t="shared" ref="BU25" si="177">BT25+1/12</f>
        <v>4.5000000000000009</v>
      </c>
      <c r="BV25" s="56">
        <f t="shared" ref="BV25" si="178">BU25+1/12</f>
        <v>4.5833333333333339</v>
      </c>
      <c r="BW25" s="56">
        <f t="shared" ref="BW25" si="179">BV25+1/12</f>
        <v>4.666666666666667</v>
      </c>
      <c r="BX25" s="56">
        <f t="shared" ref="BX25" si="180">BW25+1/12</f>
        <v>4.75</v>
      </c>
      <c r="BY25" s="56">
        <f t="shared" ref="BY25" si="181">BX25+1/12</f>
        <v>4.833333333333333</v>
      </c>
      <c r="BZ25" s="56">
        <f t="shared" ref="BZ25" si="182">BY25+1/12</f>
        <v>4.9166666666666661</v>
      </c>
      <c r="CA25" s="56">
        <f t="shared" ref="CA25" si="183">BZ25+1/12</f>
        <v>4.9999999999999991</v>
      </c>
      <c r="CB25" s="56">
        <f t="shared" ref="CB25" si="184">CA25+1/12</f>
        <v>5.0833333333333321</v>
      </c>
      <c r="CC25" s="56">
        <f t="shared" ref="CC25" si="185">CB25+1/12</f>
        <v>5.1666666666666652</v>
      </c>
      <c r="CD25" s="56">
        <f t="shared" ref="CD25" si="186">CC25+1/12</f>
        <v>5.2499999999999982</v>
      </c>
      <c r="CE25" s="56">
        <f t="shared" ref="CE25" si="187">CD25+1/12</f>
        <v>5.3333333333333313</v>
      </c>
      <c r="CF25" s="56">
        <f t="shared" ref="CF25" si="188">CE25+1/12</f>
        <v>5.4166666666666643</v>
      </c>
      <c r="CG25" s="56">
        <f t="shared" ref="CG25" si="189">CF25+1/12</f>
        <v>5.4999999999999973</v>
      </c>
      <c r="CH25" s="56">
        <f t="shared" ref="CH25" si="190">CG25+1/12</f>
        <v>5.5833333333333304</v>
      </c>
      <c r="CI25" s="56">
        <f t="shared" ref="CI25" si="191">CH25+1/12</f>
        <v>5.6666666666666634</v>
      </c>
      <c r="CJ25" s="56">
        <f t="shared" ref="CJ25" si="192">CI25+1/12</f>
        <v>5.7499999999999964</v>
      </c>
      <c r="CK25" s="56">
        <f t="shared" ref="CK25" si="193">CJ25+1/12</f>
        <v>5.8333333333333295</v>
      </c>
      <c r="CL25" s="56">
        <f t="shared" ref="CL25" si="194">CK25+1/12</f>
        <v>5.9166666666666625</v>
      </c>
      <c r="CM25" s="56">
        <f t="shared" ref="CM25" si="195">CL25+1/12</f>
        <v>5.9999999999999956</v>
      </c>
      <c r="CN25" s="56">
        <f t="shared" ref="CN25" si="196">CM25+1/12</f>
        <v>6.0833333333333286</v>
      </c>
      <c r="CO25" s="56">
        <f t="shared" ref="CO25" si="197">CN25+1/12</f>
        <v>6.1666666666666616</v>
      </c>
      <c r="CP25" s="56">
        <f t="shared" ref="CP25" si="198">CO25+1/12</f>
        <v>6.2499999999999947</v>
      </c>
      <c r="CQ25" s="56">
        <f t="shared" ref="CQ25" si="199">CP25+1/12</f>
        <v>6.3333333333333277</v>
      </c>
      <c r="CR25" s="56">
        <f t="shared" ref="CR25" si="200">CQ25+1/12</f>
        <v>6.4166666666666607</v>
      </c>
      <c r="CS25" s="56">
        <f t="shared" ref="CS25" si="201">CR25+1/12</f>
        <v>6.4999999999999938</v>
      </c>
      <c r="CT25" s="56"/>
      <c r="CU25" s="56"/>
      <c r="CV25" s="56"/>
      <c r="CW25" s="56"/>
      <c r="CX25" s="56"/>
      <c r="CY25" s="56"/>
      <c r="CZ25" s="56"/>
      <c r="DA25" s="56"/>
      <c r="DB25" s="56"/>
      <c r="DC25" s="56"/>
    </row>
    <row r="26" spans="1:107" x14ac:dyDescent="0.25">
      <c r="B26" s="48" t="s">
        <v>109</v>
      </c>
      <c r="C26" s="150"/>
      <c r="D26" s="150"/>
      <c r="E26" s="150"/>
      <c r="F26" s="150"/>
      <c r="G26" s="150"/>
      <c r="H26" s="150"/>
      <c r="I26" s="150"/>
      <c r="J26" s="150"/>
      <c r="K26" s="42">
        <f>SUM(D26:E26)</f>
        <v>0</v>
      </c>
      <c r="L26" s="41"/>
      <c r="M26" s="34"/>
      <c r="N26" s="150"/>
      <c r="O26" s="150"/>
      <c r="P26" s="150"/>
      <c r="Q26" s="150"/>
      <c r="R26" s="150"/>
      <c r="S26" s="150"/>
      <c r="T26" s="56">
        <f>1/POWER(1+$D$38,T25)</f>
        <v>0.98248615799997274</v>
      </c>
      <c r="U26" s="56">
        <f t="shared" ref="U26:AY26" si="202">1/POWER(1+$D$38,U25)</f>
        <v>0.96527905066154729</v>
      </c>
      <c r="V26" s="56">
        <f t="shared" si="202"/>
        <v>0.9483733058823246</v>
      </c>
      <c r="W26" s="56">
        <f t="shared" si="202"/>
        <v>0.93176364564605796</v>
      </c>
      <c r="X26" s="56">
        <f t="shared" si="202"/>
        <v>0.91544488437484373</v>
      </c>
      <c r="Y26" s="56">
        <f t="shared" si="202"/>
        <v>0.89941192731016939</v>
      </c>
      <c r="Z26" s="56">
        <f t="shared" si="202"/>
        <v>0.88365976892231912</v>
      </c>
      <c r="AA26" s="56">
        <f t="shared" si="202"/>
        <v>0.86818349134763295</v>
      </c>
      <c r="AB26" s="56">
        <f t="shared" si="202"/>
        <v>0.85297826285313838</v>
      </c>
      <c r="AC26" s="56">
        <f t="shared" si="202"/>
        <v>0.83803933632807082</v>
      </c>
      <c r="AD26" s="56">
        <f t="shared" si="202"/>
        <v>0.82336204780181321</v>
      </c>
      <c r="AE26" s="56">
        <f t="shared" si="202"/>
        <v>0.80894181498779338</v>
      </c>
      <c r="AF26" s="56">
        <f t="shared" si="202"/>
        <v>0.79477413585288181</v>
      </c>
      <c r="AG26" s="56">
        <f t="shared" si="202"/>
        <v>0.78085458721184631</v>
      </c>
      <c r="AH26" s="56">
        <f t="shared" si="202"/>
        <v>0.7671788233464214</v>
      </c>
      <c r="AI26" s="56">
        <f t="shared" si="202"/>
        <v>0.75374257464856542</v>
      </c>
      <c r="AJ26" s="56">
        <f t="shared" si="202"/>
        <v>0.74054164628747665</v>
      </c>
      <c r="AK26" s="56">
        <f t="shared" si="202"/>
        <v>0.7275719168999577</v>
      </c>
      <c r="AL26" s="56">
        <f t="shared" si="202"/>
        <v>0.7148293373037149</v>
      </c>
      <c r="AM26" s="56">
        <f t="shared" si="202"/>
        <v>0.70230992923319335</v>
      </c>
      <c r="AN26" s="56">
        <f t="shared" si="202"/>
        <v>0.69000978409755287</v>
      </c>
      <c r="AO26" s="56">
        <f t="shared" si="202"/>
        <v>0.67792506176039535</v>
      </c>
      <c r="AP26" s="56">
        <f t="shared" si="202"/>
        <v>0.66605198934086507</v>
      </c>
      <c r="AQ26" s="56">
        <f t="shared" si="202"/>
        <v>0.65438686003574531</v>
      </c>
      <c r="AR26" s="56">
        <f t="shared" si="202"/>
        <v>0.64292603196218534</v>
      </c>
      <c r="AS26" s="56">
        <f t="shared" si="202"/>
        <v>0.63166592702069513</v>
      </c>
      <c r="AT26" s="56">
        <f t="shared" si="202"/>
        <v>0.62060302977805382</v>
      </c>
      <c r="AU26" s="56">
        <f t="shared" si="202"/>
        <v>0.60973388636978276</v>
      </c>
      <c r="AV26" s="56">
        <f t="shared" si="202"/>
        <v>0.59905510342183976</v>
      </c>
      <c r="AW26" s="56">
        <f t="shared" si="202"/>
        <v>0.58856334699119972</v>
      </c>
      <c r="AX26" s="56">
        <f t="shared" si="202"/>
        <v>0.57825534152498859</v>
      </c>
      <c r="AY26" s="56">
        <f t="shared" si="202"/>
        <v>0.56812786883784805</v>
      </c>
      <c r="AZ26" s="56">
        <f t="shared" ref="AZ26:CE26" si="203">1/POWER(1+$D$38,AZ25)</f>
        <v>0.55817776710720968</v>
      </c>
      <c r="BA26" s="56">
        <f t="shared" si="203"/>
        <v>0.5484019298861661</v>
      </c>
      <c r="BB26" s="56">
        <f t="shared" si="203"/>
        <v>0.53879730513362967</v>
      </c>
      <c r="BC26" s="56">
        <f t="shared" si="203"/>
        <v>0.52936089426147881</v>
      </c>
      <c r="BD26" s="56">
        <f t="shared" si="203"/>
        <v>0.52008975119839007</v>
      </c>
      <c r="BE26" s="56">
        <f t="shared" si="203"/>
        <v>0.51098098147006799</v>
      </c>
      <c r="BF26" s="56">
        <f t="shared" si="203"/>
        <v>0.50203174129558226</v>
      </c>
      <c r="BG26" s="56">
        <f t="shared" si="203"/>
        <v>0.49323923669953285</v>
      </c>
      <c r="BH26" s="56">
        <f t="shared" si="203"/>
        <v>0.48460072263976317</v>
      </c>
      <c r="BI26" s="56">
        <f t="shared" si="203"/>
        <v>0.4761135021503512</v>
      </c>
      <c r="BJ26" s="56">
        <f t="shared" si="203"/>
        <v>0.46777492549961036</v>
      </c>
      <c r="BK26" s="56">
        <f t="shared" si="203"/>
        <v>0.45958238936283563</v>
      </c>
      <c r="BL26" s="56">
        <f t="shared" si="203"/>
        <v>0.45153333600953982</v>
      </c>
      <c r="BM26" s="56">
        <f t="shared" si="203"/>
        <v>0.44362525250492357</v>
      </c>
      <c r="BN26" s="56">
        <f t="shared" si="203"/>
        <v>0.43585566992533009</v>
      </c>
      <c r="BO26" s="56">
        <f t="shared" si="203"/>
        <v>0.42822216258744183</v>
      </c>
      <c r="BP26" s="56">
        <f t="shared" si="203"/>
        <v>0.42072234729097535</v>
      </c>
      <c r="BQ26" s="56">
        <f t="shared" si="203"/>
        <v>0.41335388257464062</v>
      </c>
      <c r="BR26" s="56">
        <f t="shared" si="203"/>
        <v>0.40611446798513057</v>
      </c>
      <c r="BS26" s="56">
        <f t="shared" si="203"/>
        <v>0.39900184335891392</v>
      </c>
      <c r="BT26" s="56">
        <f t="shared" si="203"/>
        <v>0.39201378811660625</v>
      </c>
      <c r="BU26" s="56">
        <f t="shared" si="203"/>
        <v>0.38514812056969988</v>
      </c>
      <c r="BV26" s="56">
        <f t="shared" si="203"/>
        <v>0.37840269723943476</v>
      </c>
      <c r="BW26" s="56">
        <f t="shared" si="203"/>
        <v>0.37177541218759913</v>
      </c>
      <c r="BX26" s="56">
        <f t="shared" si="203"/>
        <v>0.36526419635905055</v>
      </c>
      <c r="BY26" s="56">
        <f t="shared" si="203"/>
        <v>0.35886701693575113</v>
      </c>
      <c r="BZ26" s="56">
        <f t="shared" si="203"/>
        <v>0.35258187670211733</v>
      </c>
      <c r="CA26" s="56">
        <f t="shared" si="203"/>
        <v>0.34640681342148333</v>
      </c>
      <c r="CB26" s="56">
        <f t="shared" si="203"/>
        <v>0.34033989922348662</v>
      </c>
      <c r="CC26" s="56">
        <f t="shared" si="203"/>
        <v>0.33437924000218128</v>
      </c>
      <c r="CD26" s="56">
        <f t="shared" si="203"/>
        <v>0.32852297482469384</v>
      </c>
      <c r="CE26" s="56">
        <f t="shared" si="203"/>
        <v>0.32276927535023525</v>
      </c>
      <c r="CF26" s="56">
        <f t="shared" ref="CF26" si="204">1/POWER(1+$D$38,CF25)</f>
        <v>0.317116345259288</v>
      </c>
      <c r="CG26" s="56">
        <f t="shared" ref="CG26:CS26" si="205">1/POWER(1+$D$38,CG25)</f>
        <v>0.31156241969279075</v>
      </c>
      <c r="CH26" s="56">
        <f t="shared" si="205"/>
        <v>0.30610576470114498</v>
      </c>
      <c r="CI26" s="56">
        <f t="shared" si="205"/>
        <v>0.30074467670287164</v>
      </c>
      <c r="CJ26" s="56">
        <f t="shared" si="205"/>
        <v>0.29547748195274826</v>
      </c>
      <c r="CK26" s="56">
        <f t="shared" si="205"/>
        <v>0.29030253601926198</v>
      </c>
      <c r="CL26" s="56">
        <f t="shared" si="205"/>
        <v>0.28521822327121343</v>
      </c>
      <c r="CM26" s="56">
        <f t="shared" si="205"/>
        <v>0.28022295637331285</v>
      </c>
      <c r="CN26" s="56">
        <f t="shared" si="205"/>
        <v>0.2753151757906101</v>
      </c>
      <c r="CO26" s="56">
        <f t="shared" si="205"/>
        <v>0.27049334930160363</v>
      </c>
      <c r="CP26" s="56">
        <f t="shared" si="205"/>
        <v>0.26575597151987723</v>
      </c>
      <c r="CQ26" s="56">
        <f t="shared" si="205"/>
        <v>0.26110156342411434</v>
      </c>
      <c r="CR26" s="56">
        <f t="shared" si="205"/>
        <v>0.25652867189634432</v>
      </c>
      <c r="CS26" s="56">
        <f t="shared" si="205"/>
        <v>0.25203586926827493</v>
      </c>
      <c r="CT26" s="56"/>
      <c r="CU26" s="56"/>
      <c r="CV26" s="56"/>
      <c r="CW26" s="56"/>
      <c r="CX26" s="56"/>
      <c r="CY26" s="56"/>
      <c r="CZ26" s="56"/>
      <c r="DA26" s="56"/>
      <c r="DB26" s="56"/>
      <c r="DC26" s="56"/>
    </row>
    <row r="27" spans="1:107" x14ac:dyDescent="0.25">
      <c r="B27" s="44" t="s">
        <v>110</v>
      </c>
      <c r="C27" s="150"/>
      <c r="D27" s="150"/>
      <c r="E27" s="174">
        <f>SUMIF($T$2:$CS$2,E$3,$T27:$CS27)</f>
        <v>23722.108143478705</v>
      </c>
      <c r="F27" s="174">
        <f>SUMIF($T$2:$CS$2,F$3,$T27:$CS27)</f>
        <v>-207626.25295467372</v>
      </c>
      <c r="G27" s="174">
        <f>SUMIF($T$2:$CS$2,G$3,$T27:$CS27)</f>
        <v>113976.58564862449</v>
      </c>
      <c r="H27" s="174">
        <f>SUMIF($T$2:$CS$2,H$3,$T27:$CS27)</f>
        <v>114189.00829772223</v>
      </c>
      <c r="I27" s="174">
        <f t="shared" ref="I27:J27" si="206">SUMIF($T$2:$CS$2,I$3,$T27:$CS27)</f>
        <v>114071.25165957439</v>
      </c>
      <c r="J27" s="174">
        <f t="shared" si="206"/>
        <v>109308.52344309594</v>
      </c>
      <c r="K27" s="46">
        <f>SUM(C27:J27)</f>
        <v>267641.224237822</v>
      </c>
      <c r="L27" s="45"/>
      <c r="M27" s="34"/>
      <c r="N27" s="150"/>
      <c r="O27" s="150"/>
      <c r="P27" s="150"/>
      <c r="Q27" s="150"/>
      <c r="R27" s="150"/>
      <c r="S27" s="150"/>
      <c r="T27" s="51">
        <f t="shared" ref="T27:AT27" si="207">T22*T26</f>
        <v>4194.2541151583964</v>
      </c>
      <c r="U27" s="51">
        <f>U22*U26</f>
        <v>3431.3140847613618</v>
      </c>
      <c r="V27" s="51">
        <f t="shared" si="207"/>
        <v>3383.6401115858062</v>
      </c>
      <c r="W27" s="51">
        <f t="shared" si="207"/>
        <v>2623.505153696919</v>
      </c>
      <c r="X27" s="51">
        <f t="shared" si="207"/>
        <v>3756.9683877871007</v>
      </c>
      <c r="Y27" s="51">
        <f t="shared" si="207"/>
        <v>4474.5318178787174</v>
      </c>
      <c r="Z27" s="51">
        <f t="shared" si="207"/>
        <v>1247.6182205383711</v>
      </c>
      <c r="AA27" s="51">
        <f t="shared" si="207"/>
        <v>-415.78076179451404</v>
      </c>
      <c r="AB27" s="51">
        <f t="shared" si="207"/>
        <v>8349.4540329298052</v>
      </c>
      <c r="AC27" s="51">
        <f t="shared" si="207"/>
        <v>469.40756551131648</v>
      </c>
      <c r="AD27" s="51">
        <f t="shared" si="207"/>
        <v>1723.3501701955383</v>
      </c>
      <c r="AE27" s="51">
        <f t="shared" si="207"/>
        <v>1647.8693805412995</v>
      </c>
      <c r="AF27" s="51">
        <f t="shared" si="207"/>
        <v>1238.0889752102607</v>
      </c>
      <c r="AG27" s="51">
        <f t="shared" si="207"/>
        <v>1102.695711201153</v>
      </c>
      <c r="AH27" s="51">
        <f t="shared" si="207"/>
        <v>972.22906125941063</v>
      </c>
      <c r="AI27" s="51">
        <f t="shared" si="207"/>
        <v>4556.2012779061943</v>
      </c>
      <c r="AJ27" s="51">
        <f t="shared" si="207"/>
        <v>4267.6064282971402</v>
      </c>
      <c r="AK27" s="51">
        <f t="shared" si="207"/>
        <v>-1436.6319183172732</v>
      </c>
      <c r="AL27" s="51">
        <f t="shared" si="207"/>
        <v>650.35695758082511</v>
      </c>
      <c r="AM27" s="51">
        <f t="shared" si="207"/>
        <v>-160.86028267560664</v>
      </c>
      <c r="AN27" s="51">
        <f t="shared" si="207"/>
        <v>-2275.4480899878881</v>
      </c>
      <c r="AO27" s="51">
        <f t="shared" si="207"/>
        <v>-9860.0790814931897</v>
      </c>
      <c r="AP27" s="51">
        <f t="shared" si="207"/>
        <v>-7481.6521798281101</v>
      </c>
      <c r="AQ27" s="51">
        <f t="shared" si="207"/>
        <v>-215394.27513198269</v>
      </c>
      <c r="AR27" s="51">
        <f t="shared" si="207"/>
        <v>-3948.7894663126754</v>
      </c>
      <c r="AS27" s="51">
        <f t="shared" si="207"/>
        <v>3594.2867016099349</v>
      </c>
      <c r="AT27" s="51">
        <f t="shared" si="207"/>
        <v>6072.5749313387969</v>
      </c>
      <c r="AU27" s="51">
        <f t="shared" ref="AU27:BB27" si="208">AU22*AU26</f>
        <v>6137.6632791600114</v>
      </c>
      <c r="AV27" s="51">
        <f t="shared" si="208"/>
        <v>6437.1272228971893</v>
      </c>
      <c r="AW27" s="51">
        <f t="shared" si="208"/>
        <v>8602.8421850196501</v>
      </c>
      <c r="AX27" s="51">
        <f t="shared" si="208"/>
        <v>7268.0959561410618</v>
      </c>
      <c r="AY27" s="51">
        <f t="shared" si="208"/>
        <v>8402.9725931589055</v>
      </c>
      <c r="AZ27" s="51">
        <f t="shared" si="208"/>
        <v>9673.5367816802463</v>
      </c>
      <c r="BA27" s="51">
        <f t="shared" si="208"/>
        <v>10002.531942036099</v>
      </c>
      <c r="BB27" s="51">
        <f t="shared" si="208"/>
        <v>10368.156298808712</v>
      </c>
      <c r="BC27" s="51">
        <f t="shared" ref="BC27:BZ27" si="209">BC22*BC26</f>
        <v>10071.997422212178</v>
      </c>
      <c r="BD27" s="51">
        <f t="shared" si="209"/>
        <v>10223.81181753586</v>
      </c>
      <c r="BE27" s="51">
        <f t="shared" si="209"/>
        <v>9965.2679569739612</v>
      </c>
      <c r="BF27" s="51">
        <f t="shared" si="209"/>
        <v>9398.7297903361323</v>
      </c>
      <c r="BG27" s="51">
        <f t="shared" si="209"/>
        <v>8892.8101814056899</v>
      </c>
      <c r="BH27" s="51">
        <f t="shared" si="209"/>
        <v>8188.8840244858729</v>
      </c>
      <c r="BI27" s="51">
        <f t="shared" si="209"/>
        <v>11519.79088384979</v>
      </c>
      <c r="BJ27" s="51">
        <f t="shared" si="209"/>
        <v>7879.1717801964269</v>
      </c>
      <c r="BK27" s="51">
        <f t="shared" si="209"/>
        <v>8428.8022692177983</v>
      </c>
      <c r="BL27" s="51">
        <f t="shared" si="209"/>
        <v>9343.554240173682</v>
      </c>
      <c r="BM27" s="51">
        <f t="shared" si="209"/>
        <v>9829.7145040605883</v>
      </c>
      <c r="BN27" s="51">
        <f t="shared" si="209"/>
        <v>10281.203993071165</v>
      </c>
      <c r="BO27" s="51">
        <f t="shared" si="209"/>
        <v>10395.244599858623</v>
      </c>
      <c r="BP27" s="51">
        <f t="shared" si="209"/>
        <v>10508.164723431808</v>
      </c>
      <c r="BQ27" s="51">
        <f t="shared" si="209"/>
        <v>9809.6906147090012</v>
      </c>
      <c r="BR27" s="51">
        <f t="shared" si="209"/>
        <v>9229.0945009965853</v>
      </c>
      <c r="BS27" s="51">
        <f t="shared" si="209"/>
        <v>8679.1600102754128</v>
      </c>
      <c r="BT27" s="51">
        <f t="shared" si="209"/>
        <v>8157.7968305121558</v>
      </c>
      <c r="BU27" s="51">
        <f t="shared" si="209"/>
        <v>11647.410231218977</v>
      </c>
      <c r="BV27" s="51">
        <f t="shared" si="209"/>
        <v>7840.590059176563</v>
      </c>
      <c r="BW27" s="51">
        <f t="shared" si="209"/>
        <v>8314.7572039935785</v>
      </c>
      <c r="BX27" s="51">
        <f t="shared" si="209"/>
        <v>9448.9756498406823</v>
      </c>
      <c r="BY27" s="51">
        <f t="shared" si="209"/>
        <v>9860.4679982848829</v>
      </c>
      <c r="BZ27" s="51">
        <f t="shared" si="209"/>
        <v>10241.749954977706</v>
      </c>
      <c r="CA27" s="51">
        <f t="shared" ref="CA27:CD27" si="210">CA22*CA26</f>
        <v>10340.31793350927</v>
      </c>
      <c r="CB27" s="51">
        <f t="shared" si="210"/>
        <v>10437.981686009764</v>
      </c>
      <c r="CC27" s="51">
        <f t="shared" si="210"/>
        <v>9770.9709478733948</v>
      </c>
      <c r="CD27" s="51">
        <f t="shared" si="210"/>
        <v>9214.5744101233977</v>
      </c>
      <c r="CE27" s="51">
        <f t="shared" ref="CE27:CF27" si="211">CE22*CE26</f>
        <v>8938.7318145604277</v>
      </c>
      <c r="CF27" s="51">
        <f t="shared" si="211"/>
        <v>8187.0130919883668</v>
      </c>
      <c r="CG27" s="51">
        <f t="shared" ref="CG27:CS27" si="212">CG22*CG26</f>
        <v>11475.120909236362</v>
      </c>
      <c r="CH27" s="51">
        <f t="shared" si="212"/>
        <v>7390.6394048230941</v>
      </c>
      <c r="CI27" s="51">
        <f t="shared" si="212"/>
        <v>7756.9735169775813</v>
      </c>
      <c r="CJ27" s="51">
        <f t="shared" si="212"/>
        <v>9088.8637508830379</v>
      </c>
      <c r="CK27" s="51">
        <f t="shared" si="212"/>
        <v>9465.9513673455167</v>
      </c>
      <c r="CL27" s="51">
        <f t="shared" si="212"/>
        <v>9812.1511587605492</v>
      </c>
      <c r="CM27" s="51">
        <f t="shared" si="212"/>
        <v>9899.7658538461019</v>
      </c>
      <c r="CN27" s="51">
        <f t="shared" si="212"/>
        <v>9986.6702624489299</v>
      </c>
      <c r="CO27" s="51">
        <f t="shared" si="212"/>
        <v>9369.5489875793101</v>
      </c>
      <c r="CP27" s="51">
        <f t="shared" si="212"/>
        <v>9104.1871085650182</v>
      </c>
      <c r="CQ27" s="51">
        <f t="shared" si="212"/>
        <v>8603.8437627174208</v>
      </c>
      <c r="CR27" s="51">
        <f t="shared" si="212"/>
        <v>7908.287880044606</v>
      </c>
      <c r="CS27" s="51">
        <f t="shared" si="212"/>
        <v>10921.640389104785</v>
      </c>
      <c r="CT27" s="51"/>
      <c r="CU27" s="51"/>
      <c r="CV27" s="51"/>
      <c r="CW27" s="51"/>
      <c r="CX27" s="51"/>
      <c r="CY27" s="51"/>
      <c r="CZ27" s="51"/>
      <c r="DA27" s="51"/>
      <c r="DB27" s="51"/>
      <c r="DC27" s="51"/>
    </row>
    <row r="28" spans="1:107" x14ac:dyDescent="0.25">
      <c r="B28" s="48" t="s">
        <v>111</v>
      </c>
      <c r="C28" s="150"/>
      <c r="D28" s="150"/>
      <c r="E28" s="149">
        <f>E27</f>
        <v>23722.108143478705</v>
      </c>
      <c r="F28" s="149">
        <f t="shared" ref="F28:G28" si="213">F27+E28</f>
        <v>-183904.14481119503</v>
      </c>
      <c r="G28" s="149">
        <f t="shared" si="213"/>
        <v>-69927.559162570542</v>
      </c>
      <c r="H28" s="149">
        <f t="shared" ref="H28" si="214">H27+G28</f>
        <v>44261.449135151692</v>
      </c>
      <c r="I28" s="149">
        <f t="shared" ref="I28" si="215">I27+H28</f>
        <v>158332.70079472609</v>
      </c>
      <c r="J28" s="149">
        <f t="shared" ref="J28" si="216">J27+I28</f>
        <v>267641.224237822</v>
      </c>
      <c r="K28" s="42"/>
      <c r="L28" s="41"/>
      <c r="M28" s="54"/>
      <c r="N28" s="150"/>
      <c r="O28" s="150"/>
      <c r="P28" s="150"/>
      <c r="Q28" s="150"/>
      <c r="R28" s="150"/>
      <c r="S28" s="150"/>
      <c r="T28" s="11">
        <f>T27</f>
        <v>4194.2541151583964</v>
      </c>
      <c r="U28" s="11">
        <f t="shared" ref="U28:AT28" si="217">U27+T28</f>
        <v>7625.5681999197586</v>
      </c>
      <c r="V28" s="11">
        <f t="shared" si="217"/>
        <v>11009.208311505565</v>
      </c>
      <c r="W28" s="11">
        <f t="shared" si="217"/>
        <v>13632.713465202483</v>
      </c>
      <c r="X28" s="11">
        <f t="shared" si="217"/>
        <v>17389.681852989583</v>
      </c>
      <c r="Y28" s="11">
        <f t="shared" si="217"/>
        <v>21864.213670868299</v>
      </c>
      <c r="Z28" s="11">
        <f t="shared" si="217"/>
        <v>23111.831891406669</v>
      </c>
      <c r="AA28" s="11">
        <f t="shared" si="217"/>
        <v>22696.051129612155</v>
      </c>
      <c r="AB28" s="11">
        <f t="shared" si="217"/>
        <v>31045.505162541958</v>
      </c>
      <c r="AC28" s="11">
        <f t="shared" si="217"/>
        <v>31514.912728053274</v>
      </c>
      <c r="AD28" s="11">
        <f t="shared" si="217"/>
        <v>33238.26289824881</v>
      </c>
      <c r="AE28" s="11">
        <f t="shared" si="217"/>
        <v>34886.132278790108</v>
      </c>
      <c r="AF28" s="11">
        <f t="shared" si="217"/>
        <v>36124.221254000367</v>
      </c>
      <c r="AG28" s="11">
        <f t="shared" si="217"/>
        <v>37226.916965201519</v>
      </c>
      <c r="AH28" s="11">
        <f t="shared" si="217"/>
        <v>38199.146026460927</v>
      </c>
      <c r="AI28" s="11">
        <f t="shared" si="217"/>
        <v>42755.347304367118</v>
      </c>
      <c r="AJ28" s="11">
        <f t="shared" si="217"/>
        <v>47022.95373266426</v>
      </c>
      <c r="AK28" s="11">
        <f t="shared" si="217"/>
        <v>45586.321814346986</v>
      </c>
      <c r="AL28" s="11">
        <f t="shared" si="217"/>
        <v>46236.678771927807</v>
      </c>
      <c r="AM28" s="11">
        <f t="shared" si="217"/>
        <v>46075.818489252204</v>
      </c>
      <c r="AN28" s="11">
        <f t="shared" si="217"/>
        <v>43800.370399264313</v>
      </c>
      <c r="AO28" s="11">
        <f t="shared" si="217"/>
        <v>33940.291317771123</v>
      </c>
      <c r="AP28" s="11">
        <f t="shared" si="217"/>
        <v>26458.639137943013</v>
      </c>
      <c r="AQ28" s="11">
        <f t="shared" si="217"/>
        <v>-188935.63599403968</v>
      </c>
      <c r="AR28" s="11">
        <f t="shared" si="217"/>
        <v>-192884.42546035236</v>
      </c>
      <c r="AS28" s="11">
        <f t="shared" si="217"/>
        <v>-189290.13875874243</v>
      </c>
      <c r="AT28" s="11">
        <f t="shared" si="217"/>
        <v>-183217.56382740362</v>
      </c>
      <c r="AU28" s="11">
        <f t="shared" ref="AU28" si="218">AU27+AT28</f>
        <v>-177079.9005482436</v>
      </c>
      <c r="AV28" s="11">
        <f t="shared" ref="AV28" si="219">AV27+AU28</f>
        <v>-170642.77332534641</v>
      </c>
      <c r="AW28" s="11">
        <f t="shared" ref="AW28" si="220">AW27+AV28</f>
        <v>-162039.93114032675</v>
      </c>
      <c r="AX28" s="11">
        <f t="shared" ref="AX28" si="221">AX27+AW28</f>
        <v>-154771.83518418568</v>
      </c>
      <c r="AY28" s="11">
        <f t="shared" ref="AY28" si="222">AY27+AX28</f>
        <v>-146368.86259102676</v>
      </c>
      <c r="AZ28" s="11">
        <f t="shared" ref="AZ28" si="223">AZ27+AY28</f>
        <v>-136695.32580934651</v>
      </c>
      <c r="BA28" s="11">
        <f t="shared" ref="BA28" si="224">BA27+AZ28</f>
        <v>-126692.79386731041</v>
      </c>
      <c r="BB28" s="11">
        <f t="shared" ref="BB28" si="225">BB27+BA28</f>
        <v>-116324.6375685017</v>
      </c>
      <c r="BC28" s="11">
        <f t="shared" ref="BC28" si="226">BC27+BB28</f>
        <v>-106252.64014628952</v>
      </c>
      <c r="BD28" s="11">
        <f t="shared" ref="BD28" si="227">BD27+BC28</f>
        <v>-96028.828328753661</v>
      </c>
      <c r="BE28" s="11">
        <f t="shared" ref="BE28" si="228">BE27+BD28</f>
        <v>-86063.560371779706</v>
      </c>
      <c r="BF28" s="11">
        <f t="shared" ref="BF28" si="229">BF27+BE28</f>
        <v>-76664.830581443573</v>
      </c>
      <c r="BG28" s="11">
        <f t="shared" ref="BG28" si="230">BG27+BF28</f>
        <v>-67772.020400037887</v>
      </c>
      <c r="BH28" s="11">
        <f t="shared" ref="BH28" si="231">BH27+BG28</f>
        <v>-59583.136375552014</v>
      </c>
      <c r="BI28" s="11">
        <f t="shared" ref="BI28" si="232">BI27+BH28</f>
        <v>-48063.345491702225</v>
      </c>
      <c r="BJ28" s="11">
        <f t="shared" ref="BJ28" si="233">BJ27+BI28</f>
        <v>-40184.173711505799</v>
      </c>
      <c r="BK28" s="11">
        <f t="shared" ref="BK28" si="234">BK27+BJ28</f>
        <v>-31755.371442288</v>
      </c>
      <c r="BL28" s="11">
        <f t="shared" ref="BL28" si="235">BL27+BK28</f>
        <v>-22411.817202114318</v>
      </c>
      <c r="BM28" s="11">
        <f t="shared" ref="BM28" si="236">BM27+BL28</f>
        <v>-12582.10269805373</v>
      </c>
      <c r="BN28" s="11">
        <f t="shared" ref="BN28" si="237">BN27+BM28</f>
        <v>-2300.8987049825646</v>
      </c>
      <c r="BO28" s="11">
        <f t="shared" ref="BO28" si="238">BO27+BN28</f>
        <v>8094.3458948760581</v>
      </c>
      <c r="BP28" s="11">
        <f t="shared" ref="BP28" si="239">BP27+BO28</f>
        <v>18602.510618307868</v>
      </c>
      <c r="BQ28" s="11">
        <f t="shared" ref="BQ28" si="240">BQ27+BP28</f>
        <v>28412.201233016869</v>
      </c>
      <c r="BR28" s="11">
        <f t="shared" ref="BR28" si="241">BR27+BQ28</f>
        <v>37641.295734013453</v>
      </c>
      <c r="BS28" s="11">
        <f t="shared" ref="BS28" si="242">BS27+BR28</f>
        <v>46320.455744288862</v>
      </c>
      <c r="BT28" s="11">
        <f t="shared" ref="BT28" si="243">BT27+BS28</f>
        <v>54478.252574801016</v>
      </c>
      <c r="BU28" s="11">
        <f t="shared" ref="BU28" si="244">BU27+BT28</f>
        <v>66125.662806019987</v>
      </c>
      <c r="BV28" s="11">
        <f t="shared" ref="BV28" si="245">BV27+BU28</f>
        <v>73966.252865196555</v>
      </c>
      <c r="BW28" s="11">
        <f t="shared" ref="BW28" si="246">BW27+BV28</f>
        <v>82281.010069190132</v>
      </c>
      <c r="BX28" s="11">
        <f t="shared" ref="BX28" si="247">BX27+BW28</f>
        <v>91729.98571903081</v>
      </c>
      <c r="BY28" s="11">
        <f t="shared" ref="BY28" si="248">BY27+BX28</f>
        <v>101590.45371731569</v>
      </c>
      <c r="BZ28" s="11">
        <f t="shared" ref="BZ28" si="249">BZ27+BY28</f>
        <v>111832.2036722934</v>
      </c>
      <c r="CA28" s="11">
        <f t="shared" ref="CA28" si="250">CA27+BZ28</f>
        <v>122172.52160580267</v>
      </c>
      <c r="CB28" s="11">
        <f t="shared" ref="CB28" si="251">CB27+CA28</f>
        <v>132610.50329181243</v>
      </c>
      <c r="CC28" s="11">
        <f t="shared" ref="CC28" si="252">CC27+CB28</f>
        <v>142381.47423968583</v>
      </c>
      <c r="CD28" s="11">
        <f t="shared" ref="CD28" si="253">CD27+CC28</f>
        <v>151596.04864980924</v>
      </c>
      <c r="CE28" s="11">
        <f t="shared" ref="CE28" si="254">CE27+CD28</f>
        <v>160534.78046436966</v>
      </c>
      <c r="CF28" s="11">
        <f t="shared" ref="CF28" si="255">CF27+CE28</f>
        <v>168721.79355635802</v>
      </c>
      <c r="CG28" s="11">
        <f t="shared" ref="CG28" si="256">CG27+CF28</f>
        <v>180196.9144655944</v>
      </c>
      <c r="CH28" s="11">
        <f t="shared" ref="CH28" si="257">CH27+CG28</f>
        <v>187587.5538704175</v>
      </c>
      <c r="CI28" s="11">
        <f t="shared" ref="CI28" si="258">CI27+CH28</f>
        <v>195344.52738739509</v>
      </c>
      <c r="CJ28" s="11">
        <f t="shared" ref="CJ28" si="259">CJ27+CI28</f>
        <v>204433.39113827812</v>
      </c>
      <c r="CK28" s="11">
        <f t="shared" ref="CK28" si="260">CK27+CJ28</f>
        <v>213899.34250562364</v>
      </c>
      <c r="CL28" s="11">
        <f t="shared" ref="CL28" si="261">CL27+CK28</f>
        <v>223711.49366438418</v>
      </c>
      <c r="CM28" s="11">
        <f t="shared" ref="CM28" si="262">CM27+CL28</f>
        <v>233611.25951823028</v>
      </c>
      <c r="CN28" s="11">
        <f t="shared" ref="CN28" si="263">CN27+CM28</f>
        <v>243597.9297806792</v>
      </c>
      <c r="CO28" s="11">
        <f t="shared" ref="CO28" si="264">CO27+CN28</f>
        <v>252967.4787682585</v>
      </c>
      <c r="CP28" s="11">
        <f t="shared" ref="CP28" si="265">CP27+CO28</f>
        <v>262071.66587682351</v>
      </c>
      <c r="CQ28" s="11">
        <f t="shared" ref="CQ28" si="266">CQ27+CP28</f>
        <v>270675.50963954092</v>
      </c>
      <c r="CR28" s="11">
        <f t="shared" ref="CR28" si="267">CR27+CQ28</f>
        <v>278583.79751958553</v>
      </c>
      <c r="CS28" s="11">
        <f t="shared" ref="CS28" si="268">CS27+CR28</f>
        <v>289505.43790869031</v>
      </c>
      <c r="CT28" s="49"/>
      <c r="CU28" s="49"/>
      <c r="CV28" s="49"/>
      <c r="CW28" s="49"/>
      <c r="CX28" s="49"/>
      <c r="CY28" s="49"/>
      <c r="CZ28" s="49"/>
      <c r="DA28" s="49"/>
      <c r="DB28" s="49"/>
      <c r="DC28" s="49"/>
    </row>
    <row r="29" spans="1:107" x14ac:dyDescent="0.25">
      <c r="B29" s="48" t="s">
        <v>112</v>
      </c>
      <c r="C29" s="150"/>
      <c r="D29" s="150"/>
      <c r="E29" s="55">
        <f>SUMIF($T$2:$XFD$2,E$3,$T29:$XFD29)</f>
        <v>0</v>
      </c>
      <c r="F29" s="55">
        <f>SUMIF($T$2:$XFD$2,F$3,$T29:$XFD29)</f>
        <v>0.58333333333333326</v>
      </c>
      <c r="G29" s="55">
        <f>SUMIF($T$2:$XFD$2,G$3,$T29:$XFD29)</f>
        <v>1</v>
      </c>
      <c r="H29" s="55">
        <f>SUMIF($T$2:$XFD$2,H$3,$T29:$XFD29)</f>
        <v>0.41666666666666663</v>
      </c>
      <c r="I29" s="55">
        <f t="shared" ref="I29:J29" si="269">SUMIF($T$2:$XFD$2,I$3,$T29:$XFD29)</f>
        <v>0</v>
      </c>
      <c r="J29" s="55">
        <f t="shared" si="269"/>
        <v>0</v>
      </c>
      <c r="K29" s="151">
        <f>SUM(C29:J29)</f>
        <v>2</v>
      </c>
      <c r="L29" s="55"/>
      <c r="M29" s="34"/>
      <c r="N29" s="150"/>
      <c r="O29" s="150"/>
      <c r="P29" s="150"/>
      <c r="Q29" s="150"/>
      <c r="R29" s="150"/>
      <c r="S29" s="150"/>
      <c r="T29" s="56">
        <f>IF(T28&lt;0,1/12,0)</f>
        <v>0</v>
      </c>
      <c r="U29" s="56">
        <f t="shared" ref="U29:BZ29" si="270">IF(U28&lt;0,1/12,0)</f>
        <v>0</v>
      </c>
      <c r="V29" s="56">
        <f t="shared" si="270"/>
        <v>0</v>
      </c>
      <c r="W29" s="56">
        <f t="shared" si="270"/>
        <v>0</v>
      </c>
      <c r="X29" s="56">
        <f t="shared" si="270"/>
        <v>0</v>
      </c>
      <c r="Y29" s="56">
        <f t="shared" si="270"/>
        <v>0</v>
      </c>
      <c r="Z29" s="56">
        <f t="shared" si="270"/>
        <v>0</v>
      </c>
      <c r="AA29" s="56">
        <f t="shared" si="270"/>
        <v>0</v>
      </c>
      <c r="AB29" s="56">
        <f t="shared" si="270"/>
        <v>0</v>
      </c>
      <c r="AC29" s="56">
        <f t="shared" si="270"/>
        <v>0</v>
      </c>
      <c r="AD29" s="56">
        <f t="shared" si="270"/>
        <v>0</v>
      </c>
      <c r="AE29" s="56">
        <f t="shared" si="270"/>
        <v>0</v>
      </c>
      <c r="AF29" s="56">
        <f t="shared" si="270"/>
        <v>0</v>
      </c>
      <c r="AG29" s="56">
        <f t="shared" si="270"/>
        <v>0</v>
      </c>
      <c r="AH29" s="56">
        <f t="shared" si="270"/>
        <v>0</v>
      </c>
      <c r="AI29" s="56">
        <f t="shared" si="270"/>
        <v>0</v>
      </c>
      <c r="AJ29" s="56">
        <f t="shared" si="270"/>
        <v>0</v>
      </c>
      <c r="AK29" s="56">
        <f t="shared" si="270"/>
        <v>0</v>
      </c>
      <c r="AL29" s="56">
        <f t="shared" si="270"/>
        <v>0</v>
      </c>
      <c r="AM29" s="56">
        <f t="shared" si="270"/>
        <v>0</v>
      </c>
      <c r="AN29" s="56">
        <f t="shared" si="270"/>
        <v>0</v>
      </c>
      <c r="AO29" s="56">
        <f t="shared" si="270"/>
        <v>0</v>
      </c>
      <c r="AP29" s="56">
        <f t="shared" si="270"/>
        <v>0</v>
      </c>
      <c r="AQ29" s="56">
        <f t="shared" si="270"/>
        <v>8.3333333333333329E-2</v>
      </c>
      <c r="AR29" s="56">
        <f t="shared" si="270"/>
        <v>8.3333333333333329E-2</v>
      </c>
      <c r="AS29" s="56">
        <f t="shared" si="270"/>
        <v>8.3333333333333329E-2</v>
      </c>
      <c r="AT29" s="56">
        <f t="shared" si="270"/>
        <v>8.3333333333333329E-2</v>
      </c>
      <c r="AU29" s="56">
        <f t="shared" si="270"/>
        <v>8.3333333333333329E-2</v>
      </c>
      <c r="AV29" s="56">
        <f t="shared" si="270"/>
        <v>8.3333333333333329E-2</v>
      </c>
      <c r="AW29" s="56">
        <f t="shared" si="270"/>
        <v>8.3333333333333329E-2</v>
      </c>
      <c r="AX29" s="56">
        <f t="shared" si="270"/>
        <v>8.3333333333333329E-2</v>
      </c>
      <c r="AY29" s="56">
        <f t="shared" si="270"/>
        <v>8.3333333333333329E-2</v>
      </c>
      <c r="AZ29" s="56">
        <f t="shared" si="270"/>
        <v>8.3333333333333329E-2</v>
      </c>
      <c r="BA29" s="56">
        <f t="shared" si="270"/>
        <v>8.3333333333333329E-2</v>
      </c>
      <c r="BB29" s="56">
        <f t="shared" si="270"/>
        <v>8.3333333333333329E-2</v>
      </c>
      <c r="BC29" s="56">
        <f t="shared" si="270"/>
        <v>8.3333333333333329E-2</v>
      </c>
      <c r="BD29" s="56">
        <f t="shared" si="270"/>
        <v>8.3333333333333329E-2</v>
      </c>
      <c r="BE29" s="56">
        <f t="shared" si="270"/>
        <v>8.3333333333333329E-2</v>
      </c>
      <c r="BF29" s="56">
        <f t="shared" si="270"/>
        <v>8.3333333333333329E-2</v>
      </c>
      <c r="BG29" s="56">
        <f t="shared" si="270"/>
        <v>8.3333333333333329E-2</v>
      </c>
      <c r="BH29" s="56">
        <f t="shared" si="270"/>
        <v>8.3333333333333329E-2</v>
      </c>
      <c r="BI29" s="56">
        <f t="shared" si="270"/>
        <v>8.3333333333333329E-2</v>
      </c>
      <c r="BJ29" s="56">
        <f t="shared" si="270"/>
        <v>8.3333333333333329E-2</v>
      </c>
      <c r="BK29" s="56">
        <f t="shared" si="270"/>
        <v>8.3333333333333329E-2</v>
      </c>
      <c r="BL29" s="56">
        <f t="shared" si="270"/>
        <v>8.3333333333333329E-2</v>
      </c>
      <c r="BM29" s="56">
        <f t="shared" si="270"/>
        <v>8.3333333333333329E-2</v>
      </c>
      <c r="BN29" s="56">
        <f t="shared" si="270"/>
        <v>8.3333333333333329E-2</v>
      </c>
      <c r="BO29" s="56">
        <f t="shared" si="270"/>
        <v>0</v>
      </c>
      <c r="BP29" s="56">
        <f t="shared" si="270"/>
        <v>0</v>
      </c>
      <c r="BQ29" s="56">
        <f t="shared" si="270"/>
        <v>0</v>
      </c>
      <c r="BR29" s="56">
        <f t="shared" si="270"/>
        <v>0</v>
      </c>
      <c r="BS29" s="56">
        <f t="shared" si="270"/>
        <v>0</v>
      </c>
      <c r="BT29" s="56">
        <f t="shared" si="270"/>
        <v>0</v>
      </c>
      <c r="BU29" s="56">
        <f t="shared" si="270"/>
        <v>0</v>
      </c>
      <c r="BV29" s="56">
        <f t="shared" si="270"/>
        <v>0</v>
      </c>
      <c r="BW29" s="56">
        <f t="shared" si="270"/>
        <v>0</v>
      </c>
      <c r="BX29" s="56">
        <f t="shared" si="270"/>
        <v>0</v>
      </c>
      <c r="BY29" s="56">
        <f t="shared" si="270"/>
        <v>0</v>
      </c>
      <c r="BZ29" s="56">
        <f t="shared" si="270"/>
        <v>0</v>
      </c>
      <c r="CA29" s="56">
        <f t="shared" ref="CA29:CD29" si="271">IF(CA28&lt;0,1/12,0)</f>
        <v>0</v>
      </c>
      <c r="CB29" s="56">
        <f t="shared" si="271"/>
        <v>0</v>
      </c>
      <c r="CC29" s="56">
        <f t="shared" si="271"/>
        <v>0</v>
      </c>
      <c r="CD29" s="56">
        <f t="shared" si="271"/>
        <v>0</v>
      </c>
      <c r="CE29" s="56">
        <f t="shared" ref="CE29:CF29" si="272">IF(CE28&lt;0,1/12,0)</f>
        <v>0</v>
      </c>
      <c r="CF29" s="56">
        <f t="shared" si="272"/>
        <v>0</v>
      </c>
      <c r="CG29" s="56">
        <f t="shared" ref="CG29:CS29" si="273">IF(CG28&lt;0,1/12,0)</f>
        <v>0</v>
      </c>
      <c r="CH29" s="56">
        <f t="shared" si="273"/>
        <v>0</v>
      </c>
      <c r="CI29" s="56">
        <f t="shared" si="273"/>
        <v>0</v>
      </c>
      <c r="CJ29" s="56">
        <f t="shared" si="273"/>
        <v>0</v>
      </c>
      <c r="CK29" s="56">
        <f t="shared" si="273"/>
        <v>0</v>
      </c>
      <c r="CL29" s="56">
        <f t="shared" si="273"/>
        <v>0</v>
      </c>
      <c r="CM29" s="56">
        <f t="shared" si="273"/>
        <v>0</v>
      </c>
      <c r="CN29" s="56">
        <f t="shared" si="273"/>
        <v>0</v>
      </c>
      <c r="CO29" s="56">
        <f t="shared" si="273"/>
        <v>0</v>
      </c>
      <c r="CP29" s="56">
        <f t="shared" si="273"/>
        <v>0</v>
      </c>
      <c r="CQ29" s="56">
        <f t="shared" si="273"/>
        <v>0</v>
      </c>
      <c r="CR29" s="56">
        <f t="shared" si="273"/>
        <v>0</v>
      </c>
      <c r="CS29" s="56">
        <f t="shared" si="273"/>
        <v>0</v>
      </c>
      <c r="CT29" s="56"/>
      <c r="CU29" s="56"/>
      <c r="CV29" s="56"/>
      <c r="CW29" s="56"/>
      <c r="CX29" s="56"/>
      <c r="CY29" s="56"/>
      <c r="CZ29" s="56"/>
      <c r="DA29" s="56"/>
      <c r="DB29" s="56"/>
      <c r="DC29" s="56"/>
    </row>
    <row r="30" spans="1:107" ht="15.75" thickBot="1" x14ac:dyDescent="0.3">
      <c r="B30" s="57"/>
      <c r="C30" s="87"/>
      <c r="D30" s="58"/>
      <c r="E30" s="58"/>
      <c r="F30" s="58"/>
      <c r="G30" s="58"/>
      <c r="H30" s="58"/>
      <c r="I30" s="58"/>
      <c r="J30" s="58"/>
      <c r="K30" s="59"/>
      <c r="L30" s="60"/>
      <c r="M30" s="34"/>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60"/>
      <c r="CU30" s="60"/>
      <c r="CV30" s="60"/>
      <c r="CW30" s="60"/>
      <c r="CX30" s="60"/>
      <c r="CY30" s="60"/>
      <c r="CZ30" s="60"/>
      <c r="DA30" s="60"/>
      <c r="DB30" s="60"/>
      <c r="DC30" s="60"/>
    </row>
    <row r="31" spans="1:107" x14ac:dyDescent="0.25">
      <c r="L31" s="34"/>
      <c r="O31" s="30"/>
    </row>
    <row r="32" spans="1:107" x14ac:dyDescent="0.25">
      <c r="D32" s="61"/>
      <c r="K32" s="34"/>
      <c r="O32" s="30"/>
    </row>
    <row r="33" spans="1:20" ht="18.75" x14ac:dyDescent="0.3">
      <c r="B33" s="29" t="s">
        <v>113</v>
      </c>
      <c r="D33" s="61"/>
    </row>
    <row r="34" spans="1:20" ht="18.75" x14ac:dyDescent="0.3">
      <c r="B34" s="29"/>
      <c r="D34" s="61"/>
    </row>
    <row r="35" spans="1:20" outlineLevel="1" x14ac:dyDescent="0.25">
      <c r="A35" s="30"/>
      <c r="B35" s="185" t="s">
        <v>294</v>
      </c>
      <c r="C35" s="185"/>
      <c r="D35" s="186">
        <f>SUM(M29:R29)</f>
        <v>0</v>
      </c>
      <c r="F35" s="34"/>
      <c r="O35" s="30"/>
      <c r="R35" s="34"/>
    </row>
    <row r="36" spans="1:20" outlineLevel="1" x14ac:dyDescent="0.25">
      <c r="A36" s="30"/>
      <c r="B36" s="143" t="s">
        <v>114</v>
      </c>
      <c r="C36" s="143"/>
      <c r="D36" s="167">
        <f>(J22*(1+D40))/(D38-D40)</f>
        <v>1918721.1806100141</v>
      </c>
      <c r="F36" s="34"/>
      <c r="O36" s="30"/>
      <c r="R36" s="34"/>
    </row>
    <row r="37" spans="1:20" outlineLevel="1" x14ac:dyDescent="0.25">
      <c r="A37" s="30"/>
      <c r="E37" s="34"/>
      <c r="O37" s="30"/>
    </row>
    <row r="38" spans="1:20" outlineLevel="1" x14ac:dyDescent="0.25">
      <c r="A38" s="30"/>
      <c r="B38" s="143" t="s">
        <v>145</v>
      </c>
      <c r="C38" s="143"/>
      <c r="D38" s="144">
        <f>WACC!D21</f>
        <v>0.23618285205727638</v>
      </c>
      <c r="E38" s="34"/>
      <c r="K38" s="179"/>
      <c r="L38" s="179"/>
      <c r="M38" s="179"/>
      <c r="N38" s="179"/>
      <c r="O38" s="179"/>
      <c r="P38" s="74"/>
      <c r="Q38" s="34"/>
    </row>
    <row r="39" spans="1:20" outlineLevel="1" x14ac:dyDescent="0.25">
      <c r="A39" s="30"/>
      <c r="E39" s="34"/>
      <c r="O39" s="30"/>
      <c r="Q39" s="34"/>
    </row>
    <row r="40" spans="1:20" outlineLevel="1" x14ac:dyDescent="0.25">
      <c r="A40" s="30"/>
      <c r="B40" s="143" t="s">
        <v>310</v>
      </c>
      <c r="C40" s="143"/>
      <c r="D40" s="144">
        <v>2.5000000000000001E-2</v>
      </c>
      <c r="F40" s="384" t="s">
        <v>453</v>
      </c>
      <c r="K40" s="179"/>
      <c r="L40" s="179"/>
      <c r="M40" s="179"/>
      <c r="N40" s="179"/>
      <c r="O40" s="179"/>
      <c r="P40" s="74"/>
    </row>
    <row r="41" spans="1:20" x14ac:dyDescent="0.25">
      <c r="A41" s="30"/>
      <c r="E41" s="34"/>
      <c r="N41" s="34"/>
      <c r="O41" s="30"/>
    </row>
    <row r="42" spans="1:20" ht="29.1" customHeight="1" x14ac:dyDescent="0.25">
      <c r="B42" s="36" t="s">
        <v>1</v>
      </c>
      <c r="C42" s="36"/>
      <c r="D42" s="36"/>
      <c r="E42" s="36"/>
      <c r="F42" s="36">
        <v>2026</v>
      </c>
      <c r="G42" s="36">
        <f t="shared" ref="G42:H42" si="274">F42+1</f>
        <v>2027</v>
      </c>
      <c r="H42" s="36">
        <f t="shared" si="274"/>
        <v>2028</v>
      </c>
      <c r="I42" s="36">
        <f t="shared" ref="I42" si="275">H42+1</f>
        <v>2029</v>
      </c>
      <c r="J42" s="36">
        <f t="shared" ref="J42" si="276">I42+1</f>
        <v>2030</v>
      </c>
      <c r="M42" s="464"/>
      <c r="N42" s="464"/>
      <c r="O42" s="464"/>
      <c r="P42" s="37"/>
      <c r="Q42" s="37"/>
      <c r="R42" s="37"/>
      <c r="S42" s="37"/>
      <c r="T42" s="37"/>
    </row>
    <row r="43" spans="1:20" x14ac:dyDescent="0.25">
      <c r="B43" s="162"/>
      <c r="C43" s="162"/>
      <c r="D43" s="162"/>
      <c r="E43" s="163"/>
      <c r="F43" s="163"/>
      <c r="G43" s="163"/>
      <c r="H43" s="163"/>
      <c r="I43" s="163"/>
      <c r="J43" s="163"/>
      <c r="M43" s="162"/>
      <c r="N43" s="162"/>
      <c r="O43" s="162"/>
      <c r="P43" s="163"/>
      <c r="Q43" s="163"/>
      <c r="R43" s="163"/>
      <c r="S43" s="163"/>
      <c r="T43" s="163"/>
    </row>
    <row r="44" spans="1:20" x14ac:dyDescent="0.25">
      <c r="B44" s="162" t="s">
        <v>145</v>
      </c>
      <c r="C44" s="162"/>
      <c r="D44" s="162"/>
      <c r="E44" s="164"/>
      <c r="F44" s="164">
        <f>(1+$D$38)</f>
        <v>1.2361828520572764</v>
      </c>
      <c r="G44" s="164">
        <f>F44*(1+$D$38)</f>
        <v>1.5281480437204622</v>
      </c>
      <c r="H44" s="164">
        <f t="shared" ref="H44" si="277">G44*(1+$D$38)</f>
        <v>1.8890704070521085</v>
      </c>
      <c r="I44" s="164">
        <f t="shared" ref="I44" si="278">H44*(1+$D$38)</f>
        <v>2.3352364435266755</v>
      </c>
      <c r="J44" s="164">
        <f t="shared" ref="J44" si="279">I44*(1+$D$38)</f>
        <v>2.8867792469868965</v>
      </c>
      <c r="M44" s="162"/>
      <c r="N44" s="162"/>
      <c r="O44" s="162"/>
      <c r="P44" s="164"/>
      <c r="Q44" s="164"/>
      <c r="R44" s="164"/>
      <c r="S44" s="164"/>
      <c r="T44" s="164"/>
    </row>
    <row r="45" spans="1:20" x14ac:dyDescent="0.25">
      <c r="B45"/>
      <c r="C45"/>
      <c r="D45"/>
      <c r="E45" s="165"/>
      <c r="F45" s="165"/>
      <c r="G45" s="165"/>
      <c r="H45" s="165"/>
      <c r="I45" s="165"/>
      <c r="J45" s="165"/>
      <c r="M45"/>
      <c r="N45"/>
      <c r="O45"/>
      <c r="P45" s="165"/>
      <c r="Q45" s="165"/>
      <c r="R45" s="165"/>
      <c r="S45" s="165"/>
      <c r="T45" s="165"/>
    </row>
    <row r="46" spans="1:20" x14ac:dyDescent="0.25">
      <c r="B46" s="162" t="s">
        <v>105</v>
      </c>
      <c r="C46" s="162"/>
      <c r="D46" s="162"/>
      <c r="E46" s="166"/>
      <c r="F46" s="166">
        <f>F22</f>
        <v>-312787.10586616502</v>
      </c>
      <c r="G46" s="166">
        <f>G22</f>
        <v>218203.97220395808</v>
      </c>
      <c r="H46" s="166">
        <f>H22</f>
        <v>270135.9315714289</v>
      </c>
      <c r="I46" s="166">
        <f t="shared" ref="I46:J46" si="280">I22</f>
        <v>333609.68052581779</v>
      </c>
      <c r="J46" s="166">
        <f t="shared" si="280"/>
        <v>395318.05973066081</v>
      </c>
      <c r="M46" s="162"/>
      <c r="N46" s="162"/>
      <c r="O46" s="162"/>
      <c r="P46" s="166"/>
      <c r="Q46" s="166"/>
      <c r="R46" s="166"/>
      <c r="S46" s="166"/>
      <c r="T46" s="166"/>
    </row>
    <row r="47" spans="1:20" x14ac:dyDescent="0.25">
      <c r="B47" s="162" t="s">
        <v>114</v>
      </c>
      <c r="C47" s="162"/>
      <c r="D47" s="162"/>
      <c r="E47" s="166"/>
      <c r="F47" s="166"/>
      <c r="G47" s="166"/>
      <c r="H47" s="166"/>
      <c r="I47" s="166"/>
      <c r="J47" s="166">
        <f>D36</f>
        <v>1918721.1806100141</v>
      </c>
      <c r="M47" s="162"/>
      <c r="N47" s="162"/>
      <c r="O47" s="162"/>
      <c r="P47" s="166"/>
      <c r="Q47" s="166"/>
      <c r="R47" s="178"/>
      <c r="S47" s="166"/>
      <c r="T47" s="166"/>
    </row>
    <row r="48" spans="1:20" x14ac:dyDescent="0.25">
      <c r="B48" s="162" t="s">
        <v>311</v>
      </c>
      <c r="C48" s="162"/>
      <c r="D48" s="162"/>
      <c r="E48" s="166"/>
      <c r="F48" s="166">
        <f>SUM(F46:F47)</f>
        <v>-312787.10586616502</v>
      </c>
      <c r="G48" s="166">
        <f t="shared" ref="G48:H48" si="281">SUM(G46:G47)</f>
        <v>218203.97220395808</v>
      </c>
      <c r="H48" s="166">
        <f t="shared" si="281"/>
        <v>270135.9315714289</v>
      </c>
      <c r="I48" s="166">
        <f t="shared" ref="I48:J48" si="282">SUM(I46:I47)</f>
        <v>333609.68052581779</v>
      </c>
      <c r="J48" s="166">
        <f t="shared" si="282"/>
        <v>2314039.2403406748</v>
      </c>
      <c r="M48" s="162"/>
      <c r="N48" s="162"/>
      <c r="O48" s="162"/>
      <c r="P48" s="166"/>
      <c r="Q48" s="166"/>
      <c r="R48" s="166"/>
      <c r="S48" s="166"/>
      <c r="T48" s="166"/>
    </row>
    <row r="49" spans="2:21" x14ac:dyDescent="0.25">
      <c r="B49" s="162"/>
      <c r="C49" s="162"/>
      <c r="D49" s="162"/>
      <c r="E49" s="166"/>
      <c r="F49" s="166"/>
      <c r="G49" s="166"/>
      <c r="H49" s="166"/>
      <c r="I49" s="166"/>
      <c r="J49" s="166"/>
      <c r="M49" s="162"/>
      <c r="N49" s="162"/>
      <c r="O49" s="162"/>
      <c r="P49" s="166"/>
      <c r="Q49" s="166"/>
      <c r="R49" s="166"/>
      <c r="S49" s="166"/>
      <c r="T49" s="166"/>
    </row>
    <row r="50" spans="2:21" x14ac:dyDescent="0.25">
      <c r="B50" s="162" t="s">
        <v>312</v>
      </c>
      <c r="C50" s="162"/>
      <c r="D50" s="162"/>
      <c r="E50" s="166"/>
      <c r="F50" s="166">
        <f>F48/F44</f>
        <v>-253026.5691241546</v>
      </c>
      <c r="G50" s="166">
        <f>G48/G44</f>
        <v>142789.81221787515</v>
      </c>
      <c r="H50" s="166">
        <f t="shared" ref="H50" si="283">H48/H44</f>
        <v>142999.39830880926</v>
      </c>
      <c r="I50" s="166">
        <f t="shared" ref="I50:J50" si="284">I48/I44</f>
        <v>142859.05885487134</v>
      </c>
      <c r="J50" s="166">
        <f t="shared" si="284"/>
        <v>801598.95937868312</v>
      </c>
      <c r="M50" s="162"/>
      <c r="N50" s="162"/>
      <c r="O50" s="162"/>
      <c r="P50" s="166"/>
      <c r="Q50" s="166"/>
      <c r="R50" s="166"/>
      <c r="S50" s="166"/>
      <c r="T50" s="166"/>
    </row>
    <row r="51" spans="2:21" x14ac:dyDescent="0.25">
      <c r="B51" s="162"/>
      <c r="C51" s="162"/>
      <c r="D51" s="162"/>
      <c r="E51" s="162"/>
      <c r="F51" s="162"/>
      <c r="G51" s="162"/>
      <c r="H51" s="162"/>
      <c r="I51" s="162"/>
      <c r="J51" s="162"/>
      <c r="N51" s="162"/>
      <c r="O51" s="162"/>
      <c r="P51" s="162"/>
      <c r="Q51" s="162"/>
      <c r="R51" s="162"/>
      <c r="S51" s="162"/>
      <c r="T51" s="162"/>
    </row>
    <row r="52" spans="2:21" x14ac:dyDescent="0.25">
      <c r="B52" s="162" t="s">
        <v>421</v>
      </c>
      <c r="C52" s="162"/>
      <c r="D52" s="162"/>
      <c r="E52" s="162"/>
      <c r="F52" s="177">
        <f>Баланс!T24+Баланс!T27</f>
        <v>77196.899907272746</v>
      </c>
      <c r="G52" s="370" t="s">
        <v>471</v>
      </c>
      <c r="H52" s="162"/>
      <c r="I52" s="162"/>
      <c r="J52" s="162"/>
      <c r="N52" s="162"/>
      <c r="O52" s="162"/>
      <c r="P52" s="162"/>
      <c r="Q52" s="162"/>
      <c r="R52" s="162"/>
      <c r="S52" s="162"/>
      <c r="T52" s="162"/>
    </row>
    <row r="53" spans="2:21" x14ac:dyDescent="0.25">
      <c r="B53" s="162"/>
      <c r="C53" s="162"/>
      <c r="D53" s="162"/>
      <c r="E53" s="162"/>
      <c r="F53" s="162"/>
      <c r="G53" s="162"/>
      <c r="H53" s="162"/>
      <c r="I53" s="162"/>
      <c r="J53" s="162"/>
      <c r="N53" s="162"/>
      <c r="O53" s="162"/>
      <c r="P53" s="162"/>
      <c r="Q53" s="162"/>
      <c r="R53" s="162"/>
      <c r="S53" s="162"/>
      <c r="T53" s="162"/>
    </row>
    <row r="54" spans="2:21" x14ac:dyDescent="0.25">
      <c r="B54" s="143" t="s">
        <v>313</v>
      </c>
      <c r="C54" s="143"/>
      <c r="D54" s="143"/>
      <c r="E54" s="143"/>
      <c r="F54" s="167">
        <f>SUM(E50:J50)-F52</f>
        <v>900023.75972881145</v>
      </c>
      <c r="G54" s="176"/>
      <c r="H54" s="162"/>
      <c r="I54" s="162"/>
      <c r="J54" s="162"/>
      <c r="N54" s="179"/>
      <c r="O54" s="179"/>
      <c r="P54" s="179"/>
      <c r="Q54" s="176"/>
      <c r="R54" s="176"/>
      <c r="S54" s="162"/>
      <c r="T54" s="162"/>
    </row>
    <row r="55" spans="2:21" x14ac:dyDescent="0.25">
      <c r="B55" s="162"/>
      <c r="C55" s="162"/>
      <c r="D55" s="162"/>
      <c r="E55" s="162"/>
      <c r="F55" s="162"/>
      <c r="G55" s="162"/>
      <c r="H55" s="162"/>
      <c r="I55" s="162"/>
      <c r="J55" s="162"/>
      <c r="K55" s="162"/>
      <c r="L55" s="162"/>
      <c r="N55" s="162"/>
      <c r="O55" s="162"/>
      <c r="P55" s="162"/>
      <c r="Q55" s="162"/>
      <c r="R55" s="162"/>
      <c r="S55" s="162"/>
      <c r="T55" s="162"/>
      <c r="U55" s="162"/>
    </row>
    <row r="56" spans="2:21" x14ac:dyDescent="0.25">
      <c r="B56" s="162" t="s">
        <v>314</v>
      </c>
      <c r="C56" s="162"/>
      <c r="D56" s="162"/>
      <c r="E56" s="162"/>
      <c r="F56" s="168">
        <f>Свод_БДДС!CK27+Свод_БДДС!CJ27</f>
        <v>450000</v>
      </c>
      <c r="G56" s="177"/>
      <c r="H56" s="162"/>
      <c r="I56" s="162"/>
      <c r="J56" s="162"/>
      <c r="K56" s="162"/>
      <c r="L56" s="162"/>
      <c r="N56" s="162"/>
      <c r="O56" s="162"/>
      <c r="P56" s="162"/>
      <c r="Q56" s="168"/>
      <c r="R56" s="177"/>
      <c r="S56" s="162"/>
      <c r="T56" s="162"/>
      <c r="U56" s="162"/>
    </row>
    <row r="57" spans="2:21" x14ac:dyDescent="0.25">
      <c r="O57" s="30"/>
    </row>
    <row r="58" spans="2:21" x14ac:dyDescent="0.25">
      <c r="B58" s="143" t="s">
        <v>315</v>
      </c>
      <c r="C58" s="143"/>
      <c r="D58" s="143"/>
      <c r="E58" s="143"/>
      <c r="F58" s="167">
        <f>F54+F56</f>
        <v>1350023.7597288114</v>
      </c>
      <c r="G58" s="176"/>
      <c r="N58" s="179"/>
      <c r="O58" s="179"/>
      <c r="P58" s="179"/>
      <c r="Q58" s="176"/>
      <c r="R58" s="176"/>
    </row>
    <row r="59" spans="2:21" x14ac:dyDescent="0.25">
      <c r="O59" s="30"/>
      <c r="Q59" s="34"/>
    </row>
    <row r="60" spans="2:21" x14ac:dyDescent="0.25">
      <c r="O60" s="30"/>
      <c r="Q60" s="34"/>
    </row>
    <row r="61" spans="2:21" x14ac:dyDescent="0.25">
      <c r="O61" s="30"/>
      <c r="Q61" s="34"/>
    </row>
    <row r="62" spans="2:21" x14ac:dyDescent="0.25">
      <c r="O62" s="30"/>
      <c r="Q62" s="34"/>
    </row>
  </sheetData>
  <mergeCells count="2">
    <mergeCell ref="M21:M22"/>
    <mergeCell ref="M42:O42"/>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5">
    <tabColor theme="9" tint="0.39997558519241921"/>
  </sheetPr>
  <dimension ref="B2:I36"/>
  <sheetViews>
    <sheetView showGridLines="0" tabSelected="1" zoomScaleNormal="100" workbookViewId="0">
      <selection activeCell="E17" sqref="E17"/>
    </sheetView>
  </sheetViews>
  <sheetFormatPr defaultColWidth="8.7109375" defaultRowHeight="15" x14ac:dyDescent="0.25"/>
  <cols>
    <col min="1" max="1" width="8.7109375" style="30"/>
    <col min="2" max="2" width="52.28515625" style="30" customWidth="1"/>
    <col min="3" max="3" width="12.42578125" style="30" customWidth="1"/>
    <col min="4" max="5" width="12.28515625" style="30" bestFit="1" customWidth="1"/>
    <col min="6" max="6" width="12.28515625" style="30" customWidth="1"/>
    <col min="7" max="8" width="13.7109375" style="30" customWidth="1"/>
    <col min="9" max="9" width="9.7109375" style="30" bestFit="1" customWidth="1"/>
    <col min="10" max="10" width="11.7109375" style="30" customWidth="1"/>
    <col min="11" max="11" width="12.42578125" style="30" customWidth="1"/>
    <col min="12" max="16384" width="8.7109375" style="30"/>
  </cols>
  <sheetData>
    <row r="2" spans="2:9" x14ac:dyDescent="0.25">
      <c r="B2" s="110" t="s">
        <v>1</v>
      </c>
      <c r="C2" s="110">
        <v>2026</v>
      </c>
      <c r="D2" s="110">
        <f t="shared" ref="D2:E2" si="0">C2+1</f>
        <v>2027</v>
      </c>
      <c r="E2" s="110">
        <f t="shared" si="0"/>
        <v>2028</v>
      </c>
      <c r="F2" s="110">
        <f t="shared" ref="F2" si="1">E2+1</f>
        <v>2029</v>
      </c>
      <c r="G2" s="110">
        <f t="shared" ref="G2" si="2">F2+1</f>
        <v>2030</v>
      </c>
    </row>
    <row r="3" spans="2:9" x14ac:dyDescent="0.25">
      <c r="B3" s="111" t="s">
        <v>166</v>
      </c>
      <c r="C3" s="418">
        <f>-'Оценка бизнеса'!F56</f>
        <v>-450000</v>
      </c>
      <c r="D3" s="418">
        <v>0</v>
      </c>
      <c r="E3" s="418">
        <v>0</v>
      </c>
      <c r="F3" s="418">
        <v>0</v>
      </c>
      <c r="G3" s="418">
        <v>0</v>
      </c>
    </row>
    <row r="4" spans="2:9" x14ac:dyDescent="0.25">
      <c r="B4" s="111" t="s">
        <v>167</v>
      </c>
      <c r="C4" s="458">
        <f>-C3/C27</f>
        <v>0.33332746683687597</v>
      </c>
      <c r="D4" s="458">
        <f>-D3/D27+C4</f>
        <v>0.33332746683687597</v>
      </c>
      <c r="E4" s="458">
        <f>-E3/E27+D4</f>
        <v>0.33332746683687597</v>
      </c>
      <c r="F4" s="458">
        <f>-F3/F27+E4</f>
        <v>0.33332746683687597</v>
      </c>
      <c r="G4" s="458">
        <f>-G3/G27+F4</f>
        <v>0.33332746683687597</v>
      </c>
    </row>
    <row r="5" spans="2:9" x14ac:dyDescent="0.25">
      <c r="B5" s="112" t="s">
        <v>168</v>
      </c>
      <c r="C5" s="113">
        <f t="shared" ref="C5:E5" si="3">SUM(C6:C7)</f>
        <v>0</v>
      </c>
      <c r="D5" s="113">
        <f t="shared" si="3"/>
        <v>44851.67792345144</v>
      </c>
      <c r="E5" s="113">
        <f t="shared" si="3"/>
        <v>57534.087708498955</v>
      </c>
      <c r="F5" s="113">
        <f t="shared" ref="F5:G5" si="4">SUM(F6:F7)</f>
        <v>72855.537468412498</v>
      </c>
      <c r="G5" s="113">
        <f t="shared" si="4"/>
        <v>1291099.7098800985</v>
      </c>
    </row>
    <row r="6" spans="2:9" x14ac:dyDescent="0.25">
      <c r="B6" s="111" t="s">
        <v>169</v>
      </c>
      <c r="C6" s="114">
        <v>0</v>
      </c>
      <c r="D6" s="114">
        <v>0</v>
      </c>
      <c r="E6" s="114"/>
      <c r="F6" s="114"/>
      <c r="G6" s="114">
        <f>G27*G4</f>
        <v>1203383.4729273096</v>
      </c>
    </row>
    <row r="7" spans="2:9" x14ac:dyDescent="0.25">
      <c r="B7" s="115" t="s">
        <v>170</v>
      </c>
      <c r="C7" s="114">
        <f>Свод_ОФР!CQ32*'Эффективность для инвесторов'!C4</f>
        <v>0</v>
      </c>
      <c r="D7" s="114">
        <f>Свод_ОФР!CR32*'Эффективность для инвесторов'!D4</f>
        <v>44851.67792345144</v>
      </c>
      <c r="E7" s="114">
        <f>Свод_ОФР!CS32*'Эффективность для инвесторов'!E4</f>
        <v>57534.087708498955</v>
      </c>
      <c r="F7" s="114">
        <f>Свод_ОФР!CT32*'Эффективность для инвесторов'!F4</f>
        <v>72855.537468412498</v>
      </c>
      <c r="G7" s="114">
        <f>Свод_ОФР!CU32*'Эффективность для инвесторов'!G4</f>
        <v>87716.236952788837</v>
      </c>
    </row>
    <row r="8" spans="2:9" x14ac:dyDescent="0.25">
      <c r="B8" s="111" t="s">
        <v>171</v>
      </c>
      <c r="C8" s="418">
        <f t="shared" ref="C8:D8" si="5">C3+C5</f>
        <v>-450000</v>
      </c>
      <c r="D8" s="418">
        <f t="shared" si="5"/>
        <v>44851.67792345144</v>
      </c>
      <c r="E8" s="418">
        <f>E3+E5</f>
        <v>57534.087708498955</v>
      </c>
      <c r="F8" s="418">
        <f t="shared" ref="F8:G8" si="6">F3+F5</f>
        <v>72855.537468412498</v>
      </c>
      <c r="G8" s="418">
        <f t="shared" si="6"/>
        <v>1291099.7098800985</v>
      </c>
    </row>
    <row r="9" spans="2:9" x14ac:dyDescent="0.25">
      <c r="B9" s="116" t="s">
        <v>172</v>
      </c>
      <c r="C9" s="117">
        <f>'Оценка бизнеса'!D38</f>
        <v>0.23618285205727638</v>
      </c>
      <c r="D9" s="117">
        <f t="shared" ref="D9:E9" si="7">C9-0.02</f>
        <v>0.21618285205727639</v>
      </c>
      <c r="E9" s="117">
        <f t="shared" si="7"/>
        <v>0.1961828520572764</v>
      </c>
      <c r="F9" s="117">
        <f t="shared" ref="F9" si="8">E9-0.02</f>
        <v>0.17618285205727641</v>
      </c>
      <c r="G9" s="117">
        <f t="shared" ref="G9" si="9">F9-0.02</f>
        <v>0.15618285205727642</v>
      </c>
    </row>
    <row r="10" spans="2:9" x14ac:dyDescent="0.25">
      <c r="B10" s="116" t="s">
        <v>173</v>
      </c>
      <c r="C10" s="118">
        <f>1/POWER(1+C9,0.5)</f>
        <v>0.89941192731016939</v>
      </c>
      <c r="D10" s="118">
        <f>1/POWER(1+D9,1.5)</f>
        <v>0.74559276742832092</v>
      </c>
      <c r="E10" s="118">
        <f>1/POWER(1+E9,2.5)</f>
        <v>0.63900766750893867</v>
      </c>
      <c r="F10" s="118">
        <f>1/POWER(1+F9,3.5)</f>
        <v>0.5666802125366156</v>
      </c>
      <c r="G10" s="118">
        <f>1/POWER(1+G9,4.5)</f>
        <v>0.52045195317072912</v>
      </c>
    </row>
    <row r="11" spans="2:9" x14ac:dyDescent="0.25">
      <c r="B11" s="111" t="s">
        <v>174</v>
      </c>
      <c r="C11" s="418">
        <f>C8*C10</f>
        <v>-404735.36728957621</v>
      </c>
      <c r="D11" s="418">
        <f>D8*D10</f>
        <v>33441.086666749885</v>
      </c>
      <c r="E11" s="418">
        <f>E8*E10</f>
        <v>36764.723188862612</v>
      </c>
      <c r="F11" s="418">
        <f>F8*F10</f>
        <v>41285.791457069354</v>
      </c>
      <c r="G11" s="418">
        <f>G8*G10</f>
        <v>671955.36574525898</v>
      </c>
      <c r="I11" s="450"/>
    </row>
    <row r="12" spans="2:9" x14ac:dyDescent="0.25">
      <c r="B12" s="112" t="s">
        <v>175</v>
      </c>
      <c r="C12" s="419">
        <f>C8</f>
        <v>-450000</v>
      </c>
      <c r="D12" s="419">
        <f>D8+C12</f>
        <v>-405148.32207654859</v>
      </c>
      <c r="E12" s="419">
        <f>E8+D12</f>
        <v>-347614.23436804966</v>
      </c>
      <c r="F12" s="419">
        <f>F8+E12</f>
        <v>-274758.69689963717</v>
      </c>
      <c r="G12" s="419">
        <f>G8+F12</f>
        <v>1016341.0129804614</v>
      </c>
    </row>
    <row r="13" spans="2:9" x14ac:dyDescent="0.25">
      <c r="B13" s="112" t="s">
        <v>176</v>
      </c>
      <c r="C13" s="419">
        <f>C11</f>
        <v>-404735.36728957621</v>
      </c>
      <c r="D13" s="419">
        <f>C13+D11</f>
        <v>-371294.28062282631</v>
      </c>
      <c r="E13" s="419">
        <f>D13+E11</f>
        <v>-334529.5574339637</v>
      </c>
      <c r="F13" s="419">
        <f>E13+F11</f>
        <v>-293243.76597689436</v>
      </c>
      <c r="G13" s="419">
        <f>F13+G11</f>
        <v>378711.59976836463</v>
      </c>
    </row>
    <row r="14" spans="2:9" x14ac:dyDescent="0.25">
      <c r="B14" s="64"/>
      <c r="C14" s="161"/>
      <c r="D14" s="161"/>
      <c r="E14" s="161"/>
      <c r="F14" s="161"/>
      <c r="G14" s="161"/>
      <c r="H14" s="161"/>
    </row>
    <row r="15" spans="2:9" x14ac:dyDescent="0.25">
      <c r="B15" s="110" t="s">
        <v>1</v>
      </c>
      <c r="C15" s="110" t="s">
        <v>38</v>
      </c>
      <c r="D15" s="119"/>
      <c r="E15" s="119"/>
      <c r="F15" s="119"/>
      <c r="G15" s="119"/>
      <c r="H15" s="119"/>
    </row>
    <row r="16" spans="2:9" x14ac:dyDescent="0.25">
      <c r="B16" s="120" t="s">
        <v>177</v>
      </c>
      <c r="C16" s="121">
        <f>SUMIF(C5:G5,"&gt;0")</f>
        <v>1466341.0129804614</v>
      </c>
      <c r="D16" s="119"/>
      <c r="E16" s="119"/>
      <c r="F16" s="119"/>
      <c r="G16" s="119"/>
      <c r="H16" s="119"/>
    </row>
    <row r="17" spans="2:9" x14ac:dyDescent="0.25">
      <c r="B17" s="120" t="s">
        <v>178</v>
      </c>
      <c r="C17" s="121">
        <f>SUMIF(C8:G8,"&lt;0")</f>
        <v>-450000</v>
      </c>
      <c r="D17" s="119"/>
      <c r="E17" s="119"/>
      <c r="F17" s="119"/>
      <c r="G17" s="119"/>
      <c r="H17" s="119"/>
    </row>
    <row r="18" spans="2:9" x14ac:dyDescent="0.25">
      <c r="B18" s="120" t="s">
        <v>179</v>
      </c>
      <c r="C18" s="121">
        <f>SUM(C16:C17)</f>
        <v>1016341.0129804614</v>
      </c>
      <c r="D18" s="119"/>
      <c r="E18" s="119"/>
      <c r="F18" s="119"/>
      <c r="G18" s="119"/>
      <c r="H18" s="119"/>
    </row>
    <row r="19" spans="2:9" x14ac:dyDescent="0.25">
      <c r="B19" s="120" t="s">
        <v>180</v>
      </c>
      <c r="C19" s="121">
        <f>SUMIF(C11:G11,"&gt;0")</f>
        <v>783446.96705794078</v>
      </c>
      <c r="D19" s="119"/>
      <c r="E19" s="119"/>
      <c r="F19" s="119"/>
      <c r="G19" s="119"/>
      <c r="H19" s="119"/>
    </row>
    <row r="20" spans="2:9" x14ac:dyDescent="0.25">
      <c r="B20" s="120" t="s">
        <v>181</v>
      </c>
      <c r="C20" s="121">
        <f>SUMIF(C11:G11,"&lt;0")</f>
        <v>-404735.36728957621</v>
      </c>
      <c r="D20" s="119"/>
      <c r="E20" s="119"/>
      <c r="F20" s="119"/>
      <c r="G20" s="119"/>
      <c r="H20" s="119"/>
    </row>
    <row r="21" spans="2:9" x14ac:dyDescent="0.25">
      <c r="B21" s="112" t="s">
        <v>182</v>
      </c>
      <c r="C21" s="121">
        <f>NPV(C9,C8:G8)</f>
        <v>174226.92017920478</v>
      </c>
      <c r="D21" s="119"/>
      <c r="E21" s="119"/>
      <c r="F21" s="119"/>
      <c r="G21" s="119"/>
      <c r="H21" s="119"/>
    </row>
    <row r="22" spans="2:9" x14ac:dyDescent="0.25">
      <c r="B22" s="112" t="s">
        <v>183</v>
      </c>
      <c r="C22" s="122">
        <f>IRR(C8:G8)</f>
        <v>0.37693659458819129</v>
      </c>
      <c r="D22" s="119"/>
      <c r="E22" s="119"/>
      <c r="F22" s="119"/>
      <c r="G22" s="119"/>
      <c r="H22" s="119"/>
    </row>
    <row r="23" spans="2:9" x14ac:dyDescent="0.25">
      <c r="B23" s="112" t="s">
        <v>469</v>
      </c>
      <c r="C23" s="122">
        <f>(SUMIF(C8:G8,"&gt;0")/-SUM(C3:G3))-1</f>
        <v>2.2585355844010251</v>
      </c>
      <c r="D23" s="119"/>
      <c r="E23" s="119"/>
      <c r="F23" s="119"/>
      <c r="G23" s="119"/>
      <c r="H23" s="119"/>
    </row>
    <row r="24" spans="2:9" x14ac:dyDescent="0.25">
      <c r="B24" s="112" t="s">
        <v>470</v>
      </c>
      <c r="C24" s="122">
        <f>(SUMIF(C8:G8,"&gt;0")/-SUM(C3:G3))^(1/COUNT(C2:G2))-1</f>
        <v>0.26649795711635327</v>
      </c>
      <c r="D24" s="119"/>
      <c r="E24" s="119"/>
      <c r="F24" s="119"/>
      <c r="G24" s="119"/>
      <c r="H24" s="119"/>
    </row>
    <row r="25" spans="2:9" x14ac:dyDescent="0.25">
      <c r="B25" s="119"/>
      <c r="C25" s="119"/>
      <c r="D25" s="119"/>
      <c r="E25" s="119"/>
      <c r="F25" s="119"/>
      <c r="G25" s="119"/>
      <c r="H25" s="119"/>
      <c r="I25" s="119"/>
    </row>
    <row r="26" spans="2:9" x14ac:dyDescent="0.25">
      <c r="B26" s="110" t="s">
        <v>1</v>
      </c>
      <c r="C26" s="110">
        <f>C2</f>
        <v>2026</v>
      </c>
      <c r="D26" s="110">
        <f>D2</f>
        <v>2027</v>
      </c>
      <c r="E26" s="110">
        <f>E2</f>
        <v>2028</v>
      </c>
      <c r="F26" s="110">
        <f>F2</f>
        <v>2029</v>
      </c>
      <c r="G26" s="110">
        <f>G2</f>
        <v>2030</v>
      </c>
    </row>
    <row r="27" spans="2:9" x14ac:dyDescent="0.25">
      <c r="B27" s="123" t="s">
        <v>184</v>
      </c>
      <c r="C27" s="124">
        <f>'Оценка бизнеса'!F58</f>
        <v>1350023.7597288114</v>
      </c>
      <c r="D27" s="124">
        <f>'Оценка бизнеса'!G4*1.5</f>
        <v>2326953.3939896924</v>
      </c>
      <c r="E27" s="124">
        <f>'Оценка бизнеса'!H4*1.5</f>
        <v>2709658.7245572703</v>
      </c>
      <c r="F27" s="124">
        <f>'Оценка бизнеса'!I4*1.5</f>
        <v>3155519.3760319962</v>
      </c>
      <c r="G27" s="124">
        <f>'Оценка бизнеса'!J4*1.5</f>
        <v>3610213.9567040903</v>
      </c>
    </row>
    <row r="28" spans="2:9" x14ac:dyDescent="0.25">
      <c r="B28" s="123" t="s">
        <v>185</v>
      </c>
      <c r="C28" s="125">
        <f>C27/($C$34/(1-C4))</f>
        <v>4.5001187986440572</v>
      </c>
      <c r="D28" s="125">
        <f>D27/($C$34/(1-D4))</f>
        <v>7.7565795686181866</v>
      </c>
      <c r="E28" s="125">
        <f>E27/($C$34/(1-E4))</f>
        <v>9.032275229540776</v>
      </c>
      <c r="F28" s="125">
        <f>F27/($C$34/(1-F4))</f>
        <v>10.518490479322859</v>
      </c>
      <c r="G28" s="125">
        <f>G27/($C$34/(1-G4))</f>
        <v>12.034152418883906</v>
      </c>
    </row>
    <row r="29" spans="2:9" x14ac:dyDescent="0.25">
      <c r="B29" s="123" t="s">
        <v>474</v>
      </c>
      <c r="C29" s="454"/>
      <c r="D29" s="455">
        <f>Свод_ОФР!CR32/D27</f>
        <v>5.7825568083773683E-2</v>
      </c>
      <c r="E29" s="455">
        <f>Свод_ОФР!CS32/E27</f>
        <v>6.3700014812329314E-2</v>
      </c>
      <c r="F29" s="455">
        <f>Свод_ОФР!CT32/F27</f>
        <v>6.926608050448993E-2</v>
      </c>
      <c r="G29" s="455">
        <f>Свод_ОФР!CU32/G27</f>
        <v>7.2891342557176164E-2</v>
      </c>
    </row>
    <row r="30" spans="2:9" x14ac:dyDescent="0.25">
      <c r="B30" s="152" t="s">
        <v>293</v>
      </c>
      <c r="C30" s="153">
        <f>'Оценка бизнеса'!F54/Свод_ОФР!CQ4</f>
        <v>1.2193093424210926</v>
      </c>
      <c r="D30" s="153">
        <f>D27/Свод_ОФР!CR4</f>
        <v>1.5</v>
      </c>
      <c r="E30" s="153">
        <f>E27/Свод_ОФР!CS4</f>
        <v>1.5</v>
      </c>
      <c r="F30" s="153">
        <f>F27/Свод_ОФР!CT4</f>
        <v>1.5</v>
      </c>
      <c r="G30" s="153">
        <f>G27/Свод_ОФР!CU4</f>
        <v>1.5</v>
      </c>
    </row>
    <row r="31" spans="2:9" x14ac:dyDescent="0.25">
      <c r="B31" s="152" t="s">
        <v>316</v>
      </c>
      <c r="C31" s="169">
        <f>'Оценка бизнеса'!F54/Свод_ОФР!CQ15</f>
        <v>7.9899909358456318</v>
      </c>
      <c r="D31" s="169">
        <f>D27/Свод_ОФР!CR15</f>
        <v>7.7266233746765227</v>
      </c>
      <c r="E31" s="169">
        <f>E27/Свод_ОФР!CS15</f>
        <v>7.4548672155330511</v>
      </c>
      <c r="F31" s="169">
        <f>F27/Свод_ОФР!CT15</f>
        <v>7.0481958721091402</v>
      </c>
      <c r="G31" s="169">
        <f>G27/Свод_ОФР!CU15</f>
        <v>6.803453828795579</v>
      </c>
    </row>
    <row r="32" spans="2:9" x14ac:dyDescent="0.25">
      <c r="B32" s="154"/>
      <c r="C32" s="170" t="s">
        <v>450</v>
      </c>
      <c r="D32" s="170" t="s">
        <v>472</v>
      </c>
      <c r="E32" s="170" t="str">
        <f t="shared" ref="E32" si="10">D32</f>
        <v xml:space="preserve"> R x 1,5</v>
      </c>
      <c r="F32" s="170" t="str">
        <f t="shared" ref="F32" si="11">E32</f>
        <v xml:space="preserve"> R x 1,5</v>
      </c>
      <c r="G32" s="170" t="str">
        <f t="shared" ref="G32" si="12">F32</f>
        <v xml:space="preserve"> R x 1,5</v>
      </c>
    </row>
    <row r="33" spans="2:8" x14ac:dyDescent="0.25">
      <c r="B33" s="154"/>
      <c r="C33" s="154"/>
      <c r="D33" s="155"/>
      <c r="E33" s="155"/>
      <c r="F33" s="155"/>
      <c r="G33" s="155"/>
      <c r="H33" s="155"/>
    </row>
    <row r="34" spans="2:8" x14ac:dyDescent="0.25">
      <c r="B34" s="126" t="s">
        <v>186</v>
      </c>
      <c r="C34" s="127">
        <v>200000</v>
      </c>
    </row>
    <row r="35" spans="2:8" x14ac:dyDescent="0.25">
      <c r="C35" s="456"/>
    </row>
    <row r="36" spans="2:8" x14ac:dyDescent="0.25">
      <c r="C36" s="457"/>
    </row>
  </sheetData>
  <phoneticPr fontId="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6">
    <tabColor theme="8" tint="-0.499984740745262"/>
  </sheetPr>
  <dimension ref="A1:EO37"/>
  <sheetViews>
    <sheetView showGridLines="0" zoomScaleNormal="100" workbookViewId="0">
      <selection activeCell="F38" sqref="F38"/>
    </sheetView>
  </sheetViews>
  <sheetFormatPr defaultColWidth="0" defaultRowHeight="15" x14ac:dyDescent="0.25"/>
  <cols>
    <col min="1" max="1" width="7.42578125" style="47" customWidth="1"/>
    <col min="2" max="2" width="72.28515625" style="30" customWidth="1"/>
    <col min="3" max="3" width="13.7109375" style="30" customWidth="1"/>
    <col min="4" max="4" width="11.140625" style="30" customWidth="1"/>
    <col min="5" max="5" width="14.42578125" style="30" customWidth="1"/>
    <col min="6" max="6" width="11.7109375" style="30" customWidth="1"/>
    <col min="7" max="7" width="15" style="30" customWidth="1"/>
    <col min="8" max="9" width="11.7109375" style="30" customWidth="1"/>
    <col min="10" max="10" width="11.140625" style="30" customWidth="1"/>
    <col min="11" max="12" width="10.42578125" style="30" customWidth="1"/>
    <col min="13" max="13" width="12.7109375" style="34" customWidth="1"/>
    <col min="14" max="15" width="10.7109375" style="30" bestFit="1" customWidth="1"/>
    <col min="16" max="20" width="11.140625" style="30" bestFit="1" customWidth="1"/>
    <col min="21" max="28" width="11.140625" style="30" customWidth="1"/>
    <col min="29" max="29" width="11.140625" style="30" bestFit="1" customWidth="1"/>
    <col min="30" max="76" width="11.140625" style="30" customWidth="1"/>
    <col min="77" max="79" width="11.140625" style="30" bestFit="1" customWidth="1"/>
    <col min="80" max="81" width="11.140625" style="30" customWidth="1"/>
    <col min="82" max="82" width="9.140625" style="30" customWidth="1"/>
    <col min="83" max="145" width="0" style="30" hidden="1" customWidth="1"/>
    <col min="146" max="16384" width="9.140625" style="30" hidden="1"/>
  </cols>
  <sheetData>
    <row r="1" spans="1:145" x14ac:dyDescent="0.25">
      <c r="K1" s="34"/>
      <c r="M1" s="30"/>
    </row>
    <row r="3" spans="1:145" ht="18.75" x14ac:dyDescent="0.3">
      <c r="B3" s="29" t="s">
        <v>115</v>
      </c>
      <c r="C3" s="62"/>
      <c r="D3" s="241" t="s">
        <v>468</v>
      </c>
      <c r="E3" s="63"/>
      <c r="F3" s="64"/>
      <c r="G3" s="64"/>
      <c r="H3" s="64"/>
      <c r="I3" s="64"/>
      <c r="Q3" s="65">
        <f>6.7-2.45</f>
        <v>4.25</v>
      </c>
    </row>
    <row r="4" spans="1:145" s="34" customFormat="1" x14ac:dyDescent="0.25">
      <c r="A4" s="47"/>
      <c r="B4" s="35" t="s">
        <v>1</v>
      </c>
      <c r="C4" s="36" t="s">
        <v>116</v>
      </c>
      <c r="D4" s="36" t="s">
        <v>38</v>
      </c>
      <c r="E4" s="36" t="s">
        <v>117</v>
      </c>
      <c r="F4" s="64"/>
      <c r="G4" s="64"/>
      <c r="H4" s="64"/>
      <c r="I4" s="64"/>
      <c r="J4" s="64"/>
      <c r="K4" s="64"/>
      <c r="L4" s="64"/>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row>
    <row r="5" spans="1:145" s="34" customFormat="1" x14ac:dyDescent="0.25">
      <c r="A5" s="47"/>
      <c r="B5" s="44" t="s">
        <v>118</v>
      </c>
      <c r="C5" s="50"/>
      <c r="D5" s="66"/>
      <c r="E5" s="63"/>
      <c r="F5" s="64"/>
      <c r="G5" s="64"/>
      <c r="H5" s="64"/>
      <c r="I5" s="64"/>
      <c r="J5" s="43"/>
      <c r="K5" s="43"/>
      <c r="L5" s="43"/>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row>
    <row r="6" spans="1:145" s="34" customFormat="1" x14ac:dyDescent="0.25">
      <c r="A6" s="47"/>
      <c r="B6" s="48" t="s">
        <v>119</v>
      </c>
      <c r="C6" s="47" t="s">
        <v>120</v>
      </c>
      <c r="D6" s="242">
        <v>0.1336</v>
      </c>
      <c r="E6" s="363" t="s">
        <v>412</v>
      </c>
      <c r="F6" s="242"/>
      <c r="G6" s="64"/>
      <c r="H6" s="64"/>
      <c r="I6" s="64"/>
      <c r="J6" s="43"/>
      <c r="K6" s="43"/>
      <c r="L6" s="43"/>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row>
    <row r="7" spans="1:145" s="34" customFormat="1" x14ac:dyDescent="0.25">
      <c r="A7" s="47"/>
      <c r="B7" s="48" t="s">
        <v>121</v>
      </c>
      <c r="C7" s="47" t="s">
        <v>309</v>
      </c>
      <c r="D7" s="242">
        <v>8.1299999999999997E-2</v>
      </c>
      <c r="E7" s="364" t="s">
        <v>463</v>
      </c>
      <c r="F7" s="69"/>
      <c r="G7" s="64"/>
      <c r="H7" s="64"/>
      <c r="I7" s="64"/>
      <c r="J7" s="43"/>
      <c r="K7" s="43"/>
      <c r="L7" s="43"/>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row>
    <row r="8" spans="1:145" s="34" customFormat="1" x14ac:dyDescent="0.25">
      <c r="A8" s="47"/>
      <c r="B8" s="40" t="s">
        <v>122</v>
      </c>
      <c r="C8" s="47" t="s">
        <v>123</v>
      </c>
      <c r="D8" s="67">
        <f>D6+D7</f>
        <v>0.21489999999999998</v>
      </c>
      <c r="E8" s="365"/>
      <c r="F8" s="69"/>
      <c r="G8" s="64"/>
      <c r="H8" s="64"/>
      <c r="I8" s="64"/>
      <c r="J8" s="43"/>
      <c r="K8" s="43"/>
      <c r="L8" s="43"/>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c r="EB8" s="30"/>
      <c r="EC8" s="30"/>
      <c r="ED8" s="30"/>
      <c r="EE8" s="30"/>
      <c r="EF8" s="30"/>
      <c r="EG8" s="30"/>
      <c r="EH8" s="30"/>
      <c r="EI8" s="30"/>
      <c r="EJ8" s="30"/>
      <c r="EK8" s="30"/>
      <c r="EL8" s="30"/>
      <c r="EM8" s="30"/>
      <c r="EN8" s="30"/>
      <c r="EO8" s="30"/>
    </row>
    <row r="9" spans="1:145" s="34" customFormat="1" x14ac:dyDescent="0.25">
      <c r="A9" s="47"/>
      <c r="B9" s="40" t="s">
        <v>124</v>
      </c>
      <c r="C9" s="47" t="s">
        <v>125</v>
      </c>
      <c r="D9" s="70">
        <f>'Beta Damodaran'!C43</f>
        <v>0.60904693191830017</v>
      </c>
      <c r="E9" s="365" t="s">
        <v>413</v>
      </c>
      <c r="F9" s="69"/>
      <c r="G9" s="64"/>
      <c r="H9" s="64"/>
      <c r="I9" s="64"/>
      <c r="J9" s="43"/>
      <c r="K9" s="43"/>
      <c r="L9" s="43"/>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row>
    <row r="10" spans="1:145" s="34" customFormat="1" x14ac:dyDescent="0.25">
      <c r="A10" s="47"/>
      <c r="B10" s="40" t="s">
        <v>126</v>
      </c>
      <c r="C10" s="47" t="s">
        <v>127</v>
      </c>
      <c r="D10" s="67">
        <f>C35/100</f>
        <v>1.1666666666666667E-2</v>
      </c>
      <c r="E10" s="365" t="s">
        <v>128</v>
      </c>
      <c r="F10" s="69"/>
      <c r="G10" s="64"/>
      <c r="H10" s="64"/>
      <c r="I10" s="30"/>
      <c r="J10" s="30"/>
      <c r="K10" s="30"/>
      <c r="L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row>
    <row r="11" spans="1:145" s="34" customFormat="1" x14ac:dyDescent="0.25">
      <c r="A11" s="47"/>
      <c r="B11" s="40" t="s">
        <v>129</v>
      </c>
      <c r="C11" s="47" t="s">
        <v>130</v>
      </c>
      <c r="D11" s="67">
        <v>2.0799999999999999E-2</v>
      </c>
      <c r="E11" s="365" t="s">
        <v>131</v>
      </c>
      <c r="F11" s="69"/>
      <c r="G11" s="64"/>
      <c r="H11" s="64"/>
      <c r="I11" s="30"/>
      <c r="J11" s="30"/>
      <c r="K11" s="30"/>
      <c r="L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row>
    <row r="12" spans="1:145" s="34" customFormat="1" x14ac:dyDescent="0.25">
      <c r="A12" s="47"/>
      <c r="B12" s="40" t="s">
        <v>132</v>
      </c>
      <c r="C12" s="47" t="s">
        <v>133</v>
      </c>
      <c r="D12" s="67">
        <v>3.7900000000000003E-2</v>
      </c>
      <c r="E12" s="365" t="s">
        <v>462</v>
      </c>
      <c r="F12" s="69"/>
      <c r="G12" s="64"/>
      <c r="H12" s="64"/>
      <c r="I12" s="30"/>
      <c r="J12" s="30"/>
      <c r="K12" s="30"/>
      <c r="L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row>
    <row r="13" spans="1:145" s="34" customFormat="1" x14ac:dyDescent="0.25">
      <c r="A13" s="47"/>
      <c r="B13" s="44" t="s">
        <v>134</v>
      </c>
      <c r="C13" s="50" t="s">
        <v>135</v>
      </c>
      <c r="D13" s="71">
        <f>D6+D7*D9+D10+D11+D12</f>
        <v>0.25348218223162444</v>
      </c>
      <c r="E13" s="68"/>
      <c r="F13" s="69"/>
      <c r="G13" s="64"/>
      <c r="H13" s="64"/>
      <c r="I13" s="30"/>
      <c r="J13" s="30"/>
      <c r="K13" s="30"/>
      <c r="L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row>
    <row r="14" spans="1:145" s="34" customFormat="1" x14ac:dyDescent="0.25">
      <c r="A14" s="47"/>
      <c r="B14" s="40"/>
      <c r="C14" s="47"/>
      <c r="D14" s="67"/>
      <c r="E14" s="68"/>
      <c r="F14" s="69"/>
      <c r="G14" s="64"/>
      <c r="H14" s="64"/>
      <c r="I14" s="30"/>
      <c r="J14" s="30"/>
      <c r="K14" s="30"/>
      <c r="L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row>
    <row r="15" spans="1:145" s="34" customFormat="1" x14ac:dyDescent="0.25">
      <c r="A15" s="47"/>
      <c r="B15" s="40"/>
      <c r="C15" s="47"/>
      <c r="D15" s="72"/>
      <c r="E15" s="68"/>
      <c r="F15" s="69"/>
      <c r="G15" s="64"/>
      <c r="H15" s="64"/>
      <c r="I15" s="30"/>
      <c r="J15" s="30"/>
      <c r="K15" s="30"/>
      <c r="L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row>
    <row r="16" spans="1:145" s="34" customFormat="1" x14ac:dyDescent="0.25">
      <c r="A16" s="47"/>
      <c r="B16" s="40" t="s">
        <v>134</v>
      </c>
      <c r="C16" s="47" t="s">
        <v>135</v>
      </c>
      <c r="D16" s="72">
        <f>D13</f>
        <v>0.25348218223162444</v>
      </c>
      <c r="E16" s="68"/>
      <c r="F16" s="69"/>
      <c r="G16" s="64"/>
      <c r="H16" s="64"/>
      <c r="I16" s="30"/>
      <c r="J16" s="30"/>
      <c r="K16" s="30"/>
      <c r="L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row>
    <row r="17" spans="1:145" s="34" customFormat="1" x14ac:dyDescent="0.25">
      <c r="A17" s="47"/>
      <c r="B17" s="40" t="s">
        <v>136</v>
      </c>
      <c r="C17" s="47" t="s">
        <v>137</v>
      </c>
      <c r="D17" s="73">
        <f>1-D19</f>
        <v>0.81920008750981033</v>
      </c>
      <c r="E17" s="68"/>
      <c r="F17" s="69"/>
      <c r="G17" s="64"/>
      <c r="H17" s="64"/>
      <c r="I17" s="30"/>
      <c r="J17" s="30"/>
      <c r="K17" s="30"/>
      <c r="L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row>
    <row r="18" spans="1:145" s="34" customFormat="1" x14ac:dyDescent="0.25">
      <c r="A18" s="47"/>
      <c r="B18" s="40" t="s">
        <v>138</v>
      </c>
      <c r="C18" s="47" t="s">
        <v>139</v>
      </c>
      <c r="D18" s="72">
        <v>0.2104</v>
      </c>
      <c r="E18" s="172" t="s">
        <v>140</v>
      </c>
      <c r="F18" s="69"/>
      <c r="G18" s="64"/>
      <c r="H18" s="366" t="s">
        <v>467</v>
      </c>
      <c r="I18" s="30"/>
      <c r="J18" s="30"/>
      <c r="K18" s="30"/>
      <c r="L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row>
    <row r="19" spans="1:145" s="34" customFormat="1" x14ac:dyDescent="0.25">
      <c r="A19" s="47"/>
      <c r="B19" s="40" t="s">
        <v>141</v>
      </c>
      <c r="C19" s="47" t="s">
        <v>142</v>
      </c>
      <c r="D19" s="171">
        <f>'Оценка бизнеса'!F52/Баланс!T30</f>
        <v>0.18079991249018967</v>
      </c>
      <c r="E19" s="68"/>
      <c r="F19" s="69"/>
      <c r="G19" s="64"/>
      <c r="H19" s="64"/>
      <c r="I19" s="30"/>
      <c r="J19" s="30"/>
      <c r="K19" s="30"/>
      <c r="L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row>
    <row r="20" spans="1:145" x14ac:dyDescent="0.25">
      <c r="B20" s="40" t="s">
        <v>60</v>
      </c>
      <c r="C20" s="47" t="s">
        <v>143</v>
      </c>
      <c r="D20" s="72">
        <v>0.25</v>
      </c>
      <c r="E20" s="68"/>
      <c r="F20" s="69"/>
      <c r="G20" s="64"/>
      <c r="H20" s="64"/>
    </row>
    <row r="21" spans="1:145" x14ac:dyDescent="0.25">
      <c r="B21" s="44" t="s">
        <v>144</v>
      </c>
      <c r="C21" s="50" t="s">
        <v>145</v>
      </c>
      <c r="D21" s="74">
        <f>(D17*D16+D19*D18*(1-D20))</f>
        <v>0.23618285205727638</v>
      </c>
      <c r="E21" s="68"/>
      <c r="F21" s="69"/>
      <c r="G21" s="64"/>
      <c r="H21" s="64"/>
    </row>
    <row r="22" spans="1:145" x14ac:dyDescent="0.25">
      <c r="B22" s="40"/>
      <c r="C22" s="75"/>
      <c r="D22" s="72"/>
      <c r="E22" s="63"/>
      <c r="F22" s="64"/>
      <c r="G22" s="64"/>
      <c r="H22" s="64"/>
      <c r="I22" s="64"/>
    </row>
    <row r="24" spans="1:145" hidden="1" x14ac:dyDescent="0.25">
      <c r="B24" s="76" t="s">
        <v>146</v>
      </c>
      <c r="C24" s="76">
        <v>1</v>
      </c>
      <c r="D24" s="76">
        <v>2</v>
      </c>
      <c r="E24" s="76">
        <v>3</v>
      </c>
      <c r="F24" s="76">
        <v>4</v>
      </c>
      <c r="G24" s="76">
        <v>5</v>
      </c>
      <c r="H24" s="76">
        <v>6</v>
      </c>
      <c r="I24" s="76">
        <v>7</v>
      </c>
      <c r="J24" s="76">
        <v>8</v>
      </c>
      <c r="K24" s="76">
        <v>9</v>
      </c>
      <c r="L24" s="76">
        <v>10</v>
      </c>
      <c r="M24" s="30"/>
    </row>
    <row r="25" spans="1:145" hidden="1" x14ac:dyDescent="0.25">
      <c r="B25" s="30" t="s">
        <v>147</v>
      </c>
      <c r="C25" s="30">
        <v>1</v>
      </c>
      <c r="M25" s="30"/>
    </row>
    <row r="26" spans="1:145" hidden="1" x14ac:dyDescent="0.25">
      <c r="B26" s="30" t="s">
        <v>148</v>
      </c>
      <c r="C26" s="30">
        <v>1</v>
      </c>
      <c r="M26" s="30"/>
    </row>
    <row r="27" spans="1:145" hidden="1" x14ac:dyDescent="0.25">
      <c r="B27" s="30" t="s">
        <v>149</v>
      </c>
      <c r="C27" s="30">
        <v>1</v>
      </c>
      <c r="M27" s="30"/>
    </row>
    <row r="28" spans="1:145" hidden="1" x14ac:dyDescent="0.25">
      <c r="B28" s="30" t="s">
        <v>150</v>
      </c>
      <c r="C28" s="30">
        <v>1</v>
      </c>
      <c r="M28" s="30"/>
    </row>
    <row r="29" spans="1:145" hidden="1" x14ac:dyDescent="0.25">
      <c r="B29" s="30" t="s">
        <v>151</v>
      </c>
      <c r="C29" s="30">
        <v>1</v>
      </c>
      <c r="M29" s="30"/>
    </row>
    <row r="30" spans="1:145" hidden="1" x14ac:dyDescent="0.25">
      <c r="B30" s="30" t="s">
        <v>152</v>
      </c>
      <c r="D30" s="30">
        <v>1</v>
      </c>
      <c r="M30" s="30"/>
    </row>
    <row r="31" spans="1:145" hidden="1" x14ac:dyDescent="0.25">
      <c r="B31" s="77" t="s">
        <v>153</v>
      </c>
      <c r="C31" s="77">
        <f t="shared" ref="C31:I31" si="0">SUM(C25:C30)</f>
        <v>5</v>
      </c>
      <c r="D31" s="77">
        <f t="shared" si="0"/>
        <v>1</v>
      </c>
      <c r="E31" s="77">
        <f t="shared" si="0"/>
        <v>0</v>
      </c>
      <c r="F31" s="77">
        <f t="shared" si="0"/>
        <v>0</v>
      </c>
      <c r="G31" s="77">
        <f t="shared" si="0"/>
        <v>0</v>
      </c>
      <c r="H31" s="77">
        <f t="shared" si="0"/>
        <v>0</v>
      </c>
      <c r="I31" s="77">
        <f t="shared" si="0"/>
        <v>0</v>
      </c>
      <c r="J31" s="77">
        <f>SUM(J25:J30)</f>
        <v>0</v>
      </c>
      <c r="K31" s="77">
        <f t="shared" ref="K31:L31" si="1">SUM(K25:K30)</f>
        <v>0</v>
      </c>
      <c r="L31" s="77">
        <f t="shared" si="1"/>
        <v>0</v>
      </c>
      <c r="M31" s="30"/>
    </row>
    <row r="32" spans="1:145" ht="15.75" hidden="1" thickBot="1" x14ac:dyDescent="0.3">
      <c r="B32" s="57" t="s">
        <v>154</v>
      </c>
      <c r="C32" s="57">
        <f t="shared" ref="C32:L32" si="2">C31*C24</f>
        <v>5</v>
      </c>
      <c r="D32" s="57">
        <f t="shared" si="2"/>
        <v>2</v>
      </c>
      <c r="E32" s="57">
        <f t="shared" si="2"/>
        <v>0</v>
      </c>
      <c r="F32" s="57">
        <f t="shared" si="2"/>
        <v>0</v>
      </c>
      <c r="G32" s="57">
        <f t="shared" si="2"/>
        <v>0</v>
      </c>
      <c r="H32" s="57">
        <f t="shared" si="2"/>
        <v>0</v>
      </c>
      <c r="I32" s="57">
        <f t="shared" si="2"/>
        <v>0</v>
      </c>
      <c r="J32" s="57">
        <f t="shared" si="2"/>
        <v>0</v>
      </c>
      <c r="K32" s="57">
        <f t="shared" si="2"/>
        <v>0</v>
      </c>
      <c r="L32" s="57">
        <f t="shared" si="2"/>
        <v>0</v>
      </c>
      <c r="M32" s="30"/>
    </row>
    <row r="33" spans="2:145" hidden="1" x14ac:dyDescent="0.25">
      <c r="B33" s="30" t="s">
        <v>155</v>
      </c>
      <c r="C33" s="78">
        <f>SUM(C32:L32)</f>
        <v>7</v>
      </c>
      <c r="D33" s="79"/>
      <c r="E33" s="79"/>
      <c r="F33" s="79"/>
      <c r="G33" s="79"/>
      <c r="H33" s="79"/>
      <c r="I33" s="79"/>
      <c r="J33" s="79"/>
      <c r="K33" s="79"/>
      <c r="L33" s="80"/>
      <c r="M33" s="30"/>
    </row>
    <row r="34" spans="2:145" hidden="1" x14ac:dyDescent="0.25">
      <c r="B34" s="30" t="s">
        <v>156</v>
      </c>
      <c r="C34" s="81">
        <v>6</v>
      </c>
      <c r="D34" s="81"/>
      <c r="E34" s="81"/>
      <c r="F34" s="81"/>
      <c r="G34" s="81"/>
      <c r="H34" s="81"/>
      <c r="I34" s="81"/>
      <c r="J34" s="81"/>
      <c r="K34" s="81"/>
      <c r="L34" s="82"/>
      <c r="M34" s="30"/>
    </row>
    <row r="35" spans="2:145" ht="15.75" hidden="1" thickBot="1" x14ac:dyDescent="0.3">
      <c r="B35" s="57" t="s">
        <v>157</v>
      </c>
      <c r="C35" s="83">
        <f>C33/C34</f>
        <v>1.1666666666666667</v>
      </c>
      <c r="D35" s="84"/>
      <c r="E35" s="84"/>
      <c r="F35" s="84"/>
      <c r="G35" s="84"/>
      <c r="H35" s="84"/>
      <c r="I35" s="84"/>
      <c r="J35" s="84"/>
      <c r="K35" s="84"/>
      <c r="L35" s="85"/>
      <c r="M35" s="30"/>
    </row>
    <row r="36" spans="2:145" s="47" customFormat="1" hidden="1" x14ac:dyDescent="0.25">
      <c r="B36" s="30"/>
      <c r="C36" s="30"/>
      <c r="D36" s="30"/>
      <c r="E36" s="30"/>
      <c r="F36" s="30"/>
      <c r="G36" s="30"/>
      <c r="H36" s="30"/>
      <c r="I36" s="30"/>
      <c r="J36" s="30"/>
      <c r="K36" s="30"/>
      <c r="L36" s="30"/>
      <c r="M36" s="34"/>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row>
    <row r="37" spans="2:145" hidden="1" x14ac:dyDescent="0.25"/>
  </sheetData>
  <hyperlinks>
    <hyperlink ref="E18" r:id="rId1" xr:uid="{209C018D-1E3C-4C0E-87AB-C47A42975837}"/>
  </hyperlinks>
  <pageMargins left="0.7" right="0.7" top="0.75" bottom="0.75" header="0.3" footer="0.3"/>
  <pageSetup paperSize="9" orientation="portrait"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7">
    <tabColor theme="4" tint="-0.249977111117893"/>
  </sheetPr>
  <dimension ref="A1:K104"/>
  <sheetViews>
    <sheetView showGridLines="0" workbookViewId="0">
      <selection activeCell="A19" sqref="A1:XFD1048576"/>
    </sheetView>
  </sheetViews>
  <sheetFormatPr defaultColWidth="8.85546875" defaultRowHeight="15" x14ac:dyDescent="0.25"/>
  <cols>
    <col min="1" max="1" width="36.85546875" style="240" bestFit="1" customWidth="1"/>
    <col min="2" max="2" width="19.7109375" customWidth="1"/>
    <col min="3" max="3" width="27" customWidth="1"/>
    <col min="4" max="4" width="38.42578125" bestFit="1" customWidth="1"/>
    <col min="5" max="5" width="38.140625" customWidth="1"/>
    <col min="6" max="6" width="23.85546875" customWidth="1"/>
    <col min="7" max="7" width="21.85546875" customWidth="1"/>
    <col min="8" max="256" width="12.42578125" customWidth="1"/>
    <col min="257" max="257" width="36.85546875" bestFit="1" customWidth="1"/>
    <col min="258" max="258" width="19.7109375" customWidth="1"/>
    <col min="259" max="259" width="27" customWidth="1"/>
    <col min="260" max="260" width="38.42578125" bestFit="1" customWidth="1"/>
    <col min="261" max="261" width="38.140625" customWidth="1"/>
    <col min="262" max="262" width="23.85546875" customWidth="1"/>
    <col min="263" max="263" width="21.85546875" customWidth="1"/>
    <col min="264" max="512" width="12.42578125" customWidth="1"/>
    <col min="513" max="513" width="36.85546875" bestFit="1" customWidth="1"/>
    <col min="514" max="514" width="19.7109375" customWidth="1"/>
    <col min="515" max="515" width="27" customWidth="1"/>
    <col min="516" max="516" width="38.42578125" bestFit="1" customWidth="1"/>
    <col min="517" max="517" width="38.140625" customWidth="1"/>
    <col min="518" max="518" width="23.85546875" customWidth="1"/>
    <col min="519" max="519" width="21.85546875" customWidth="1"/>
    <col min="520" max="768" width="12.42578125" customWidth="1"/>
    <col min="769" max="769" width="36.85546875" bestFit="1" customWidth="1"/>
    <col min="770" max="770" width="19.7109375" customWidth="1"/>
    <col min="771" max="771" width="27" customWidth="1"/>
    <col min="772" max="772" width="38.42578125" bestFit="1" customWidth="1"/>
    <col min="773" max="773" width="38.140625" customWidth="1"/>
    <col min="774" max="774" width="23.85546875" customWidth="1"/>
    <col min="775" max="775" width="21.85546875" customWidth="1"/>
    <col min="776" max="1024" width="12.42578125" customWidth="1"/>
    <col min="1025" max="1025" width="36.85546875" bestFit="1" customWidth="1"/>
    <col min="1026" max="1026" width="19.7109375" customWidth="1"/>
    <col min="1027" max="1027" width="27" customWidth="1"/>
    <col min="1028" max="1028" width="38.42578125" bestFit="1" customWidth="1"/>
    <col min="1029" max="1029" width="38.140625" customWidth="1"/>
    <col min="1030" max="1030" width="23.85546875" customWidth="1"/>
    <col min="1031" max="1031" width="21.85546875" customWidth="1"/>
    <col min="1032" max="1280" width="12.42578125" customWidth="1"/>
    <col min="1281" max="1281" width="36.85546875" bestFit="1" customWidth="1"/>
    <col min="1282" max="1282" width="19.7109375" customWidth="1"/>
    <col min="1283" max="1283" width="27" customWidth="1"/>
    <col min="1284" max="1284" width="38.42578125" bestFit="1" customWidth="1"/>
    <col min="1285" max="1285" width="38.140625" customWidth="1"/>
    <col min="1286" max="1286" width="23.85546875" customWidth="1"/>
    <col min="1287" max="1287" width="21.85546875" customWidth="1"/>
    <col min="1288" max="1536" width="12.42578125" customWidth="1"/>
    <col min="1537" max="1537" width="36.85546875" bestFit="1" customWidth="1"/>
    <col min="1538" max="1538" width="19.7109375" customWidth="1"/>
    <col min="1539" max="1539" width="27" customWidth="1"/>
    <col min="1540" max="1540" width="38.42578125" bestFit="1" customWidth="1"/>
    <col min="1541" max="1541" width="38.140625" customWidth="1"/>
    <col min="1542" max="1542" width="23.85546875" customWidth="1"/>
    <col min="1543" max="1543" width="21.85546875" customWidth="1"/>
    <col min="1544" max="1792" width="12.42578125" customWidth="1"/>
    <col min="1793" max="1793" width="36.85546875" bestFit="1" customWidth="1"/>
    <col min="1794" max="1794" width="19.7109375" customWidth="1"/>
    <col min="1795" max="1795" width="27" customWidth="1"/>
    <col min="1796" max="1796" width="38.42578125" bestFit="1" customWidth="1"/>
    <col min="1797" max="1797" width="38.140625" customWidth="1"/>
    <col min="1798" max="1798" width="23.85546875" customWidth="1"/>
    <col min="1799" max="1799" width="21.85546875" customWidth="1"/>
    <col min="1800" max="2048" width="12.42578125" customWidth="1"/>
    <col min="2049" max="2049" width="36.85546875" bestFit="1" customWidth="1"/>
    <col min="2050" max="2050" width="19.7109375" customWidth="1"/>
    <col min="2051" max="2051" width="27" customWidth="1"/>
    <col min="2052" max="2052" width="38.42578125" bestFit="1" customWidth="1"/>
    <col min="2053" max="2053" width="38.140625" customWidth="1"/>
    <col min="2054" max="2054" width="23.85546875" customWidth="1"/>
    <col min="2055" max="2055" width="21.85546875" customWidth="1"/>
    <col min="2056" max="2304" width="12.42578125" customWidth="1"/>
    <col min="2305" max="2305" width="36.85546875" bestFit="1" customWidth="1"/>
    <col min="2306" max="2306" width="19.7109375" customWidth="1"/>
    <col min="2307" max="2307" width="27" customWidth="1"/>
    <col min="2308" max="2308" width="38.42578125" bestFit="1" customWidth="1"/>
    <col min="2309" max="2309" width="38.140625" customWidth="1"/>
    <col min="2310" max="2310" width="23.85546875" customWidth="1"/>
    <col min="2311" max="2311" width="21.85546875" customWidth="1"/>
    <col min="2312" max="2560" width="12.42578125" customWidth="1"/>
    <col min="2561" max="2561" width="36.85546875" bestFit="1" customWidth="1"/>
    <col min="2562" max="2562" width="19.7109375" customWidth="1"/>
    <col min="2563" max="2563" width="27" customWidth="1"/>
    <col min="2564" max="2564" width="38.42578125" bestFit="1" customWidth="1"/>
    <col min="2565" max="2565" width="38.140625" customWidth="1"/>
    <col min="2566" max="2566" width="23.85546875" customWidth="1"/>
    <col min="2567" max="2567" width="21.85546875" customWidth="1"/>
    <col min="2568" max="2816" width="12.42578125" customWidth="1"/>
    <col min="2817" max="2817" width="36.85546875" bestFit="1" customWidth="1"/>
    <col min="2818" max="2818" width="19.7109375" customWidth="1"/>
    <col min="2819" max="2819" width="27" customWidth="1"/>
    <col min="2820" max="2820" width="38.42578125" bestFit="1" customWidth="1"/>
    <col min="2821" max="2821" width="38.140625" customWidth="1"/>
    <col min="2822" max="2822" width="23.85546875" customWidth="1"/>
    <col min="2823" max="2823" width="21.85546875" customWidth="1"/>
    <col min="2824" max="3072" width="12.42578125" customWidth="1"/>
    <col min="3073" max="3073" width="36.85546875" bestFit="1" customWidth="1"/>
    <col min="3074" max="3074" width="19.7109375" customWidth="1"/>
    <col min="3075" max="3075" width="27" customWidth="1"/>
    <col min="3076" max="3076" width="38.42578125" bestFit="1" customWidth="1"/>
    <col min="3077" max="3077" width="38.140625" customWidth="1"/>
    <col min="3078" max="3078" width="23.85546875" customWidth="1"/>
    <col min="3079" max="3079" width="21.85546875" customWidth="1"/>
    <col min="3080" max="3328" width="12.42578125" customWidth="1"/>
    <col min="3329" max="3329" width="36.85546875" bestFit="1" customWidth="1"/>
    <col min="3330" max="3330" width="19.7109375" customWidth="1"/>
    <col min="3331" max="3331" width="27" customWidth="1"/>
    <col min="3332" max="3332" width="38.42578125" bestFit="1" customWidth="1"/>
    <col min="3333" max="3333" width="38.140625" customWidth="1"/>
    <col min="3334" max="3334" width="23.85546875" customWidth="1"/>
    <col min="3335" max="3335" width="21.85546875" customWidth="1"/>
    <col min="3336" max="3584" width="12.42578125" customWidth="1"/>
    <col min="3585" max="3585" width="36.85546875" bestFit="1" customWidth="1"/>
    <col min="3586" max="3586" width="19.7109375" customWidth="1"/>
    <col min="3587" max="3587" width="27" customWidth="1"/>
    <col min="3588" max="3588" width="38.42578125" bestFit="1" customWidth="1"/>
    <col min="3589" max="3589" width="38.140625" customWidth="1"/>
    <col min="3590" max="3590" width="23.85546875" customWidth="1"/>
    <col min="3591" max="3591" width="21.85546875" customWidth="1"/>
    <col min="3592" max="3840" width="12.42578125" customWidth="1"/>
    <col min="3841" max="3841" width="36.85546875" bestFit="1" customWidth="1"/>
    <col min="3842" max="3842" width="19.7109375" customWidth="1"/>
    <col min="3843" max="3843" width="27" customWidth="1"/>
    <col min="3844" max="3844" width="38.42578125" bestFit="1" customWidth="1"/>
    <col min="3845" max="3845" width="38.140625" customWidth="1"/>
    <col min="3846" max="3846" width="23.85546875" customWidth="1"/>
    <col min="3847" max="3847" width="21.85546875" customWidth="1"/>
    <col min="3848" max="4096" width="12.42578125" customWidth="1"/>
    <col min="4097" max="4097" width="36.85546875" bestFit="1" customWidth="1"/>
    <col min="4098" max="4098" width="19.7109375" customWidth="1"/>
    <col min="4099" max="4099" width="27" customWidth="1"/>
    <col min="4100" max="4100" width="38.42578125" bestFit="1" customWidth="1"/>
    <col min="4101" max="4101" width="38.140625" customWidth="1"/>
    <col min="4102" max="4102" width="23.85546875" customWidth="1"/>
    <col min="4103" max="4103" width="21.85546875" customWidth="1"/>
    <col min="4104" max="4352" width="12.42578125" customWidth="1"/>
    <col min="4353" max="4353" width="36.85546875" bestFit="1" customWidth="1"/>
    <col min="4354" max="4354" width="19.7109375" customWidth="1"/>
    <col min="4355" max="4355" width="27" customWidth="1"/>
    <col min="4356" max="4356" width="38.42578125" bestFit="1" customWidth="1"/>
    <col min="4357" max="4357" width="38.140625" customWidth="1"/>
    <col min="4358" max="4358" width="23.85546875" customWidth="1"/>
    <col min="4359" max="4359" width="21.85546875" customWidth="1"/>
    <col min="4360" max="4608" width="12.42578125" customWidth="1"/>
    <col min="4609" max="4609" width="36.85546875" bestFit="1" customWidth="1"/>
    <col min="4610" max="4610" width="19.7109375" customWidth="1"/>
    <col min="4611" max="4611" width="27" customWidth="1"/>
    <col min="4612" max="4612" width="38.42578125" bestFit="1" customWidth="1"/>
    <col min="4613" max="4613" width="38.140625" customWidth="1"/>
    <col min="4614" max="4614" width="23.85546875" customWidth="1"/>
    <col min="4615" max="4615" width="21.85546875" customWidth="1"/>
    <col min="4616" max="4864" width="12.42578125" customWidth="1"/>
    <col min="4865" max="4865" width="36.85546875" bestFit="1" customWidth="1"/>
    <col min="4866" max="4866" width="19.7109375" customWidth="1"/>
    <col min="4867" max="4867" width="27" customWidth="1"/>
    <col min="4868" max="4868" width="38.42578125" bestFit="1" customWidth="1"/>
    <col min="4869" max="4869" width="38.140625" customWidth="1"/>
    <col min="4870" max="4870" width="23.85546875" customWidth="1"/>
    <col min="4871" max="4871" width="21.85546875" customWidth="1"/>
    <col min="4872" max="5120" width="12.42578125" customWidth="1"/>
    <col min="5121" max="5121" width="36.85546875" bestFit="1" customWidth="1"/>
    <col min="5122" max="5122" width="19.7109375" customWidth="1"/>
    <col min="5123" max="5123" width="27" customWidth="1"/>
    <col min="5124" max="5124" width="38.42578125" bestFit="1" customWidth="1"/>
    <col min="5125" max="5125" width="38.140625" customWidth="1"/>
    <col min="5126" max="5126" width="23.85546875" customWidth="1"/>
    <col min="5127" max="5127" width="21.85546875" customWidth="1"/>
    <col min="5128" max="5376" width="12.42578125" customWidth="1"/>
    <col min="5377" max="5377" width="36.85546875" bestFit="1" customWidth="1"/>
    <col min="5378" max="5378" width="19.7109375" customWidth="1"/>
    <col min="5379" max="5379" width="27" customWidth="1"/>
    <col min="5380" max="5380" width="38.42578125" bestFit="1" customWidth="1"/>
    <col min="5381" max="5381" width="38.140625" customWidth="1"/>
    <col min="5382" max="5382" width="23.85546875" customWidth="1"/>
    <col min="5383" max="5383" width="21.85546875" customWidth="1"/>
    <col min="5384" max="5632" width="12.42578125" customWidth="1"/>
    <col min="5633" max="5633" width="36.85546875" bestFit="1" customWidth="1"/>
    <col min="5634" max="5634" width="19.7109375" customWidth="1"/>
    <col min="5635" max="5635" width="27" customWidth="1"/>
    <col min="5636" max="5636" width="38.42578125" bestFit="1" customWidth="1"/>
    <col min="5637" max="5637" width="38.140625" customWidth="1"/>
    <col min="5638" max="5638" width="23.85546875" customWidth="1"/>
    <col min="5639" max="5639" width="21.85546875" customWidth="1"/>
    <col min="5640" max="5888" width="12.42578125" customWidth="1"/>
    <col min="5889" max="5889" width="36.85546875" bestFit="1" customWidth="1"/>
    <col min="5890" max="5890" width="19.7109375" customWidth="1"/>
    <col min="5891" max="5891" width="27" customWidth="1"/>
    <col min="5892" max="5892" width="38.42578125" bestFit="1" customWidth="1"/>
    <col min="5893" max="5893" width="38.140625" customWidth="1"/>
    <col min="5894" max="5894" width="23.85546875" customWidth="1"/>
    <col min="5895" max="5895" width="21.85546875" customWidth="1"/>
    <col min="5896" max="6144" width="12.42578125" customWidth="1"/>
    <col min="6145" max="6145" width="36.85546875" bestFit="1" customWidth="1"/>
    <col min="6146" max="6146" width="19.7109375" customWidth="1"/>
    <col min="6147" max="6147" width="27" customWidth="1"/>
    <col min="6148" max="6148" width="38.42578125" bestFit="1" customWidth="1"/>
    <col min="6149" max="6149" width="38.140625" customWidth="1"/>
    <col min="6150" max="6150" width="23.85546875" customWidth="1"/>
    <col min="6151" max="6151" width="21.85546875" customWidth="1"/>
    <col min="6152" max="6400" width="12.42578125" customWidth="1"/>
    <col min="6401" max="6401" width="36.85546875" bestFit="1" customWidth="1"/>
    <col min="6402" max="6402" width="19.7109375" customWidth="1"/>
    <col min="6403" max="6403" width="27" customWidth="1"/>
    <col min="6404" max="6404" width="38.42578125" bestFit="1" customWidth="1"/>
    <col min="6405" max="6405" width="38.140625" customWidth="1"/>
    <col min="6406" max="6406" width="23.85546875" customWidth="1"/>
    <col min="6407" max="6407" width="21.85546875" customWidth="1"/>
    <col min="6408" max="6656" width="12.42578125" customWidth="1"/>
    <col min="6657" max="6657" width="36.85546875" bestFit="1" customWidth="1"/>
    <col min="6658" max="6658" width="19.7109375" customWidth="1"/>
    <col min="6659" max="6659" width="27" customWidth="1"/>
    <col min="6660" max="6660" width="38.42578125" bestFit="1" customWidth="1"/>
    <col min="6661" max="6661" width="38.140625" customWidth="1"/>
    <col min="6662" max="6662" width="23.85546875" customWidth="1"/>
    <col min="6663" max="6663" width="21.85546875" customWidth="1"/>
    <col min="6664" max="6912" width="12.42578125" customWidth="1"/>
    <col min="6913" max="6913" width="36.85546875" bestFit="1" customWidth="1"/>
    <col min="6914" max="6914" width="19.7109375" customWidth="1"/>
    <col min="6915" max="6915" width="27" customWidth="1"/>
    <col min="6916" max="6916" width="38.42578125" bestFit="1" customWidth="1"/>
    <col min="6917" max="6917" width="38.140625" customWidth="1"/>
    <col min="6918" max="6918" width="23.85546875" customWidth="1"/>
    <col min="6919" max="6919" width="21.85546875" customWidth="1"/>
    <col min="6920" max="7168" width="12.42578125" customWidth="1"/>
    <col min="7169" max="7169" width="36.85546875" bestFit="1" customWidth="1"/>
    <col min="7170" max="7170" width="19.7109375" customWidth="1"/>
    <col min="7171" max="7171" width="27" customWidth="1"/>
    <col min="7172" max="7172" width="38.42578125" bestFit="1" customWidth="1"/>
    <col min="7173" max="7173" width="38.140625" customWidth="1"/>
    <col min="7174" max="7174" width="23.85546875" customWidth="1"/>
    <col min="7175" max="7175" width="21.85546875" customWidth="1"/>
    <col min="7176" max="7424" width="12.42578125" customWidth="1"/>
    <col min="7425" max="7425" width="36.85546875" bestFit="1" customWidth="1"/>
    <col min="7426" max="7426" width="19.7109375" customWidth="1"/>
    <col min="7427" max="7427" width="27" customWidth="1"/>
    <col min="7428" max="7428" width="38.42578125" bestFit="1" customWidth="1"/>
    <col min="7429" max="7429" width="38.140625" customWidth="1"/>
    <col min="7430" max="7430" width="23.85546875" customWidth="1"/>
    <col min="7431" max="7431" width="21.85546875" customWidth="1"/>
    <col min="7432" max="7680" width="12.42578125" customWidth="1"/>
    <col min="7681" max="7681" width="36.85546875" bestFit="1" customWidth="1"/>
    <col min="7682" max="7682" width="19.7109375" customWidth="1"/>
    <col min="7683" max="7683" width="27" customWidth="1"/>
    <col min="7684" max="7684" width="38.42578125" bestFit="1" customWidth="1"/>
    <col min="7685" max="7685" width="38.140625" customWidth="1"/>
    <col min="7686" max="7686" width="23.85546875" customWidth="1"/>
    <col min="7687" max="7687" width="21.85546875" customWidth="1"/>
    <col min="7688" max="7936" width="12.42578125" customWidth="1"/>
    <col min="7937" max="7937" width="36.85546875" bestFit="1" customWidth="1"/>
    <col min="7938" max="7938" width="19.7109375" customWidth="1"/>
    <col min="7939" max="7939" width="27" customWidth="1"/>
    <col min="7940" max="7940" width="38.42578125" bestFit="1" customWidth="1"/>
    <col min="7941" max="7941" width="38.140625" customWidth="1"/>
    <col min="7942" max="7942" width="23.85546875" customWidth="1"/>
    <col min="7943" max="7943" width="21.85546875" customWidth="1"/>
    <col min="7944" max="8192" width="12.42578125" customWidth="1"/>
    <col min="8193" max="8193" width="36.85546875" bestFit="1" customWidth="1"/>
    <col min="8194" max="8194" width="19.7109375" customWidth="1"/>
    <col min="8195" max="8195" width="27" customWidth="1"/>
    <col min="8196" max="8196" width="38.42578125" bestFit="1" customWidth="1"/>
    <col min="8197" max="8197" width="38.140625" customWidth="1"/>
    <col min="8198" max="8198" width="23.85546875" customWidth="1"/>
    <col min="8199" max="8199" width="21.85546875" customWidth="1"/>
    <col min="8200" max="8448" width="12.42578125" customWidth="1"/>
    <col min="8449" max="8449" width="36.85546875" bestFit="1" customWidth="1"/>
    <col min="8450" max="8450" width="19.7109375" customWidth="1"/>
    <col min="8451" max="8451" width="27" customWidth="1"/>
    <col min="8452" max="8452" width="38.42578125" bestFit="1" customWidth="1"/>
    <col min="8453" max="8453" width="38.140625" customWidth="1"/>
    <col min="8454" max="8454" width="23.85546875" customWidth="1"/>
    <col min="8455" max="8455" width="21.85546875" customWidth="1"/>
    <col min="8456" max="8704" width="12.42578125" customWidth="1"/>
    <col min="8705" max="8705" width="36.85546875" bestFit="1" customWidth="1"/>
    <col min="8706" max="8706" width="19.7109375" customWidth="1"/>
    <col min="8707" max="8707" width="27" customWidth="1"/>
    <col min="8708" max="8708" width="38.42578125" bestFit="1" customWidth="1"/>
    <col min="8709" max="8709" width="38.140625" customWidth="1"/>
    <col min="8710" max="8710" width="23.85546875" customWidth="1"/>
    <col min="8711" max="8711" width="21.85546875" customWidth="1"/>
    <col min="8712" max="8960" width="12.42578125" customWidth="1"/>
    <col min="8961" max="8961" width="36.85546875" bestFit="1" customWidth="1"/>
    <col min="8962" max="8962" width="19.7109375" customWidth="1"/>
    <col min="8963" max="8963" width="27" customWidth="1"/>
    <col min="8964" max="8964" width="38.42578125" bestFit="1" customWidth="1"/>
    <col min="8965" max="8965" width="38.140625" customWidth="1"/>
    <col min="8966" max="8966" width="23.85546875" customWidth="1"/>
    <col min="8967" max="8967" width="21.85546875" customWidth="1"/>
    <col min="8968" max="9216" width="12.42578125" customWidth="1"/>
    <col min="9217" max="9217" width="36.85546875" bestFit="1" customWidth="1"/>
    <col min="9218" max="9218" width="19.7109375" customWidth="1"/>
    <col min="9219" max="9219" width="27" customWidth="1"/>
    <col min="9220" max="9220" width="38.42578125" bestFit="1" customWidth="1"/>
    <col min="9221" max="9221" width="38.140625" customWidth="1"/>
    <col min="9222" max="9222" width="23.85546875" customWidth="1"/>
    <col min="9223" max="9223" width="21.85546875" customWidth="1"/>
    <col min="9224" max="9472" width="12.42578125" customWidth="1"/>
    <col min="9473" max="9473" width="36.85546875" bestFit="1" customWidth="1"/>
    <col min="9474" max="9474" width="19.7109375" customWidth="1"/>
    <col min="9475" max="9475" width="27" customWidth="1"/>
    <col min="9476" max="9476" width="38.42578125" bestFit="1" customWidth="1"/>
    <col min="9477" max="9477" width="38.140625" customWidth="1"/>
    <col min="9478" max="9478" width="23.85546875" customWidth="1"/>
    <col min="9479" max="9479" width="21.85546875" customWidth="1"/>
    <col min="9480" max="9728" width="12.42578125" customWidth="1"/>
    <col min="9729" max="9729" width="36.85546875" bestFit="1" customWidth="1"/>
    <col min="9730" max="9730" width="19.7109375" customWidth="1"/>
    <col min="9731" max="9731" width="27" customWidth="1"/>
    <col min="9732" max="9732" width="38.42578125" bestFit="1" customWidth="1"/>
    <col min="9733" max="9733" width="38.140625" customWidth="1"/>
    <col min="9734" max="9734" width="23.85546875" customWidth="1"/>
    <col min="9735" max="9735" width="21.85546875" customWidth="1"/>
    <col min="9736" max="9984" width="12.42578125" customWidth="1"/>
    <col min="9985" max="9985" width="36.85546875" bestFit="1" customWidth="1"/>
    <col min="9986" max="9986" width="19.7109375" customWidth="1"/>
    <col min="9987" max="9987" width="27" customWidth="1"/>
    <col min="9988" max="9988" width="38.42578125" bestFit="1" customWidth="1"/>
    <col min="9989" max="9989" width="38.140625" customWidth="1"/>
    <col min="9990" max="9990" width="23.85546875" customWidth="1"/>
    <col min="9991" max="9991" width="21.85546875" customWidth="1"/>
    <col min="9992" max="10240" width="12.42578125" customWidth="1"/>
    <col min="10241" max="10241" width="36.85546875" bestFit="1" customWidth="1"/>
    <col min="10242" max="10242" width="19.7109375" customWidth="1"/>
    <col min="10243" max="10243" width="27" customWidth="1"/>
    <col min="10244" max="10244" width="38.42578125" bestFit="1" customWidth="1"/>
    <col min="10245" max="10245" width="38.140625" customWidth="1"/>
    <col min="10246" max="10246" width="23.85546875" customWidth="1"/>
    <col min="10247" max="10247" width="21.85546875" customWidth="1"/>
    <col min="10248" max="10496" width="12.42578125" customWidth="1"/>
    <col min="10497" max="10497" width="36.85546875" bestFit="1" customWidth="1"/>
    <col min="10498" max="10498" width="19.7109375" customWidth="1"/>
    <col min="10499" max="10499" width="27" customWidth="1"/>
    <col min="10500" max="10500" width="38.42578125" bestFit="1" customWidth="1"/>
    <col min="10501" max="10501" width="38.140625" customWidth="1"/>
    <col min="10502" max="10502" width="23.85546875" customWidth="1"/>
    <col min="10503" max="10503" width="21.85546875" customWidth="1"/>
    <col min="10504" max="10752" width="12.42578125" customWidth="1"/>
    <col min="10753" max="10753" width="36.85546875" bestFit="1" customWidth="1"/>
    <col min="10754" max="10754" width="19.7109375" customWidth="1"/>
    <col min="10755" max="10755" width="27" customWidth="1"/>
    <col min="10756" max="10756" width="38.42578125" bestFit="1" customWidth="1"/>
    <col min="10757" max="10757" width="38.140625" customWidth="1"/>
    <col min="10758" max="10758" width="23.85546875" customWidth="1"/>
    <col min="10759" max="10759" width="21.85546875" customWidth="1"/>
    <col min="10760" max="11008" width="12.42578125" customWidth="1"/>
    <col min="11009" max="11009" width="36.85546875" bestFit="1" customWidth="1"/>
    <col min="11010" max="11010" width="19.7109375" customWidth="1"/>
    <col min="11011" max="11011" width="27" customWidth="1"/>
    <col min="11012" max="11012" width="38.42578125" bestFit="1" customWidth="1"/>
    <col min="11013" max="11013" width="38.140625" customWidth="1"/>
    <col min="11014" max="11014" width="23.85546875" customWidth="1"/>
    <col min="11015" max="11015" width="21.85546875" customWidth="1"/>
    <col min="11016" max="11264" width="12.42578125" customWidth="1"/>
    <col min="11265" max="11265" width="36.85546875" bestFit="1" customWidth="1"/>
    <col min="11266" max="11266" width="19.7109375" customWidth="1"/>
    <col min="11267" max="11267" width="27" customWidth="1"/>
    <col min="11268" max="11268" width="38.42578125" bestFit="1" customWidth="1"/>
    <col min="11269" max="11269" width="38.140625" customWidth="1"/>
    <col min="11270" max="11270" width="23.85546875" customWidth="1"/>
    <col min="11271" max="11271" width="21.85546875" customWidth="1"/>
    <col min="11272" max="11520" width="12.42578125" customWidth="1"/>
    <col min="11521" max="11521" width="36.85546875" bestFit="1" customWidth="1"/>
    <col min="11522" max="11522" width="19.7109375" customWidth="1"/>
    <col min="11523" max="11523" width="27" customWidth="1"/>
    <col min="11524" max="11524" width="38.42578125" bestFit="1" customWidth="1"/>
    <col min="11525" max="11525" width="38.140625" customWidth="1"/>
    <col min="11526" max="11526" width="23.85546875" customWidth="1"/>
    <col min="11527" max="11527" width="21.85546875" customWidth="1"/>
    <col min="11528" max="11776" width="12.42578125" customWidth="1"/>
    <col min="11777" max="11777" width="36.85546875" bestFit="1" customWidth="1"/>
    <col min="11778" max="11778" width="19.7109375" customWidth="1"/>
    <col min="11779" max="11779" width="27" customWidth="1"/>
    <col min="11780" max="11780" width="38.42578125" bestFit="1" customWidth="1"/>
    <col min="11781" max="11781" width="38.140625" customWidth="1"/>
    <col min="11782" max="11782" width="23.85546875" customWidth="1"/>
    <col min="11783" max="11783" width="21.85546875" customWidth="1"/>
    <col min="11784" max="12032" width="12.42578125" customWidth="1"/>
    <col min="12033" max="12033" width="36.85546875" bestFit="1" customWidth="1"/>
    <col min="12034" max="12034" width="19.7109375" customWidth="1"/>
    <col min="12035" max="12035" width="27" customWidth="1"/>
    <col min="12036" max="12036" width="38.42578125" bestFit="1" customWidth="1"/>
    <col min="12037" max="12037" width="38.140625" customWidth="1"/>
    <col min="12038" max="12038" width="23.85546875" customWidth="1"/>
    <col min="12039" max="12039" width="21.85546875" customWidth="1"/>
    <col min="12040" max="12288" width="12.42578125" customWidth="1"/>
    <col min="12289" max="12289" width="36.85546875" bestFit="1" customWidth="1"/>
    <col min="12290" max="12290" width="19.7109375" customWidth="1"/>
    <col min="12291" max="12291" width="27" customWidth="1"/>
    <col min="12292" max="12292" width="38.42578125" bestFit="1" customWidth="1"/>
    <col min="12293" max="12293" width="38.140625" customWidth="1"/>
    <col min="12294" max="12294" width="23.85546875" customWidth="1"/>
    <col min="12295" max="12295" width="21.85546875" customWidth="1"/>
    <col min="12296" max="12544" width="12.42578125" customWidth="1"/>
    <col min="12545" max="12545" width="36.85546875" bestFit="1" customWidth="1"/>
    <col min="12546" max="12546" width="19.7109375" customWidth="1"/>
    <col min="12547" max="12547" width="27" customWidth="1"/>
    <col min="12548" max="12548" width="38.42578125" bestFit="1" customWidth="1"/>
    <col min="12549" max="12549" width="38.140625" customWidth="1"/>
    <col min="12550" max="12550" width="23.85546875" customWidth="1"/>
    <col min="12551" max="12551" width="21.85546875" customWidth="1"/>
    <col min="12552" max="12800" width="12.42578125" customWidth="1"/>
    <col min="12801" max="12801" width="36.85546875" bestFit="1" customWidth="1"/>
    <col min="12802" max="12802" width="19.7109375" customWidth="1"/>
    <col min="12803" max="12803" width="27" customWidth="1"/>
    <col min="12804" max="12804" width="38.42578125" bestFit="1" customWidth="1"/>
    <col min="12805" max="12805" width="38.140625" customWidth="1"/>
    <col min="12806" max="12806" width="23.85546875" customWidth="1"/>
    <col min="12807" max="12807" width="21.85546875" customWidth="1"/>
    <col min="12808" max="13056" width="12.42578125" customWidth="1"/>
    <col min="13057" max="13057" width="36.85546875" bestFit="1" customWidth="1"/>
    <col min="13058" max="13058" width="19.7109375" customWidth="1"/>
    <col min="13059" max="13059" width="27" customWidth="1"/>
    <col min="13060" max="13060" width="38.42578125" bestFit="1" customWidth="1"/>
    <col min="13061" max="13061" width="38.140625" customWidth="1"/>
    <col min="13062" max="13062" width="23.85546875" customWidth="1"/>
    <col min="13063" max="13063" width="21.85546875" customWidth="1"/>
    <col min="13064" max="13312" width="12.42578125" customWidth="1"/>
    <col min="13313" max="13313" width="36.85546875" bestFit="1" customWidth="1"/>
    <col min="13314" max="13314" width="19.7109375" customWidth="1"/>
    <col min="13315" max="13315" width="27" customWidth="1"/>
    <col min="13316" max="13316" width="38.42578125" bestFit="1" customWidth="1"/>
    <col min="13317" max="13317" width="38.140625" customWidth="1"/>
    <col min="13318" max="13318" width="23.85546875" customWidth="1"/>
    <col min="13319" max="13319" width="21.85546875" customWidth="1"/>
    <col min="13320" max="13568" width="12.42578125" customWidth="1"/>
    <col min="13569" max="13569" width="36.85546875" bestFit="1" customWidth="1"/>
    <col min="13570" max="13570" width="19.7109375" customWidth="1"/>
    <col min="13571" max="13571" width="27" customWidth="1"/>
    <col min="13572" max="13572" width="38.42578125" bestFit="1" customWidth="1"/>
    <col min="13573" max="13573" width="38.140625" customWidth="1"/>
    <col min="13574" max="13574" width="23.85546875" customWidth="1"/>
    <col min="13575" max="13575" width="21.85546875" customWidth="1"/>
    <col min="13576" max="13824" width="12.42578125" customWidth="1"/>
    <col min="13825" max="13825" width="36.85546875" bestFit="1" customWidth="1"/>
    <col min="13826" max="13826" width="19.7109375" customWidth="1"/>
    <col min="13827" max="13827" width="27" customWidth="1"/>
    <col min="13828" max="13828" width="38.42578125" bestFit="1" customWidth="1"/>
    <col min="13829" max="13829" width="38.140625" customWidth="1"/>
    <col min="13830" max="13830" width="23.85546875" customWidth="1"/>
    <col min="13831" max="13831" width="21.85546875" customWidth="1"/>
    <col min="13832" max="14080" width="12.42578125" customWidth="1"/>
    <col min="14081" max="14081" width="36.85546875" bestFit="1" customWidth="1"/>
    <col min="14082" max="14082" width="19.7109375" customWidth="1"/>
    <col min="14083" max="14083" width="27" customWidth="1"/>
    <col min="14084" max="14084" width="38.42578125" bestFit="1" customWidth="1"/>
    <col min="14085" max="14085" width="38.140625" customWidth="1"/>
    <col min="14086" max="14086" width="23.85546875" customWidth="1"/>
    <col min="14087" max="14087" width="21.85546875" customWidth="1"/>
    <col min="14088" max="14336" width="12.42578125" customWidth="1"/>
    <col min="14337" max="14337" width="36.85546875" bestFit="1" customWidth="1"/>
    <col min="14338" max="14338" width="19.7109375" customWidth="1"/>
    <col min="14339" max="14339" width="27" customWidth="1"/>
    <col min="14340" max="14340" width="38.42578125" bestFit="1" customWidth="1"/>
    <col min="14341" max="14341" width="38.140625" customWidth="1"/>
    <col min="14342" max="14342" width="23.85546875" customWidth="1"/>
    <col min="14343" max="14343" width="21.85546875" customWidth="1"/>
    <col min="14344" max="14592" width="12.42578125" customWidth="1"/>
    <col min="14593" max="14593" width="36.85546875" bestFit="1" customWidth="1"/>
    <col min="14594" max="14594" width="19.7109375" customWidth="1"/>
    <col min="14595" max="14595" width="27" customWidth="1"/>
    <col min="14596" max="14596" width="38.42578125" bestFit="1" customWidth="1"/>
    <col min="14597" max="14597" width="38.140625" customWidth="1"/>
    <col min="14598" max="14598" width="23.85546875" customWidth="1"/>
    <col min="14599" max="14599" width="21.85546875" customWidth="1"/>
    <col min="14600" max="14848" width="12.42578125" customWidth="1"/>
    <col min="14849" max="14849" width="36.85546875" bestFit="1" customWidth="1"/>
    <col min="14850" max="14850" width="19.7109375" customWidth="1"/>
    <col min="14851" max="14851" width="27" customWidth="1"/>
    <col min="14852" max="14852" width="38.42578125" bestFit="1" customWidth="1"/>
    <col min="14853" max="14853" width="38.140625" customWidth="1"/>
    <col min="14854" max="14854" width="23.85546875" customWidth="1"/>
    <col min="14855" max="14855" width="21.85546875" customWidth="1"/>
    <col min="14856" max="15104" width="12.42578125" customWidth="1"/>
    <col min="15105" max="15105" width="36.85546875" bestFit="1" customWidth="1"/>
    <col min="15106" max="15106" width="19.7109375" customWidth="1"/>
    <col min="15107" max="15107" width="27" customWidth="1"/>
    <col min="15108" max="15108" width="38.42578125" bestFit="1" customWidth="1"/>
    <col min="15109" max="15109" width="38.140625" customWidth="1"/>
    <col min="15110" max="15110" width="23.85546875" customWidth="1"/>
    <col min="15111" max="15111" width="21.85546875" customWidth="1"/>
    <col min="15112" max="15360" width="12.42578125" customWidth="1"/>
    <col min="15361" max="15361" width="36.85546875" bestFit="1" customWidth="1"/>
    <col min="15362" max="15362" width="19.7109375" customWidth="1"/>
    <col min="15363" max="15363" width="27" customWidth="1"/>
    <col min="15364" max="15364" width="38.42578125" bestFit="1" customWidth="1"/>
    <col min="15365" max="15365" width="38.140625" customWidth="1"/>
    <col min="15366" max="15366" width="23.85546875" customWidth="1"/>
    <col min="15367" max="15367" width="21.85546875" customWidth="1"/>
    <col min="15368" max="15616" width="12.42578125" customWidth="1"/>
    <col min="15617" max="15617" width="36.85546875" bestFit="1" customWidth="1"/>
    <col min="15618" max="15618" width="19.7109375" customWidth="1"/>
    <col min="15619" max="15619" width="27" customWidth="1"/>
    <col min="15620" max="15620" width="38.42578125" bestFit="1" customWidth="1"/>
    <col min="15621" max="15621" width="38.140625" customWidth="1"/>
    <col min="15622" max="15622" width="23.85546875" customWidth="1"/>
    <col min="15623" max="15623" width="21.85546875" customWidth="1"/>
    <col min="15624" max="15872" width="12.42578125" customWidth="1"/>
    <col min="15873" max="15873" width="36.85546875" bestFit="1" customWidth="1"/>
    <col min="15874" max="15874" width="19.7109375" customWidth="1"/>
    <col min="15875" max="15875" width="27" customWidth="1"/>
    <col min="15876" max="15876" width="38.42578125" bestFit="1" customWidth="1"/>
    <col min="15877" max="15877" width="38.140625" customWidth="1"/>
    <col min="15878" max="15878" width="23.85546875" customWidth="1"/>
    <col min="15879" max="15879" width="21.85546875" customWidth="1"/>
    <col min="15880" max="16128" width="12.42578125" customWidth="1"/>
    <col min="16129" max="16129" width="36.85546875" bestFit="1" customWidth="1"/>
    <col min="16130" max="16130" width="19.7109375" customWidth="1"/>
    <col min="16131" max="16131" width="27" customWidth="1"/>
    <col min="16132" max="16132" width="38.42578125" bestFit="1" customWidth="1"/>
    <col min="16133" max="16133" width="38.140625" customWidth="1"/>
    <col min="16134" max="16134" width="23.85546875" customWidth="1"/>
    <col min="16135" max="16135" width="21.85546875" customWidth="1"/>
    <col min="16136" max="16384" width="12.42578125" customWidth="1"/>
  </cols>
  <sheetData>
    <row r="1" spans="1:11" ht="15.75" x14ac:dyDescent="0.25">
      <c r="A1" s="236" t="s">
        <v>323</v>
      </c>
      <c r="B1" s="477">
        <v>46027</v>
      </c>
      <c r="C1" s="478"/>
      <c r="D1" s="478"/>
      <c r="E1" s="478"/>
      <c r="F1" s="478"/>
      <c r="G1" s="479"/>
      <c r="H1" s="480" t="s">
        <v>324</v>
      </c>
      <c r="I1" s="465" t="s">
        <v>454</v>
      </c>
      <c r="J1" s="466"/>
      <c r="K1" s="467"/>
    </row>
    <row r="2" spans="1:11" ht="15.75" x14ac:dyDescent="0.25">
      <c r="A2" s="237" t="s">
        <v>325</v>
      </c>
      <c r="B2" s="483" t="s">
        <v>326</v>
      </c>
      <c r="C2" s="484"/>
      <c r="D2" s="484"/>
      <c r="E2" s="484"/>
      <c r="F2" s="484"/>
      <c r="G2" s="485"/>
      <c r="H2" s="481"/>
      <c r="I2" s="468" t="s">
        <v>455</v>
      </c>
      <c r="J2" s="469"/>
      <c r="K2" s="470"/>
    </row>
    <row r="3" spans="1:11" ht="15.75" x14ac:dyDescent="0.25">
      <c r="A3" s="237" t="s">
        <v>327</v>
      </c>
      <c r="B3" s="486" t="s">
        <v>456</v>
      </c>
      <c r="C3" s="487"/>
      <c r="D3" s="487"/>
      <c r="E3" s="488"/>
      <c r="F3" s="486" t="s">
        <v>328</v>
      </c>
      <c r="G3" s="489"/>
      <c r="H3" s="481"/>
      <c r="I3" s="471"/>
      <c r="J3" s="472"/>
      <c r="K3" s="473"/>
    </row>
    <row r="4" spans="1:11" ht="15.75" x14ac:dyDescent="0.25">
      <c r="A4" s="237" t="s">
        <v>329</v>
      </c>
      <c r="B4" s="490" t="s">
        <v>330</v>
      </c>
      <c r="C4" s="491"/>
      <c r="D4" s="491"/>
      <c r="E4" s="491"/>
      <c r="F4" s="491"/>
      <c r="G4" s="492"/>
      <c r="H4" s="481"/>
      <c r="I4" s="471"/>
      <c r="J4" s="472"/>
      <c r="K4" s="473"/>
    </row>
    <row r="5" spans="1:11" ht="15.75" x14ac:dyDescent="0.25">
      <c r="A5" s="237" t="s">
        <v>331</v>
      </c>
      <c r="B5" s="493" t="s">
        <v>332</v>
      </c>
      <c r="C5" s="494"/>
      <c r="D5" s="494"/>
      <c r="E5" s="494"/>
      <c r="F5" s="494"/>
      <c r="G5" s="495"/>
      <c r="H5" s="481"/>
      <c r="I5" s="471"/>
      <c r="J5" s="472"/>
      <c r="K5" s="473"/>
    </row>
    <row r="6" spans="1:11" s="238" customFormat="1" ht="15.75" x14ac:dyDescent="0.25">
      <c r="A6" s="237" t="s">
        <v>333</v>
      </c>
      <c r="B6" s="483" t="s">
        <v>334</v>
      </c>
      <c r="C6" s="484"/>
      <c r="D6" s="484"/>
      <c r="E6" s="484"/>
      <c r="F6" s="484"/>
      <c r="G6" s="485"/>
      <c r="H6" s="481"/>
      <c r="I6" s="471"/>
      <c r="J6" s="472"/>
      <c r="K6" s="473"/>
    </row>
    <row r="7" spans="1:11" ht="16.5" thickBot="1" x14ac:dyDescent="0.3">
      <c r="A7" s="239" t="s">
        <v>335</v>
      </c>
      <c r="B7" s="496" t="s">
        <v>336</v>
      </c>
      <c r="C7" s="497"/>
      <c r="D7" s="497"/>
      <c r="E7" s="497"/>
      <c r="F7" s="497"/>
      <c r="G7" s="498"/>
      <c r="H7" s="482"/>
      <c r="I7" s="474"/>
      <c r="J7" s="475"/>
      <c r="K7" s="476"/>
    </row>
    <row r="8" spans="1:11" ht="37.35" customHeight="1" x14ac:dyDescent="0.25">
      <c r="A8" s="403" t="s">
        <v>187</v>
      </c>
      <c r="B8" s="404" t="s">
        <v>188</v>
      </c>
      <c r="C8" s="405" t="s">
        <v>457</v>
      </c>
      <c r="D8" s="405" t="s">
        <v>458</v>
      </c>
      <c r="E8" s="405" t="s">
        <v>459</v>
      </c>
      <c r="F8" s="405" t="s">
        <v>460</v>
      </c>
      <c r="G8" s="406" t="s">
        <v>461</v>
      </c>
    </row>
    <row r="9" spans="1:11" x14ac:dyDescent="0.25">
      <c r="A9" s="407" t="s">
        <v>189</v>
      </c>
      <c r="B9" s="408">
        <v>184</v>
      </c>
      <c r="C9" s="409">
        <v>1.2822941797506622</v>
      </c>
      <c r="D9" s="409">
        <v>1.4399159805203336</v>
      </c>
      <c r="E9" s="410">
        <v>0.1515559592994597</v>
      </c>
      <c r="F9" s="409">
        <v>8.4608628105277912</v>
      </c>
      <c r="G9" s="411">
        <v>9.5008865845730348</v>
      </c>
    </row>
    <row r="10" spans="1:11" x14ac:dyDescent="0.25">
      <c r="A10" s="407" t="s">
        <v>190</v>
      </c>
      <c r="B10" s="408">
        <v>151</v>
      </c>
      <c r="C10" s="409">
        <v>1.2568238245742829</v>
      </c>
      <c r="D10" s="409">
        <v>1.2825660435186437</v>
      </c>
      <c r="E10" s="410">
        <v>0.18886467023359993</v>
      </c>
      <c r="F10" s="409">
        <v>6.6546264212346466</v>
      </c>
      <c r="G10" s="411">
        <v>6.7909262326949964</v>
      </c>
    </row>
    <row r="11" spans="1:11" x14ac:dyDescent="0.25">
      <c r="A11" s="407" t="s">
        <v>191</v>
      </c>
      <c r="B11" s="408">
        <v>79</v>
      </c>
      <c r="C11" s="409">
        <v>0.59298523339603226</v>
      </c>
      <c r="D11" s="409">
        <v>0.87252646919675425</v>
      </c>
      <c r="E11" s="410">
        <v>0.17962295912380191</v>
      </c>
      <c r="F11" s="409">
        <v>3.3012774997617527</v>
      </c>
      <c r="G11" s="411">
        <v>4.8575442329473093</v>
      </c>
    </row>
    <row r="12" spans="1:11" x14ac:dyDescent="0.25">
      <c r="A12" s="407" t="s">
        <v>192</v>
      </c>
      <c r="B12" s="408">
        <v>993</v>
      </c>
      <c r="C12" s="409">
        <v>0.66676583620496266</v>
      </c>
      <c r="D12" s="409">
        <v>0.73243870305983083</v>
      </c>
      <c r="E12" s="410">
        <v>0.13743778292598974</v>
      </c>
      <c r="F12" s="409">
        <v>4.8514012814366785</v>
      </c>
      <c r="G12" s="411">
        <v>5.3292383467379505</v>
      </c>
    </row>
    <row r="13" spans="1:11" x14ac:dyDescent="0.25">
      <c r="A13" s="407" t="s">
        <v>193</v>
      </c>
      <c r="B13" s="408">
        <v>89</v>
      </c>
      <c r="C13" s="409">
        <v>1.2186622086303038</v>
      </c>
      <c r="D13" s="409">
        <v>1.3505389164152188</v>
      </c>
      <c r="E13" s="410">
        <v>0.18290150145451817</v>
      </c>
      <c r="F13" s="409">
        <v>6.6629426163204393</v>
      </c>
      <c r="G13" s="411">
        <v>7.3839684511887684</v>
      </c>
    </row>
    <row r="14" spans="1:11" x14ac:dyDescent="0.25">
      <c r="A14" s="407" t="s">
        <v>194</v>
      </c>
      <c r="B14" s="408">
        <v>592</v>
      </c>
      <c r="C14" s="409">
        <v>1.4678442986833837</v>
      </c>
      <c r="D14" s="409">
        <v>1.5248306214313267</v>
      </c>
      <c r="E14" s="410">
        <v>0.22816704129060386</v>
      </c>
      <c r="F14" s="409">
        <v>6.4332003885428435</v>
      </c>
      <c r="G14" s="411">
        <v>6.6829574192936727</v>
      </c>
    </row>
    <row r="15" spans="1:11" x14ac:dyDescent="0.25">
      <c r="A15" s="407" t="s">
        <v>195</v>
      </c>
      <c r="B15" s="408">
        <v>455</v>
      </c>
      <c r="C15" s="409">
        <v>0.30520733959041285</v>
      </c>
      <c r="D15" s="409">
        <v>0.58569771915753521</v>
      </c>
      <c r="E15" s="410">
        <v>0.16048599383773576</v>
      </c>
      <c r="F15" s="409">
        <v>1.9017693213714464</v>
      </c>
      <c r="G15" s="411">
        <v>3.6495254517333313</v>
      </c>
    </row>
    <row r="16" spans="1:11" x14ac:dyDescent="0.25">
      <c r="A16" s="407" t="s">
        <v>196</v>
      </c>
      <c r="B16" s="408">
        <v>104</v>
      </c>
      <c r="C16" s="409">
        <v>0.13728588113393875</v>
      </c>
      <c r="D16" s="409">
        <v>0.6040309212598437</v>
      </c>
      <c r="E16" s="410">
        <v>0.15973139809511255</v>
      </c>
      <c r="F16" s="409">
        <v>0.85947961872963419</v>
      </c>
      <c r="G16" s="411">
        <v>3.7815415657989271</v>
      </c>
    </row>
    <row r="17" spans="1:7" x14ac:dyDescent="0.25">
      <c r="A17" s="407" t="s">
        <v>197</v>
      </c>
      <c r="B17" s="408">
        <v>132</v>
      </c>
      <c r="C17" s="409">
        <v>0.9530715378632737</v>
      </c>
      <c r="D17" s="409">
        <v>0.90570996402940718</v>
      </c>
      <c r="E17" s="410">
        <v>0.16304421143616427</v>
      </c>
      <c r="F17" s="409">
        <v>5.8454791462279188</v>
      </c>
      <c r="G17" s="411">
        <v>5.5549961329600128</v>
      </c>
    </row>
    <row r="18" spans="1:7" x14ac:dyDescent="0.25">
      <c r="A18" s="407" t="s">
        <v>198</v>
      </c>
      <c r="B18" s="408">
        <v>40</v>
      </c>
      <c r="C18" s="409">
        <v>0.57963684577609209</v>
      </c>
      <c r="D18" s="409">
        <v>0.57085101029103902</v>
      </c>
      <c r="E18" s="410">
        <v>0.14335777873435937</v>
      </c>
      <c r="F18" s="409">
        <v>4.0432884137396812</v>
      </c>
      <c r="G18" s="411">
        <v>3.982002339397436</v>
      </c>
    </row>
    <row r="19" spans="1:7" x14ac:dyDescent="0.25">
      <c r="A19" s="407" t="s">
        <v>199</v>
      </c>
      <c r="B19" s="408">
        <v>63</v>
      </c>
      <c r="C19" s="409">
        <v>0.85713193828905565</v>
      </c>
      <c r="D19" s="409">
        <v>0.90326281375338935</v>
      </c>
      <c r="E19" s="410">
        <v>0.15067202976349325</v>
      </c>
      <c r="F19" s="409">
        <v>5.6887262993302592</v>
      </c>
      <c r="G19" s="411">
        <v>5.9948937780371194</v>
      </c>
    </row>
    <row r="20" spans="1:7" x14ac:dyDescent="0.25">
      <c r="A20" s="407" t="s">
        <v>200</v>
      </c>
      <c r="B20" s="408">
        <v>468</v>
      </c>
      <c r="C20" s="409">
        <v>0.42553475427575504</v>
      </c>
      <c r="D20" s="409">
        <v>0.96749780777641126</v>
      </c>
      <c r="E20" s="410">
        <v>0.16373245932244387</v>
      </c>
      <c r="F20" s="409">
        <v>2.5989639197792482</v>
      </c>
      <c r="G20" s="411">
        <v>5.9090165247630289</v>
      </c>
    </row>
    <row r="21" spans="1:7" x14ac:dyDescent="0.25">
      <c r="A21" s="407" t="s">
        <v>201</v>
      </c>
      <c r="B21" s="408">
        <v>281</v>
      </c>
      <c r="C21" s="409">
        <v>0.89152722103260584</v>
      </c>
      <c r="D21" s="409">
        <v>1.0051705626990419</v>
      </c>
      <c r="E21" s="410">
        <v>0.17383422359783446</v>
      </c>
      <c r="F21" s="409">
        <v>5.1286058785245556</v>
      </c>
      <c r="G21" s="411">
        <v>5.7823513799244983</v>
      </c>
    </row>
    <row r="22" spans="1:7" x14ac:dyDescent="0.25">
      <c r="A22" s="407" t="s">
        <v>202</v>
      </c>
      <c r="B22" s="408">
        <v>379</v>
      </c>
      <c r="C22" s="409">
        <v>1.1114180210353464</v>
      </c>
      <c r="D22" s="409">
        <v>1.0972306801627618</v>
      </c>
      <c r="E22" s="410">
        <v>0.15765068851354139</v>
      </c>
      <c r="F22" s="409">
        <v>7.0498773682163858</v>
      </c>
      <c r="G22" s="411">
        <v>6.9598851137812527</v>
      </c>
    </row>
    <row r="23" spans="1:7" x14ac:dyDescent="0.25">
      <c r="A23" s="407" t="s">
        <v>203</v>
      </c>
      <c r="B23" s="408">
        <v>29</v>
      </c>
      <c r="C23" s="409">
        <v>1.0285610690225266</v>
      </c>
      <c r="D23" s="409">
        <v>1.103695188360488</v>
      </c>
      <c r="E23" s="410">
        <v>0.18487526255596443</v>
      </c>
      <c r="F23" s="409">
        <v>5.5635408155873005</v>
      </c>
      <c r="G23" s="411">
        <v>5.96994521117385</v>
      </c>
    </row>
    <row r="24" spans="1:7" x14ac:dyDescent="0.25">
      <c r="A24" s="407" t="s">
        <v>204</v>
      </c>
      <c r="B24" s="408">
        <v>741</v>
      </c>
      <c r="C24" s="409">
        <v>1.061969401410674</v>
      </c>
      <c r="D24" s="409">
        <v>1.3063263126363336</v>
      </c>
      <c r="E24" s="410">
        <v>0.21602824332688392</v>
      </c>
      <c r="F24" s="409">
        <v>4.9158822247318428</v>
      </c>
      <c r="G24" s="411">
        <v>6.0470163184156487</v>
      </c>
    </row>
    <row r="25" spans="1:7" x14ac:dyDescent="0.25">
      <c r="A25" s="407" t="s">
        <v>205</v>
      </c>
      <c r="B25" s="408">
        <v>29</v>
      </c>
      <c r="C25" s="409">
        <v>0.86029879842136792</v>
      </c>
      <c r="D25" s="409">
        <v>0.98327365658376653</v>
      </c>
      <c r="E25" s="410">
        <v>0.18697077139461121</v>
      </c>
      <c r="F25" s="409">
        <v>4.6012475212270694</v>
      </c>
      <c r="G25" s="411">
        <v>5.2589698873762361</v>
      </c>
    </row>
    <row r="26" spans="1:7" x14ac:dyDescent="0.25">
      <c r="A26" s="407" t="s">
        <v>206</v>
      </c>
      <c r="B26" s="408">
        <v>687</v>
      </c>
      <c r="C26" s="409">
        <v>1.1069198528356994</v>
      </c>
      <c r="D26" s="409">
        <v>1.1822507750884836</v>
      </c>
      <c r="E26" s="410">
        <v>0.19370345118664656</v>
      </c>
      <c r="F26" s="409">
        <v>5.7145076458607145</v>
      </c>
      <c r="G26" s="411">
        <v>6.1034058394205069</v>
      </c>
    </row>
    <row r="27" spans="1:7" x14ac:dyDescent="0.25">
      <c r="A27" s="407" t="s">
        <v>207</v>
      </c>
      <c r="B27" s="408">
        <v>96</v>
      </c>
      <c r="C27" s="409">
        <v>0.96820448267724346</v>
      </c>
      <c r="D27" s="409">
        <v>0.98805596003286966</v>
      </c>
      <c r="E27" s="410">
        <v>0.17039677899398964</v>
      </c>
      <c r="F27" s="409">
        <v>5.6820585952002922</v>
      </c>
      <c r="G27" s="411">
        <v>5.7985600776392676</v>
      </c>
    </row>
    <row r="28" spans="1:7" x14ac:dyDescent="0.25">
      <c r="A28" s="407" t="s">
        <v>208</v>
      </c>
      <c r="B28" s="408">
        <v>693</v>
      </c>
      <c r="C28" s="409">
        <v>1.0826537717976308</v>
      </c>
      <c r="D28" s="409">
        <v>1.101243225379237</v>
      </c>
      <c r="E28" s="410">
        <v>0.17331856584778388</v>
      </c>
      <c r="F28" s="409">
        <v>6.2466116454509883</v>
      </c>
      <c r="G28" s="411">
        <v>6.3538676309288071</v>
      </c>
    </row>
    <row r="29" spans="1:7" x14ac:dyDescent="0.25">
      <c r="A29" s="407" t="s">
        <v>209</v>
      </c>
      <c r="B29" s="408">
        <v>244</v>
      </c>
      <c r="C29" s="409">
        <v>1.618406450091268</v>
      </c>
      <c r="D29" s="409">
        <v>1.5904480695579437</v>
      </c>
      <c r="E29" s="410">
        <v>0.23545333439771357</v>
      </c>
      <c r="F29" s="409">
        <v>6.8735762618572798</v>
      </c>
      <c r="G29" s="411">
        <v>6.7548334944004438</v>
      </c>
    </row>
    <row r="30" spans="1:7" x14ac:dyDescent="0.25">
      <c r="A30" s="407" t="s">
        <v>210</v>
      </c>
      <c r="B30" s="408">
        <v>580</v>
      </c>
      <c r="C30" s="409">
        <v>0.90716125026181005</v>
      </c>
      <c r="D30" s="409">
        <v>0.99734003712716979</v>
      </c>
      <c r="E30" s="410">
        <v>0.16703775380381236</v>
      </c>
      <c r="F30" s="409">
        <v>5.4308755332478951</v>
      </c>
      <c r="G30" s="411">
        <v>5.9707462200345223</v>
      </c>
    </row>
    <row r="31" spans="1:7" x14ac:dyDescent="0.25">
      <c r="A31" s="407" t="s">
        <v>211</v>
      </c>
      <c r="B31" s="408">
        <v>215</v>
      </c>
      <c r="C31" s="409">
        <v>0.43148226217471358</v>
      </c>
      <c r="D31" s="409">
        <v>0.69791389117026337</v>
      </c>
      <c r="E31" s="410">
        <v>0.15833069900674054</v>
      </c>
      <c r="F31" s="409">
        <v>2.725196470940511</v>
      </c>
      <c r="G31" s="411">
        <v>4.4079505462206754</v>
      </c>
    </row>
    <row r="32" spans="1:7" x14ac:dyDescent="0.25">
      <c r="A32" s="407" t="s">
        <v>212</v>
      </c>
      <c r="B32" s="408">
        <v>382</v>
      </c>
      <c r="C32" s="409">
        <v>1.4138731651546939</v>
      </c>
      <c r="D32" s="409">
        <v>1.4237156126856132</v>
      </c>
      <c r="E32" s="410">
        <v>0.17366621685067596</v>
      </c>
      <c r="F32" s="409">
        <v>8.1413253008809967</v>
      </c>
      <c r="G32" s="411">
        <v>8.1979998096565421</v>
      </c>
    </row>
    <row r="33" spans="1:7" x14ac:dyDescent="0.25">
      <c r="A33" s="407" t="s">
        <v>213</v>
      </c>
      <c r="B33" s="408">
        <v>753</v>
      </c>
      <c r="C33" s="409">
        <v>1.0507365509875881</v>
      </c>
      <c r="D33" s="409">
        <v>1.0508968757806738</v>
      </c>
      <c r="E33" s="410">
        <v>0.1725718443403822</v>
      </c>
      <c r="F33" s="409">
        <v>6.0886905103424995</v>
      </c>
      <c r="G33" s="411">
        <v>6.089619542501242</v>
      </c>
    </row>
    <row r="34" spans="1:7" x14ac:dyDescent="0.25">
      <c r="A34" s="407" t="s">
        <v>214</v>
      </c>
      <c r="B34" s="408">
        <v>182</v>
      </c>
      <c r="C34" s="409">
        <v>0.77103504970745629</v>
      </c>
      <c r="D34" s="409">
        <v>0.84733088228937725</v>
      </c>
      <c r="E34" s="410">
        <v>0.14162752576995702</v>
      </c>
      <c r="F34" s="409">
        <v>5.4441044953354218</v>
      </c>
      <c r="G34" s="411">
        <v>5.9828121523896503</v>
      </c>
    </row>
    <row r="35" spans="1:7" x14ac:dyDescent="0.25">
      <c r="A35" s="407" t="s">
        <v>215</v>
      </c>
      <c r="B35" s="408">
        <v>810</v>
      </c>
      <c r="C35" s="409">
        <v>1.451242701555324</v>
      </c>
      <c r="D35" s="409">
        <v>1.4750996650420889</v>
      </c>
      <c r="E35" s="410">
        <v>0.20743051896903739</v>
      </c>
      <c r="F35" s="409">
        <v>6.9962834242918088</v>
      </c>
      <c r="G35" s="411">
        <v>7.1112952538207415</v>
      </c>
    </row>
    <row r="36" spans="1:7" x14ac:dyDescent="0.25">
      <c r="A36" s="407" t="s">
        <v>216</v>
      </c>
      <c r="B36" s="408">
        <v>81</v>
      </c>
      <c r="C36" s="409">
        <v>1.2074135212416821</v>
      </c>
      <c r="D36" s="409">
        <v>1.2127251643242498</v>
      </c>
      <c r="E36" s="410">
        <v>0.19322588956095804</v>
      </c>
      <c r="F36" s="409">
        <v>6.2487150349527703</v>
      </c>
      <c r="G36" s="411">
        <v>6.2762043278970889</v>
      </c>
    </row>
    <row r="37" spans="1:7" x14ac:dyDescent="0.25">
      <c r="A37" s="407" t="s">
        <v>217</v>
      </c>
      <c r="B37" s="408">
        <v>1050</v>
      </c>
      <c r="C37" s="409">
        <v>1.7245251764227423</v>
      </c>
      <c r="D37" s="409">
        <v>1.7652969489052874</v>
      </c>
      <c r="E37" s="410">
        <v>0.24775342337458472</v>
      </c>
      <c r="F37" s="409">
        <v>6.9606512512861975</v>
      </c>
      <c r="G37" s="411">
        <v>7.1252171811014291</v>
      </c>
    </row>
    <row r="38" spans="1:7" x14ac:dyDescent="0.25">
      <c r="A38" s="407" t="s">
        <v>218</v>
      </c>
      <c r="B38" s="408">
        <v>999</v>
      </c>
      <c r="C38" s="409">
        <v>0.61465078210526225</v>
      </c>
      <c r="D38" s="409">
        <v>1.0201378675726096</v>
      </c>
      <c r="E38" s="410">
        <v>0.14839556307100857</v>
      </c>
      <c r="F38" s="409">
        <v>4.1419754700559777</v>
      </c>
      <c r="G38" s="411">
        <v>6.8744499260026037</v>
      </c>
    </row>
    <row r="39" spans="1:7" x14ac:dyDescent="0.25">
      <c r="A39" s="407" t="s">
        <v>219</v>
      </c>
      <c r="B39" s="408">
        <v>343</v>
      </c>
      <c r="C39" s="409">
        <v>1.2161563427591409</v>
      </c>
      <c r="D39" s="409">
        <v>1.1874430279711614</v>
      </c>
      <c r="E39" s="410">
        <v>0.155767453002819</v>
      </c>
      <c r="F39" s="409">
        <v>7.8075125407432289</v>
      </c>
      <c r="G39" s="411">
        <v>7.6231780457350853</v>
      </c>
    </row>
    <row r="40" spans="1:7" x14ac:dyDescent="0.25">
      <c r="A40" s="407" t="s">
        <v>220</v>
      </c>
      <c r="B40" s="408">
        <v>223</v>
      </c>
      <c r="C40" s="409">
        <v>0.89196986404560774</v>
      </c>
      <c r="D40" s="409">
        <v>1.2425025851506764</v>
      </c>
      <c r="E40" s="410">
        <v>0.18617245214976796</v>
      </c>
      <c r="F40" s="409">
        <v>4.7910947819930696</v>
      </c>
      <c r="G40" s="411">
        <v>6.6739336072725459</v>
      </c>
    </row>
    <row r="41" spans="1:7" x14ac:dyDescent="0.25">
      <c r="A41" s="407" t="s">
        <v>221</v>
      </c>
      <c r="B41" s="408">
        <v>312</v>
      </c>
      <c r="C41" s="409">
        <v>0.49880430465646042</v>
      </c>
      <c r="D41" s="409">
        <v>0.66104763788955978</v>
      </c>
      <c r="E41" s="410">
        <v>0.1411245428613456</v>
      </c>
      <c r="F41" s="409">
        <v>3.5344972216954069</v>
      </c>
      <c r="G41" s="411">
        <v>4.6841436966710805</v>
      </c>
    </row>
    <row r="42" spans="1:7" x14ac:dyDescent="0.25">
      <c r="A42" s="407" t="s">
        <v>222</v>
      </c>
      <c r="B42" s="408">
        <v>697</v>
      </c>
      <c r="C42" s="409">
        <v>0.40514963393627335</v>
      </c>
      <c r="D42" s="409">
        <v>0.69890780034139099</v>
      </c>
      <c r="E42" s="410">
        <v>0.13435542682367993</v>
      </c>
      <c r="F42" s="409">
        <v>3.0155062844463112</v>
      </c>
      <c r="G42" s="411">
        <v>5.2019320459500014</v>
      </c>
    </row>
    <row r="43" spans="1:7" x14ac:dyDescent="0.25">
      <c r="A43" s="407" t="s">
        <v>223</v>
      </c>
      <c r="B43" s="408">
        <v>1030</v>
      </c>
      <c r="C43" s="409">
        <v>0.60904693191830017</v>
      </c>
      <c r="D43" s="409">
        <v>0.72044857126180695</v>
      </c>
      <c r="E43" s="410">
        <v>0.14404477359138115</v>
      </c>
      <c r="F43" s="409">
        <v>4.2281779250527576</v>
      </c>
      <c r="G43" s="411">
        <v>5.0015599545842502</v>
      </c>
    </row>
    <row r="44" spans="1:7" x14ac:dyDescent="0.25">
      <c r="A44" s="407" t="s">
        <v>224</v>
      </c>
      <c r="B44" s="408">
        <v>121</v>
      </c>
      <c r="C44" s="409">
        <v>0.43383590845577852</v>
      </c>
      <c r="D44" s="409">
        <v>0.6415331231484579</v>
      </c>
      <c r="E44" s="410">
        <v>0.12104958154747708</v>
      </c>
      <c r="F44" s="409">
        <v>3.583952153404371</v>
      </c>
      <c r="G44" s="411">
        <v>5.2997549842569347</v>
      </c>
    </row>
    <row r="45" spans="1:7" x14ac:dyDescent="0.25">
      <c r="A45" s="407" t="s">
        <v>225</v>
      </c>
      <c r="B45" s="408">
        <v>278</v>
      </c>
      <c r="C45" s="409">
        <v>1.1065975458116459</v>
      </c>
      <c r="D45" s="409">
        <v>1.058682276500289</v>
      </c>
      <c r="E45" s="410">
        <v>0.17421463970358403</v>
      </c>
      <c r="F45" s="409">
        <v>6.3519205257058573</v>
      </c>
      <c r="G45" s="411">
        <v>6.0768846883452197</v>
      </c>
    </row>
    <row r="46" spans="1:7" x14ac:dyDescent="0.25">
      <c r="A46" s="407" t="s">
        <v>226</v>
      </c>
      <c r="B46" s="408">
        <v>154</v>
      </c>
      <c r="C46" s="409">
        <v>0.59159784657611891</v>
      </c>
      <c r="D46" s="409">
        <v>0.85508722573403451</v>
      </c>
      <c r="E46" s="410">
        <v>0.146219503405459</v>
      </c>
      <c r="F46" s="409">
        <v>4.045957158913672</v>
      </c>
      <c r="G46" s="411">
        <v>5.8479697018456047</v>
      </c>
    </row>
    <row r="47" spans="1:7" x14ac:dyDescent="0.25">
      <c r="A47" s="407" t="s">
        <v>227</v>
      </c>
      <c r="B47" s="408">
        <v>380</v>
      </c>
      <c r="C47" s="409">
        <v>1.4344383789217245</v>
      </c>
      <c r="D47" s="409">
        <v>1.3813417036695315</v>
      </c>
      <c r="E47" s="410">
        <v>0.19832113318237179</v>
      </c>
      <c r="F47" s="409">
        <v>7.2329073352089326</v>
      </c>
      <c r="G47" s="411">
        <v>6.965176537183658</v>
      </c>
    </row>
    <row r="48" spans="1:7" x14ac:dyDescent="0.25">
      <c r="A48" s="407" t="s">
        <v>228</v>
      </c>
      <c r="B48" s="408">
        <v>256</v>
      </c>
      <c r="C48" s="409">
        <v>0.77976411905494625</v>
      </c>
      <c r="D48" s="409">
        <v>0.96847106569071739</v>
      </c>
      <c r="E48" s="410">
        <v>0.16850183049380704</v>
      </c>
      <c r="F48" s="409">
        <v>4.6276299596852448</v>
      </c>
      <c r="G48" s="411">
        <v>5.7475403255415181</v>
      </c>
    </row>
    <row r="49" spans="1:7" x14ac:dyDescent="0.25">
      <c r="A49" s="407" t="s">
        <v>229</v>
      </c>
      <c r="B49" s="408">
        <v>146</v>
      </c>
      <c r="C49" s="409">
        <v>1.5626685468769148</v>
      </c>
      <c r="D49" s="409">
        <v>1.5591371751561767</v>
      </c>
      <c r="E49" s="410">
        <v>0.19662815871356504</v>
      </c>
      <c r="F49" s="409">
        <v>7.9473283841980509</v>
      </c>
      <c r="G49" s="411">
        <v>7.9293687402495854</v>
      </c>
    </row>
    <row r="50" spans="1:7" x14ac:dyDescent="0.25">
      <c r="A50" s="407" t="s">
        <v>230</v>
      </c>
      <c r="B50" s="408">
        <v>46</v>
      </c>
      <c r="C50" s="409">
        <v>0.50680013492271359</v>
      </c>
      <c r="D50" s="409">
        <v>0.71158422016307588</v>
      </c>
      <c r="E50" s="410">
        <v>0.13662843305761213</v>
      </c>
      <c r="F50" s="409">
        <v>3.7093313857227002</v>
      </c>
      <c r="G50" s="411">
        <v>5.2081708341266131</v>
      </c>
    </row>
    <row r="51" spans="1:7" x14ac:dyDescent="0.25">
      <c r="A51" s="407" t="s">
        <v>231</v>
      </c>
      <c r="B51" s="408">
        <v>164</v>
      </c>
      <c r="C51" s="409">
        <v>0.6465320064229807</v>
      </c>
      <c r="D51" s="409">
        <v>0.7168840449448689</v>
      </c>
      <c r="E51" s="410">
        <v>0.15058275345971522</v>
      </c>
      <c r="F51" s="409">
        <v>4.2935329018003694</v>
      </c>
      <c r="G51" s="411">
        <v>4.7607314149468909</v>
      </c>
    </row>
    <row r="52" spans="1:7" x14ac:dyDescent="0.25">
      <c r="A52" s="407" t="s">
        <v>232</v>
      </c>
      <c r="B52" s="408">
        <v>427</v>
      </c>
      <c r="C52" s="409">
        <v>0.58058741058575236</v>
      </c>
      <c r="D52" s="409">
        <v>0.70439819423242456</v>
      </c>
      <c r="E52" s="410">
        <v>0.13984471775678842</v>
      </c>
      <c r="F52" s="409">
        <v>4.1516577808500683</v>
      </c>
      <c r="G52" s="411">
        <v>5.0370025091507706</v>
      </c>
    </row>
    <row r="53" spans="1:7" x14ac:dyDescent="0.25">
      <c r="A53" s="407" t="s">
        <v>233</v>
      </c>
      <c r="B53" s="408">
        <v>339</v>
      </c>
      <c r="C53" s="409">
        <v>0.82141418253647636</v>
      </c>
      <c r="D53" s="409">
        <v>0.84718595870084568</v>
      </c>
      <c r="E53" s="410">
        <v>0.14711493918861929</v>
      </c>
      <c r="F53" s="409">
        <v>5.5834858585185776</v>
      </c>
      <c r="G53" s="411">
        <v>5.758667089646484</v>
      </c>
    </row>
    <row r="54" spans="1:7" x14ac:dyDescent="0.25">
      <c r="A54" s="407" t="s">
        <v>234</v>
      </c>
      <c r="B54" s="408">
        <v>49</v>
      </c>
      <c r="C54" s="409">
        <v>1.0296560137098147</v>
      </c>
      <c r="D54" s="409">
        <v>1.0658016459781985</v>
      </c>
      <c r="E54" s="410">
        <v>0.15760425423444668</v>
      </c>
      <c r="F54" s="409">
        <v>6.5331739851269104</v>
      </c>
      <c r="G54" s="411">
        <v>6.7625182527925203</v>
      </c>
    </row>
    <row r="55" spans="1:7" x14ac:dyDescent="0.25">
      <c r="A55" s="407" t="s">
        <v>235</v>
      </c>
      <c r="B55" s="408">
        <v>140</v>
      </c>
      <c r="C55" s="409">
        <v>0.36420398845723889</v>
      </c>
      <c r="D55" s="409">
        <v>0.37417007863734608</v>
      </c>
      <c r="E55" s="410">
        <v>0.10301026509762422</v>
      </c>
      <c r="F55" s="409">
        <v>3.5356086901832344</v>
      </c>
      <c r="G55" s="411">
        <v>3.6323572052041615</v>
      </c>
    </row>
    <row r="56" spans="1:7" x14ac:dyDescent="0.25">
      <c r="A56" s="407" t="s">
        <v>236</v>
      </c>
      <c r="B56" s="408">
        <v>92</v>
      </c>
      <c r="C56" s="409">
        <v>0.70545377460865089</v>
      </c>
      <c r="D56" s="409">
        <v>0.82308075393162627</v>
      </c>
      <c r="E56" s="410">
        <v>0.18388289752133505</v>
      </c>
      <c r="F56" s="409">
        <v>3.8364295109435096</v>
      </c>
      <c r="G56" s="411">
        <v>4.4761136844503344</v>
      </c>
    </row>
    <row r="57" spans="1:7" x14ac:dyDescent="0.25">
      <c r="A57" s="407" t="s">
        <v>237</v>
      </c>
      <c r="B57" s="408">
        <v>158</v>
      </c>
      <c r="C57" s="409">
        <v>0.33174736883495093</v>
      </c>
      <c r="D57" s="409">
        <v>0.35938006282995755</v>
      </c>
      <c r="E57" s="410">
        <v>0.13829523890009907</v>
      </c>
      <c r="F57" s="409">
        <v>2.3988343450825282</v>
      </c>
      <c r="G57" s="411">
        <v>2.5986437833161018</v>
      </c>
    </row>
    <row r="58" spans="1:7" x14ac:dyDescent="0.25">
      <c r="A58" s="407" t="s">
        <v>238</v>
      </c>
      <c r="B58" s="408">
        <v>486</v>
      </c>
      <c r="C58" s="409">
        <v>0.41549033269865271</v>
      </c>
      <c r="D58" s="409">
        <v>0.6687136956861367</v>
      </c>
      <c r="E58" s="410">
        <v>0.12936120135216064</v>
      </c>
      <c r="F58" s="409">
        <v>3.211862044845744</v>
      </c>
      <c r="G58" s="411">
        <v>5.1693528561604349</v>
      </c>
    </row>
    <row r="59" spans="1:7" x14ac:dyDescent="0.25">
      <c r="A59" s="407" t="s">
        <v>239</v>
      </c>
      <c r="B59" s="408">
        <v>987</v>
      </c>
      <c r="C59" s="409">
        <v>1.4962376701260611</v>
      </c>
      <c r="D59" s="409">
        <v>1.5113739777354289</v>
      </c>
      <c r="E59" s="410">
        <v>0.22291925063108742</v>
      </c>
      <c r="F59" s="409">
        <v>6.7120164180087274</v>
      </c>
      <c r="G59" s="411">
        <v>6.7799168239472758</v>
      </c>
    </row>
    <row r="60" spans="1:7" x14ac:dyDescent="0.25">
      <c r="A60" s="407" t="s">
        <v>240</v>
      </c>
      <c r="B60" s="408">
        <v>358</v>
      </c>
      <c r="C60" s="409">
        <v>1.4029660775220565</v>
      </c>
      <c r="D60" s="409">
        <v>1.5467681518989491</v>
      </c>
      <c r="E60" s="410">
        <v>0.22079538534425347</v>
      </c>
      <c r="F60" s="409">
        <v>6.3541458320545052</v>
      </c>
      <c r="G60" s="411">
        <v>7.0054369546143507</v>
      </c>
    </row>
    <row r="61" spans="1:7" x14ac:dyDescent="0.25">
      <c r="A61" s="407" t="s">
        <v>241</v>
      </c>
      <c r="B61" s="408">
        <v>78</v>
      </c>
      <c r="C61" s="409">
        <v>0.77964304131372253</v>
      </c>
      <c r="D61" s="409">
        <v>0.74909080722913934</v>
      </c>
      <c r="E61" s="410">
        <v>0.12841238618390513</v>
      </c>
      <c r="F61" s="409">
        <v>6.0714006217216525</v>
      </c>
      <c r="G61" s="411">
        <v>5.8334778247663186</v>
      </c>
    </row>
    <row r="62" spans="1:7" x14ac:dyDescent="0.25">
      <c r="A62" s="407" t="s">
        <v>242</v>
      </c>
      <c r="B62" s="408">
        <v>15</v>
      </c>
      <c r="C62" s="409">
        <v>0.74303561191651879</v>
      </c>
      <c r="D62" s="409">
        <v>0.78854004772497732</v>
      </c>
      <c r="E62" s="410">
        <v>0.15691869877592698</v>
      </c>
      <c r="F62" s="409">
        <v>4.7351629710971608</v>
      </c>
      <c r="G62" s="411">
        <v>5.0251503095305292</v>
      </c>
    </row>
    <row r="63" spans="1:7" x14ac:dyDescent="0.25">
      <c r="A63" s="407" t="s">
        <v>243</v>
      </c>
      <c r="B63" s="408">
        <v>105</v>
      </c>
      <c r="C63" s="409">
        <v>0.81426815697948507</v>
      </c>
      <c r="D63" s="409">
        <v>0.87491020828777077</v>
      </c>
      <c r="E63" s="410">
        <v>0.13340793521157063</v>
      </c>
      <c r="F63" s="409">
        <v>6.1035961293317627</v>
      </c>
      <c r="G63" s="411">
        <v>6.55815718083229</v>
      </c>
    </row>
    <row r="64" spans="1:7" x14ac:dyDescent="0.25">
      <c r="A64" s="407" t="s">
        <v>244</v>
      </c>
      <c r="B64" s="408">
        <v>120</v>
      </c>
      <c r="C64" s="409">
        <v>0.49057025254265324</v>
      </c>
      <c r="D64" s="409">
        <v>0.62712149264306449</v>
      </c>
      <c r="E64" s="410">
        <v>0.15485017315028088</v>
      </c>
      <c r="F64" s="409">
        <v>3.168031669338585</v>
      </c>
      <c r="G64" s="411">
        <v>4.0498598089034621</v>
      </c>
    </row>
    <row r="65" spans="1:7" x14ac:dyDescent="0.25">
      <c r="A65" s="407" t="s">
        <v>245</v>
      </c>
      <c r="B65" s="408">
        <v>228</v>
      </c>
      <c r="C65" s="409">
        <v>0.78933881761102453</v>
      </c>
      <c r="D65" s="409">
        <v>0.92283676336850762</v>
      </c>
      <c r="E65" s="410">
        <v>0.13776399035618278</v>
      </c>
      <c r="F65" s="409">
        <v>5.7296454288978094</v>
      </c>
      <c r="G65" s="411">
        <v>6.6986791031716884</v>
      </c>
    </row>
    <row r="66" spans="1:7" x14ac:dyDescent="0.25">
      <c r="A66" s="407" t="s">
        <v>246</v>
      </c>
      <c r="B66" s="408">
        <v>341</v>
      </c>
      <c r="C66" s="409">
        <v>0.61318234907707436</v>
      </c>
      <c r="D66" s="409">
        <v>0.73967328126169241</v>
      </c>
      <c r="E66" s="410">
        <v>0.15638636949184878</v>
      </c>
      <c r="F66" s="409">
        <v>3.9209449715439226</v>
      </c>
      <c r="G66" s="411">
        <v>4.7297810139408973</v>
      </c>
    </row>
    <row r="67" spans="1:7" x14ac:dyDescent="0.25">
      <c r="A67" s="407" t="s">
        <v>247</v>
      </c>
      <c r="B67" s="408">
        <v>197</v>
      </c>
      <c r="C67" s="409">
        <v>0.56390946284989329</v>
      </c>
      <c r="D67" s="409">
        <v>0.90176457907813545</v>
      </c>
      <c r="E67" s="410">
        <v>0.18184857170321078</v>
      </c>
      <c r="F67" s="409">
        <v>3.1009837337091204</v>
      </c>
      <c r="G67" s="411">
        <v>4.9588763366801496</v>
      </c>
    </row>
    <row r="68" spans="1:7" x14ac:dyDescent="0.25">
      <c r="A68" s="407" t="s">
        <v>248</v>
      </c>
      <c r="B68" s="408">
        <v>328</v>
      </c>
      <c r="C68" s="409">
        <v>0.46207257345156216</v>
      </c>
      <c r="D68" s="409">
        <v>0.77370622267097355</v>
      </c>
      <c r="E68" s="410">
        <v>0.16043725726152272</v>
      </c>
      <c r="F68" s="409">
        <v>2.880082727282947</v>
      </c>
      <c r="G68" s="411">
        <v>4.8224847262863904</v>
      </c>
    </row>
    <row r="69" spans="1:7" x14ac:dyDescent="0.25">
      <c r="A69" s="407" t="s">
        <v>249</v>
      </c>
      <c r="B69" s="408">
        <v>64</v>
      </c>
      <c r="C69" s="409">
        <v>1.4997131772058738</v>
      </c>
      <c r="D69" s="409">
        <v>1.5769711823428005</v>
      </c>
      <c r="E69" s="410">
        <v>0.15706689760800435</v>
      </c>
      <c r="F69" s="409">
        <v>9.5482447291264663</v>
      </c>
      <c r="G69" s="411">
        <v>10.040124344204504</v>
      </c>
    </row>
    <row r="70" spans="1:7" x14ac:dyDescent="0.25">
      <c r="A70" s="407" t="s">
        <v>250</v>
      </c>
      <c r="B70" s="408">
        <v>171</v>
      </c>
      <c r="C70" s="409">
        <v>1.0080054774761871</v>
      </c>
      <c r="D70" s="409">
        <v>0.89794488329981326</v>
      </c>
      <c r="E70" s="410">
        <v>0.1529338801172706</v>
      </c>
      <c r="F70" s="409">
        <v>6.5911194870831924</v>
      </c>
      <c r="G70" s="411">
        <v>5.8714581923329465</v>
      </c>
    </row>
    <row r="71" spans="1:7" x14ac:dyDescent="0.25">
      <c r="A71" s="407" t="s">
        <v>251</v>
      </c>
      <c r="B71" s="408">
        <v>208</v>
      </c>
      <c r="C71" s="409">
        <v>0.32205247754378935</v>
      </c>
      <c r="D71" s="409">
        <v>0.44767491371193474</v>
      </c>
      <c r="E71" s="410">
        <v>0.14612432157813518</v>
      </c>
      <c r="F71" s="409">
        <v>2.2039621745759987</v>
      </c>
      <c r="G71" s="411">
        <v>3.0636577735798438</v>
      </c>
    </row>
    <row r="72" spans="1:7" x14ac:dyDescent="0.25">
      <c r="A72" s="407" t="s">
        <v>252</v>
      </c>
      <c r="B72" s="408">
        <v>786</v>
      </c>
      <c r="C72" s="409">
        <v>0.45365435060337872</v>
      </c>
      <c r="D72" s="409">
        <v>0.95900877289720343</v>
      </c>
      <c r="E72" s="410">
        <v>0.15337911411145183</v>
      </c>
      <c r="F72" s="409">
        <v>2.9577322390435379</v>
      </c>
      <c r="G72" s="411">
        <v>6.2525382184718223</v>
      </c>
    </row>
    <row r="73" spans="1:7" x14ac:dyDescent="0.25">
      <c r="A73" s="407" t="s">
        <v>253</v>
      </c>
      <c r="B73" s="408">
        <v>205</v>
      </c>
      <c r="C73" s="409">
        <v>0.7206405029001941</v>
      </c>
      <c r="D73" s="409">
        <v>1.0134907611268071</v>
      </c>
      <c r="E73" s="410">
        <v>0.17681634727205911</v>
      </c>
      <c r="F73" s="409">
        <v>4.0756441020206013</v>
      </c>
      <c r="G73" s="411">
        <v>5.7318838261453049</v>
      </c>
    </row>
    <row r="74" spans="1:7" x14ac:dyDescent="0.25">
      <c r="A74" s="407" t="s">
        <v>254</v>
      </c>
      <c r="B74" s="408">
        <v>406</v>
      </c>
      <c r="C74" s="409">
        <v>0.5908015785259908</v>
      </c>
      <c r="D74" s="409">
        <v>0.79171910831454284</v>
      </c>
      <c r="E74" s="410">
        <v>0.1433729397301361</v>
      </c>
      <c r="F74" s="409">
        <v>4.1207328219539043</v>
      </c>
      <c r="G74" s="411">
        <v>5.5220957999798088</v>
      </c>
    </row>
    <row r="75" spans="1:7" x14ac:dyDescent="0.25">
      <c r="A75" s="407" t="s">
        <v>255</v>
      </c>
      <c r="B75" s="408">
        <v>158</v>
      </c>
      <c r="C75" s="409">
        <v>0.99571329929775687</v>
      </c>
      <c r="D75" s="409">
        <v>1.0393278352773074</v>
      </c>
      <c r="E75" s="410">
        <v>0.17072203403154387</v>
      </c>
      <c r="F75" s="409">
        <v>5.832365487830244</v>
      </c>
      <c r="G75" s="411">
        <v>6.0878365301415833</v>
      </c>
    </row>
    <row r="76" spans="1:7" x14ac:dyDescent="0.25">
      <c r="A76" s="407" t="s">
        <v>256</v>
      </c>
      <c r="B76" s="408">
        <v>27</v>
      </c>
      <c r="C76" s="409">
        <v>0.90519770729296734</v>
      </c>
      <c r="D76" s="409">
        <v>0.97674534286004366</v>
      </c>
      <c r="E76" s="410">
        <v>0.17631290358237489</v>
      </c>
      <c r="F76" s="409">
        <v>5.1340411785008762</v>
      </c>
      <c r="G76" s="411">
        <v>5.5398403804500891</v>
      </c>
    </row>
    <row r="77" spans="1:7" x14ac:dyDescent="0.25">
      <c r="A77" s="407" t="s">
        <v>257</v>
      </c>
      <c r="B77" s="408">
        <v>184</v>
      </c>
      <c r="C77" s="412">
        <v>0.81836935490611507</v>
      </c>
      <c r="D77" s="409">
        <v>0.81939633939776302</v>
      </c>
      <c r="E77" s="410">
        <v>0.151429697080526</v>
      </c>
      <c r="F77" s="409">
        <v>5.4042857555934321</v>
      </c>
      <c r="G77" s="411">
        <v>5.4110676782377194</v>
      </c>
    </row>
    <row r="78" spans="1:7" x14ac:dyDescent="0.25">
      <c r="A78" s="407" t="s">
        <v>258</v>
      </c>
      <c r="B78" s="408">
        <v>122</v>
      </c>
      <c r="C78" s="409">
        <v>0.58387579610093665</v>
      </c>
      <c r="D78" s="409">
        <v>0.81794149951987705</v>
      </c>
      <c r="E78" s="410">
        <v>0.13912572358906719</v>
      </c>
      <c r="F78" s="409">
        <v>4.1967493935594442</v>
      </c>
      <c r="G78" s="411">
        <v>5.8791536059558203</v>
      </c>
    </row>
    <row r="79" spans="1:7" x14ac:dyDescent="0.25">
      <c r="A79" s="407" t="s">
        <v>259</v>
      </c>
      <c r="B79" s="408">
        <v>55</v>
      </c>
      <c r="C79" s="409">
        <v>0.66472689069377766</v>
      </c>
      <c r="D79" s="409">
        <v>0.78462471824750502</v>
      </c>
      <c r="E79" s="410">
        <v>0.16681641428908683</v>
      </c>
      <c r="F79" s="409">
        <v>3.9847810752113992</v>
      </c>
      <c r="G79" s="411">
        <v>4.7035222618307735</v>
      </c>
    </row>
    <row r="80" spans="1:7" x14ac:dyDescent="0.25">
      <c r="A80" s="407" t="s">
        <v>260</v>
      </c>
      <c r="B80" s="408">
        <v>731</v>
      </c>
      <c r="C80" s="409">
        <v>0.53383653559171429</v>
      </c>
      <c r="D80" s="409">
        <v>0.75774793261453854</v>
      </c>
      <c r="E80" s="410">
        <v>0.12859650349858834</v>
      </c>
      <c r="F80" s="409">
        <v>4.1512523363247933</v>
      </c>
      <c r="G80" s="411">
        <v>5.8924458441660246</v>
      </c>
    </row>
    <row r="81" spans="1:7" x14ac:dyDescent="0.25">
      <c r="A81" s="407" t="s">
        <v>261</v>
      </c>
      <c r="B81" s="408">
        <v>147</v>
      </c>
      <c r="C81" s="409">
        <v>0.89119244086607841</v>
      </c>
      <c r="D81" s="409">
        <v>1.0343608955406234</v>
      </c>
      <c r="E81" s="410">
        <v>0.17328216540670013</v>
      </c>
      <c r="F81" s="409">
        <v>5.1430130664307798</v>
      </c>
      <c r="G81" s="411">
        <v>5.9692288188627911</v>
      </c>
    </row>
    <row r="82" spans="1:7" x14ac:dyDescent="0.25">
      <c r="A82" s="407" t="s">
        <v>262</v>
      </c>
      <c r="B82" s="408">
        <v>97</v>
      </c>
      <c r="C82" s="409">
        <v>0.85722421308440888</v>
      </c>
      <c r="D82" s="409">
        <v>1.0139933746829188</v>
      </c>
      <c r="E82" s="410">
        <v>0.1412250968324813</v>
      </c>
      <c r="F82" s="409">
        <v>6.0699141463590784</v>
      </c>
      <c r="G82" s="411">
        <v>7.1799800278112027</v>
      </c>
    </row>
    <row r="83" spans="1:7" x14ac:dyDescent="0.25">
      <c r="A83" s="407" t="s">
        <v>305</v>
      </c>
      <c r="B83" s="408">
        <v>39</v>
      </c>
      <c r="C83" s="409">
        <v>0.42846292466183422</v>
      </c>
      <c r="D83" s="409">
        <v>0.60764045080469364</v>
      </c>
      <c r="E83" s="410">
        <v>0.17853484055787255</v>
      </c>
      <c r="F83" s="409">
        <v>2.3998840972608191</v>
      </c>
      <c r="G83" s="411">
        <v>3.4034838741053757</v>
      </c>
    </row>
    <row r="84" spans="1:7" x14ac:dyDescent="0.25">
      <c r="A84" s="407" t="s">
        <v>263</v>
      </c>
      <c r="B84" s="408">
        <v>282</v>
      </c>
      <c r="C84" s="409">
        <v>0.85386355066454478</v>
      </c>
      <c r="D84" s="409">
        <v>0.8962978561436582</v>
      </c>
      <c r="E84" s="410">
        <v>0.1523059479138423</v>
      </c>
      <c r="F84" s="409">
        <v>5.6062390363609795</v>
      </c>
      <c r="G84" s="411">
        <v>5.8848513037106303</v>
      </c>
    </row>
    <row r="85" spans="1:7" x14ac:dyDescent="0.25">
      <c r="A85" s="407" t="s">
        <v>264</v>
      </c>
      <c r="B85" s="408">
        <v>72</v>
      </c>
      <c r="C85" s="409">
        <v>0.79085850193630214</v>
      </c>
      <c r="D85" s="409">
        <v>0.92417227088458753</v>
      </c>
      <c r="E85" s="410">
        <v>0.18552996206662709</v>
      </c>
      <c r="F85" s="409">
        <v>4.2626996369044203</v>
      </c>
      <c r="G85" s="411">
        <v>4.9812561841235166</v>
      </c>
    </row>
    <row r="86" spans="1:7" x14ac:dyDescent="0.25">
      <c r="A86" s="407" t="s">
        <v>265</v>
      </c>
      <c r="B86" s="408">
        <v>546</v>
      </c>
      <c r="C86" s="409">
        <v>1.9763988831462131</v>
      </c>
      <c r="D86" s="409">
        <v>1.9440993078809179</v>
      </c>
      <c r="E86" s="410">
        <v>0.26698027310650402</v>
      </c>
      <c r="F86" s="409">
        <v>7.4027899520418359</v>
      </c>
      <c r="G86" s="411">
        <v>7.2818088215280836</v>
      </c>
    </row>
    <row r="87" spans="1:7" x14ac:dyDescent="0.25">
      <c r="A87" s="407" t="s">
        <v>266</v>
      </c>
      <c r="B87" s="408">
        <v>300</v>
      </c>
      <c r="C87" s="409">
        <v>2.0876686000374209</v>
      </c>
      <c r="D87" s="409">
        <v>2.1795765693078075</v>
      </c>
      <c r="E87" s="410">
        <v>0.2645257903689367</v>
      </c>
      <c r="F87" s="409">
        <v>7.8921174269084657</v>
      </c>
      <c r="G87" s="411">
        <v>8.2395616936553928</v>
      </c>
    </row>
    <row r="88" spans="1:7" x14ac:dyDescent="0.25">
      <c r="A88" s="407" t="s">
        <v>267</v>
      </c>
      <c r="B88" s="408">
        <v>252</v>
      </c>
      <c r="C88" s="409">
        <v>0.84372607135891031</v>
      </c>
      <c r="D88" s="409">
        <v>0.88044948697782477</v>
      </c>
      <c r="E88" s="410">
        <v>0.15366983650535282</v>
      </c>
      <c r="F88" s="409">
        <v>5.4905119348488443</v>
      </c>
      <c r="G88" s="411">
        <v>5.729488017950457</v>
      </c>
    </row>
    <row r="89" spans="1:7" x14ac:dyDescent="0.25">
      <c r="A89" s="407" t="s">
        <v>268</v>
      </c>
      <c r="B89" s="408">
        <v>60</v>
      </c>
      <c r="C89" s="409">
        <v>0.78940025332524133</v>
      </c>
      <c r="D89" s="409">
        <v>0.81409707475963788</v>
      </c>
      <c r="E89" s="410">
        <v>0.15468164747971219</v>
      </c>
      <c r="F89" s="409">
        <v>5.1033866408022179</v>
      </c>
      <c r="G89" s="411">
        <v>5.2630489009138177</v>
      </c>
    </row>
    <row r="90" spans="1:7" x14ac:dyDescent="0.25">
      <c r="A90" s="407" t="s">
        <v>269</v>
      </c>
      <c r="B90" s="408">
        <v>67</v>
      </c>
      <c r="C90" s="409">
        <v>1.5070917187169588</v>
      </c>
      <c r="D90" s="409">
        <v>1.5385323793602754</v>
      </c>
      <c r="E90" s="410">
        <v>0.17051766722286096</v>
      </c>
      <c r="F90" s="409">
        <v>8.8383317885016552</v>
      </c>
      <c r="G90" s="411">
        <v>9.0227153843798735</v>
      </c>
    </row>
    <row r="91" spans="1:7" x14ac:dyDescent="0.25">
      <c r="A91" s="407" t="s">
        <v>270</v>
      </c>
      <c r="B91" s="408">
        <v>49</v>
      </c>
      <c r="C91" s="409">
        <v>1.3299435161425845</v>
      </c>
      <c r="D91" s="409">
        <v>1.4178426393430197</v>
      </c>
      <c r="E91" s="410">
        <v>0.21129112988898111</v>
      </c>
      <c r="F91" s="409">
        <v>6.294365110553283</v>
      </c>
      <c r="G91" s="411">
        <v>6.7103746384810288</v>
      </c>
    </row>
    <row r="92" spans="1:7" x14ac:dyDescent="0.25">
      <c r="A92" s="407" t="s">
        <v>271</v>
      </c>
      <c r="B92" s="408">
        <v>548</v>
      </c>
      <c r="C92" s="409">
        <v>1.6399927252027837</v>
      </c>
      <c r="D92" s="409">
        <v>1.5846983127699683</v>
      </c>
      <c r="E92" s="410">
        <v>0.19073752336554273</v>
      </c>
      <c r="F92" s="409">
        <v>8.5981651447774485</v>
      </c>
      <c r="G92" s="411">
        <v>8.3082672187839073</v>
      </c>
    </row>
    <row r="93" spans="1:7" x14ac:dyDescent="0.25">
      <c r="A93" s="407" t="s">
        <v>272</v>
      </c>
      <c r="B93" s="408">
        <v>555</v>
      </c>
      <c r="C93" s="409">
        <v>0.93150728973546604</v>
      </c>
      <c r="D93" s="409">
        <v>1.1579088602827767</v>
      </c>
      <c r="E93" s="410">
        <v>0.19406122648937538</v>
      </c>
      <c r="F93" s="409">
        <v>4.8000690637007022</v>
      </c>
      <c r="G93" s="411">
        <v>5.9667192732401437</v>
      </c>
    </row>
    <row r="94" spans="1:7" x14ac:dyDescent="0.25">
      <c r="A94" s="407" t="s">
        <v>273</v>
      </c>
      <c r="B94" s="408">
        <v>68</v>
      </c>
      <c r="C94" s="409">
        <v>0.66909913524910092</v>
      </c>
      <c r="D94" s="409">
        <v>0.78424389730749444</v>
      </c>
      <c r="E94" s="410">
        <v>0.14386423899189538</v>
      </c>
      <c r="F94" s="409">
        <v>4.6509065764897608</v>
      </c>
      <c r="G94" s="411">
        <v>5.4512775572508678</v>
      </c>
    </row>
    <row r="95" spans="1:7" x14ac:dyDescent="0.25">
      <c r="A95" s="407" t="s">
        <v>274</v>
      </c>
      <c r="B95" s="408">
        <v>296</v>
      </c>
      <c r="C95" s="409">
        <v>1.5154095818122375</v>
      </c>
      <c r="D95" s="409">
        <v>1.5261921330817612</v>
      </c>
      <c r="E95" s="410">
        <v>0.21981244813574208</v>
      </c>
      <c r="F95" s="409">
        <v>6.8941026528052571</v>
      </c>
      <c r="G95" s="411">
        <v>6.9431560679369841</v>
      </c>
    </row>
    <row r="96" spans="1:7" x14ac:dyDescent="0.25">
      <c r="A96" s="407" t="s">
        <v>275</v>
      </c>
      <c r="B96" s="408">
        <v>142</v>
      </c>
      <c r="C96" s="409">
        <v>0.61476944157899804</v>
      </c>
      <c r="D96" s="409">
        <v>0.71435802276567706</v>
      </c>
      <c r="E96" s="410">
        <v>0.14282406152829322</v>
      </c>
      <c r="F96" s="409">
        <v>4.3043828539857989</v>
      </c>
      <c r="G96" s="411">
        <v>5.0016643912914063</v>
      </c>
    </row>
    <row r="97" spans="1:7" x14ac:dyDescent="0.25">
      <c r="A97" s="407" t="s">
        <v>276</v>
      </c>
      <c r="B97" s="408">
        <v>30</v>
      </c>
      <c r="C97" s="409">
        <v>0.2305761901355744</v>
      </c>
      <c r="D97" s="409">
        <v>0.23341605050740125</v>
      </c>
      <c r="E97" s="410">
        <v>9.1559380474103627E-2</v>
      </c>
      <c r="F97" s="409">
        <v>2.5183240531076971</v>
      </c>
      <c r="G97" s="411">
        <v>2.5493406497373572</v>
      </c>
    </row>
    <row r="98" spans="1:7" x14ac:dyDescent="0.25">
      <c r="A98" s="407" t="s">
        <v>277</v>
      </c>
      <c r="B98" s="408">
        <v>330</v>
      </c>
      <c r="C98" s="409">
        <v>0.79509543541281924</v>
      </c>
      <c r="D98" s="409">
        <v>1.0274933806010333</v>
      </c>
      <c r="E98" s="410">
        <v>0.15339856361273199</v>
      </c>
      <c r="F98" s="409">
        <v>5.1832000032288876</v>
      </c>
      <c r="G98" s="411">
        <v>6.6981942751108781</v>
      </c>
    </row>
    <row r="99" spans="1:7" x14ac:dyDescent="0.25">
      <c r="A99" s="407" t="s">
        <v>278</v>
      </c>
      <c r="B99" s="408">
        <v>18</v>
      </c>
      <c r="C99" s="409">
        <v>0.8883196374094221</v>
      </c>
      <c r="D99" s="409">
        <v>0.95865217353674193</v>
      </c>
      <c r="E99" s="410">
        <v>0.20664127199975033</v>
      </c>
      <c r="F99" s="409">
        <v>4.2988490576582175</v>
      </c>
      <c r="G99" s="411">
        <v>4.6392096034808583</v>
      </c>
    </row>
    <row r="100" spans="1:7" x14ac:dyDescent="0.25">
      <c r="A100" s="407" t="s">
        <v>279</v>
      </c>
      <c r="B100" s="408">
        <v>76</v>
      </c>
      <c r="C100" s="409">
        <v>0.36849429546755974</v>
      </c>
      <c r="D100" s="409">
        <v>0.80761025748689941</v>
      </c>
      <c r="E100" s="410">
        <v>0.12355246277330569</v>
      </c>
      <c r="F100" s="409">
        <v>2.9824925152942829</v>
      </c>
      <c r="G100" s="411">
        <v>6.5365775748938679</v>
      </c>
    </row>
    <row r="101" spans="1:7" x14ac:dyDescent="0.25">
      <c r="A101" s="407" t="s">
        <v>280</v>
      </c>
      <c r="B101" s="408">
        <v>14</v>
      </c>
      <c r="C101" s="409">
        <v>0.57313176905664454</v>
      </c>
      <c r="D101" s="409">
        <v>0.6988646044356418</v>
      </c>
      <c r="E101" s="410">
        <v>0.16730739207021869</v>
      </c>
      <c r="F101" s="409">
        <v>3.4256213187287141</v>
      </c>
      <c r="G101" s="411">
        <v>4.17712926959216</v>
      </c>
    </row>
    <row r="102" spans="1:7" s="238" customFormat="1" ht="15.75" x14ac:dyDescent="0.25">
      <c r="A102" s="407" t="s">
        <v>281</v>
      </c>
      <c r="B102" s="408">
        <v>76</v>
      </c>
      <c r="C102" s="409">
        <v>0.47388988081881095</v>
      </c>
      <c r="D102" s="409">
        <v>0.74386850353230993</v>
      </c>
      <c r="E102" s="410">
        <v>0.16029846147503793</v>
      </c>
      <c r="F102" s="409">
        <v>2.9562971251137444</v>
      </c>
      <c r="G102" s="411">
        <v>4.6405217909602143</v>
      </c>
    </row>
    <row r="103" spans="1:7" s="238" customFormat="1" ht="15.75" x14ac:dyDescent="0.25">
      <c r="A103" s="407" t="s">
        <v>307</v>
      </c>
      <c r="B103" s="408">
        <v>27360</v>
      </c>
      <c r="C103" s="409">
        <v>0.8492645816814246</v>
      </c>
      <c r="D103" s="409">
        <v>1.0813528409661821</v>
      </c>
      <c r="E103" s="410">
        <v>0.17520691947735662</v>
      </c>
      <c r="F103" s="409">
        <v>4.847209141138868</v>
      </c>
      <c r="G103" s="411">
        <v>6.1718615006294542</v>
      </c>
    </row>
    <row r="104" spans="1:7" s="238" customFormat="1" ht="15.75" x14ac:dyDescent="0.25">
      <c r="A104" s="413" t="s">
        <v>308</v>
      </c>
      <c r="B104" s="414">
        <v>24760</v>
      </c>
      <c r="C104" s="415">
        <v>0.9888392147727012</v>
      </c>
      <c r="D104" s="415">
        <v>1.1230488769599429</v>
      </c>
      <c r="E104" s="416">
        <v>0.17842070862497617</v>
      </c>
      <c r="F104" s="415">
        <v>5.5421773761203346</v>
      </c>
      <c r="G104" s="417">
        <v>6.2943863726070486</v>
      </c>
    </row>
  </sheetData>
  <autoFilter ref="A1:AA106" xr:uid="{00000000-0009-0000-0000-000008000000}"/>
  <mergeCells count="11">
    <mergeCell ref="I1:K1"/>
    <mergeCell ref="I2:K7"/>
    <mergeCell ref="B1:G1"/>
    <mergeCell ref="H1:H7"/>
    <mergeCell ref="B2:G2"/>
    <mergeCell ref="B3:E3"/>
    <mergeCell ref="F3:G3"/>
    <mergeCell ref="B4:G4"/>
    <mergeCell ref="B5:G5"/>
    <mergeCell ref="B6:G6"/>
    <mergeCell ref="B7:G7"/>
  </mergeCells>
  <dataValidations count="1">
    <dataValidation type="list" allowBlank="1" showInputMessage="1" showErrorMessage="1" sqref="F8 JB8 SX8 ACT8 AMP8 AWL8 BGH8 BQD8 BZZ8 CJV8 CTR8 DDN8 DNJ8 DXF8 EHB8 EQX8 FAT8 FKP8 FUL8 GEH8 GOD8 GXZ8 HHV8 HRR8 IBN8 ILJ8 IVF8 JFB8 JOX8 JYT8 KIP8 KSL8 LCH8 LMD8 LVZ8 MFV8 MPR8 MZN8 NJJ8 NTF8 ODB8 OMX8 OWT8 PGP8 PQL8 QAH8 QKD8 QTZ8 RDV8 RNR8 RXN8 SHJ8 SRF8 TBB8 TKX8 TUT8 UEP8 UOL8 UYH8 VID8 VRZ8 WBV8 WLR8 WVN8 F65544 JB65544 SX65544 ACT65544 AMP65544 AWL65544 BGH65544 BQD65544 BZZ65544 CJV65544 CTR65544 DDN65544 DNJ65544 DXF65544 EHB65544 EQX65544 FAT65544 FKP65544 FUL65544 GEH65544 GOD65544 GXZ65544 HHV65544 HRR65544 IBN65544 ILJ65544 IVF65544 JFB65544 JOX65544 JYT65544 KIP65544 KSL65544 LCH65544 LMD65544 LVZ65544 MFV65544 MPR65544 MZN65544 NJJ65544 NTF65544 ODB65544 OMX65544 OWT65544 PGP65544 PQL65544 QAH65544 QKD65544 QTZ65544 RDV65544 RNR65544 RXN65544 SHJ65544 SRF65544 TBB65544 TKX65544 TUT65544 UEP65544 UOL65544 UYH65544 VID65544 VRZ65544 WBV65544 WLR65544 WVN65544 F131080 JB131080 SX131080 ACT131080 AMP131080 AWL131080 BGH131080 BQD131080 BZZ131080 CJV131080 CTR131080 DDN131080 DNJ131080 DXF131080 EHB131080 EQX131080 FAT131080 FKP131080 FUL131080 GEH131080 GOD131080 GXZ131080 HHV131080 HRR131080 IBN131080 ILJ131080 IVF131080 JFB131080 JOX131080 JYT131080 KIP131080 KSL131080 LCH131080 LMD131080 LVZ131080 MFV131080 MPR131080 MZN131080 NJJ131080 NTF131080 ODB131080 OMX131080 OWT131080 PGP131080 PQL131080 QAH131080 QKD131080 QTZ131080 RDV131080 RNR131080 RXN131080 SHJ131080 SRF131080 TBB131080 TKX131080 TUT131080 UEP131080 UOL131080 UYH131080 VID131080 VRZ131080 WBV131080 WLR131080 WVN131080 F196616 JB196616 SX196616 ACT196616 AMP196616 AWL196616 BGH196616 BQD196616 BZZ196616 CJV196616 CTR196616 DDN196616 DNJ196616 DXF196616 EHB196616 EQX196616 FAT196616 FKP196616 FUL196616 GEH196616 GOD196616 GXZ196616 HHV196616 HRR196616 IBN196616 ILJ196616 IVF196616 JFB196616 JOX196616 JYT196616 KIP196616 KSL196616 LCH196616 LMD196616 LVZ196616 MFV196616 MPR196616 MZN196616 NJJ196616 NTF196616 ODB196616 OMX196616 OWT196616 PGP196616 PQL196616 QAH196616 QKD196616 QTZ196616 RDV196616 RNR196616 RXN196616 SHJ196616 SRF196616 TBB196616 TKX196616 TUT196616 UEP196616 UOL196616 UYH196616 VID196616 VRZ196616 WBV196616 WLR196616 WVN196616 F262152 JB262152 SX262152 ACT262152 AMP262152 AWL262152 BGH262152 BQD262152 BZZ262152 CJV262152 CTR262152 DDN262152 DNJ262152 DXF262152 EHB262152 EQX262152 FAT262152 FKP262152 FUL262152 GEH262152 GOD262152 GXZ262152 HHV262152 HRR262152 IBN262152 ILJ262152 IVF262152 JFB262152 JOX262152 JYT262152 KIP262152 KSL262152 LCH262152 LMD262152 LVZ262152 MFV262152 MPR262152 MZN262152 NJJ262152 NTF262152 ODB262152 OMX262152 OWT262152 PGP262152 PQL262152 QAH262152 QKD262152 QTZ262152 RDV262152 RNR262152 RXN262152 SHJ262152 SRF262152 TBB262152 TKX262152 TUT262152 UEP262152 UOL262152 UYH262152 VID262152 VRZ262152 WBV262152 WLR262152 WVN262152 F327688 JB327688 SX327688 ACT327688 AMP327688 AWL327688 BGH327688 BQD327688 BZZ327688 CJV327688 CTR327688 DDN327688 DNJ327688 DXF327688 EHB327688 EQX327688 FAT327688 FKP327688 FUL327688 GEH327688 GOD327688 GXZ327688 HHV327688 HRR327688 IBN327688 ILJ327688 IVF327688 JFB327688 JOX327688 JYT327688 KIP327688 KSL327688 LCH327688 LMD327688 LVZ327688 MFV327688 MPR327688 MZN327688 NJJ327688 NTF327688 ODB327688 OMX327688 OWT327688 PGP327688 PQL327688 QAH327688 QKD327688 QTZ327688 RDV327688 RNR327688 RXN327688 SHJ327688 SRF327688 TBB327688 TKX327688 TUT327688 UEP327688 UOL327688 UYH327688 VID327688 VRZ327688 WBV327688 WLR327688 WVN327688 F393224 JB393224 SX393224 ACT393224 AMP393224 AWL393224 BGH393224 BQD393224 BZZ393224 CJV393224 CTR393224 DDN393224 DNJ393224 DXF393224 EHB393224 EQX393224 FAT393224 FKP393224 FUL393224 GEH393224 GOD393224 GXZ393224 HHV393224 HRR393224 IBN393224 ILJ393224 IVF393224 JFB393224 JOX393224 JYT393224 KIP393224 KSL393224 LCH393224 LMD393224 LVZ393224 MFV393224 MPR393224 MZN393224 NJJ393224 NTF393224 ODB393224 OMX393224 OWT393224 PGP393224 PQL393224 QAH393224 QKD393224 QTZ393224 RDV393224 RNR393224 RXN393224 SHJ393224 SRF393224 TBB393224 TKX393224 TUT393224 UEP393224 UOL393224 UYH393224 VID393224 VRZ393224 WBV393224 WLR393224 WVN393224 F458760 JB458760 SX458760 ACT458760 AMP458760 AWL458760 BGH458760 BQD458760 BZZ458760 CJV458760 CTR458760 DDN458760 DNJ458760 DXF458760 EHB458760 EQX458760 FAT458760 FKP458760 FUL458760 GEH458760 GOD458760 GXZ458760 HHV458760 HRR458760 IBN458760 ILJ458760 IVF458760 JFB458760 JOX458760 JYT458760 KIP458760 KSL458760 LCH458760 LMD458760 LVZ458760 MFV458760 MPR458760 MZN458760 NJJ458760 NTF458760 ODB458760 OMX458760 OWT458760 PGP458760 PQL458760 QAH458760 QKD458760 QTZ458760 RDV458760 RNR458760 RXN458760 SHJ458760 SRF458760 TBB458760 TKX458760 TUT458760 UEP458760 UOL458760 UYH458760 VID458760 VRZ458760 WBV458760 WLR458760 WVN458760 F524296 JB524296 SX524296 ACT524296 AMP524296 AWL524296 BGH524296 BQD524296 BZZ524296 CJV524296 CTR524296 DDN524296 DNJ524296 DXF524296 EHB524296 EQX524296 FAT524296 FKP524296 FUL524296 GEH524296 GOD524296 GXZ524296 HHV524296 HRR524296 IBN524296 ILJ524296 IVF524296 JFB524296 JOX524296 JYT524296 KIP524296 KSL524296 LCH524296 LMD524296 LVZ524296 MFV524296 MPR524296 MZN524296 NJJ524296 NTF524296 ODB524296 OMX524296 OWT524296 PGP524296 PQL524296 QAH524296 QKD524296 QTZ524296 RDV524296 RNR524296 RXN524296 SHJ524296 SRF524296 TBB524296 TKX524296 TUT524296 UEP524296 UOL524296 UYH524296 VID524296 VRZ524296 WBV524296 WLR524296 WVN524296 F589832 JB589832 SX589832 ACT589832 AMP589832 AWL589832 BGH589832 BQD589832 BZZ589832 CJV589832 CTR589832 DDN589832 DNJ589832 DXF589832 EHB589832 EQX589832 FAT589832 FKP589832 FUL589832 GEH589832 GOD589832 GXZ589832 HHV589832 HRR589832 IBN589832 ILJ589832 IVF589832 JFB589832 JOX589832 JYT589832 KIP589832 KSL589832 LCH589832 LMD589832 LVZ589832 MFV589832 MPR589832 MZN589832 NJJ589832 NTF589832 ODB589832 OMX589832 OWT589832 PGP589832 PQL589832 QAH589832 QKD589832 QTZ589832 RDV589832 RNR589832 RXN589832 SHJ589832 SRF589832 TBB589832 TKX589832 TUT589832 UEP589832 UOL589832 UYH589832 VID589832 VRZ589832 WBV589832 WLR589832 WVN589832 F655368 JB655368 SX655368 ACT655368 AMP655368 AWL655368 BGH655368 BQD655368 BZZ655368 CJV655368 CTR655368 DDN655368 DNJ655368 DXF655368 EHB655368 EQX655368 FAT655368 FKP655368 FUL655368 GEH655368 GOD655368 GXZ655368 HHV655368 HRR655368 IBN655368 ILJ655368 IVF655368 JFB655368 JOX655368 JYT655368 KIP655368 KSL655368 LCH655368 LMD655368 LVZ655368 MFV655368 MPR655368 MZN655368 NJJ655368 NTF655368 ODB655368 OMX655368 OWT655368 PGP655368 PQL655368 QAH655368 QKD655368 QTZ655368 RDV655368 RNR655368 RXN655368 SHJ655368 SRF655368 TBB655368 TKX655368 TUT655368 UEP655368 UOL655368 UYH655368 VID655368 VRZ655368 WBV655368 WLR655368 WVN655368 F720904 JB720904 SX720904 ACT720904 AMP720904 AWL720904 BGH720904 BQD720904 BZZ720904 CJV720904 CTR720904 DDN720904 DNJ720904 DXF720904 EHB720904 EQX720904 FAT720904 FKP720904 FUL720904 GEH720904 GOD720904 GXZ720904 HHV720904 HRR720904 IBN720904 ILJ720904 IVF720904 JFB720904 JOX720904 JYT720904 KIP720904 KSL720904 LCH720904 LMD720904 LVZ720904 MFV720904 MPR720904 MZN720904 NJJ720904 NTF720904 ODB720904 OMX720904 OWT720904 PGP720904 PQL720904 QAH720904 QKD720904 QTZ720904 RDV720904 RNR720904 RXN720904 SHJ720904 SRF720904 TBB720904 TKX720904 TUT720904 UEP720904 UOL720904 UYH720904 VID720904 VRZ720904 WBV720904 WLR720904 WVN720904 F786440 JB786440 SX786440 ACT786440 AMP786440 AWL786440 BGH786440 BQD786440 BZZ786440 CJV786440 CTR786440 DDN786440 DNJ786440 DXF786440 EHB786440 EQX786440 FAT786440 FKP786440 FUL786440 GEH786440 GOD786440 GXZ786440 HHV786440 HRR786440 IBN786440 ILJ786440 IVF786440 JFB786440 JOX786440 JYT786440 KIP786440 KSL786440 LCH786440 LMD786440 LVZ786440 MFV786440 MPR786440 MZN786440 NJJ786440 NTF786440 ODB786440 OMX786440 OWT786440 PGP786440 PQL786440 QAH786440 QKD786440 QTZ786440 RDV786440 RNR786440 RXN786440 SHJ786440 SRF786440 TBB786440 TKX786440 TUT786440 UEP786440 UOL786440 UYH786440 VID786440 VRZ786440 WBV786440 WLR786440 WVN786440 F851976 JB851976 SX851976 ACT851976 AMP851976 AWL851976 BGH851976 BQD851976 BZZ851976 CJV851976 CTR851976 DDN851976 DNJ851976 DXF851976 EHB851976 EQX851976 FAT851976 FKP851976 FUL851976 GEH851976 GOD851976 GXZ851976 HHV851976 HRR851976 IBN851976 ILJ851976 IVF851976 JFB851976 JOX851976 JYT851976 KIP851976 KSL851976 LCH851976 LMD851976 LVZ851976 MFV851976 MPR851976 MZN851976 NJJ851976 NTF851976 ODB851976 OMX851976 OWT851976 PGP851976 PQL851976 QAH851976 QKD851976 QTZ851976 RDV851976 RNR851976 RXN851976 SHJ851976 SRF851976 TBB851976 TKX851976 TUT851976 UEP851976 UOL851976 UYH851976 VID851976 VRZ851976 WBV851976 WLR851976 WVN851976 F917512 JB917512 SX917512 ACT917512 AMP917512 AWL917512 BGH917512 BQD917512 BZZ917512 CJV917512 CTR917512 DDN917512 DNJ917512 DXF917512 EHB917512 EQX917512 FAT917512 FKP917512 FUL917512 GEH917512 GOD917512 GXZ917512 HHV917512 HRR917512 IBN917512 ILJ917512 IVF917512 JFB917512 JOX917512 JYT917512 KIP917512 KSL917512 LCH917512 LMD917512 LVZ917512 MFV917512 MPR917512 MZN917512 NJJ917512 NTF917512 ODB917512 OMX917512 OWT917512 PGP917512 PQL917512 QAH917512 QKD917512 QTZ917512 RDV917512 RNR917512 RXN917512 SHJ917512 SRF917512 TBB917512 TKX917512 TUT917512 UEP917512 UOL917512 UYH917512 VID917512 VRZ917512 WBV917512 WLR917512 WVN917512 F983048 JB983048 SX983048 ACT983048 AMP983048 AWL983048 BGH983048 BQD983048 BZZ983048 CJV983048 CTR983048 DDN983048 DNJ983048 DXF983048 EHB983048 EQX983048 FAT983048 FKP983048 FUL983048 GEH983048 GOD983048 GXZ983048 HHV983048 HRR983048 IBN983048 ILJ983048 IVF983048 JFB983048 JOX983048 JYT983048 KIP983048 KSL983048 LCH983048 LMD983048 LVZ983048 MFV983048 MPR983048 MZN983048 NJJ983048 NTF983048 ODB983048 OMX983048 OWT983048 PGP983048 PQL983048 QAH983048 QKD983048 QTZ983048 RDV983048 RNR983048 RXN983048 SHJ983048 SRF983048 TBB983048 TKX983048 TUT983048 UEP983048 UOL983048 UYH983048 VID983048 VRZ983048 WBV983048 WLR983048 WVN983048" xr:uid="{C839E1C8-A3BD-4B8E-A07C-0920A9EE1388}">
      <formula1>$K$1:$K$2</formula1>
    </dataValidation>
  </dataValidations>
  <hyperlinks>
    <hyperlink ref="B2" r:id="rId1" xr:uid="{824A1C0A-76A3-4A0F-A9CE-83CD7BDC9A31}"/>
    <hyperlink ref="B4" r:id="rId2" xr:uid="{A49AFD60-5728-49A4-8744-07C79BDC480C}"/>
    <hyperlink ref="B5" r:id="rId3" display="http://www.stern.nyu.edu/~adamodar/New_Home_Page/data.html" xr:uid="{CBF5BE74-1E3B-43B7-AC03-4F60BE3FE5BE}"/>
    <hyperlink ref="B6" r:id="rId4" display="http://www.stern.nyu.edu/~adamodar/pc/datasets/indname.xls" xr:uid="{F0A528D1-9D44-40F3-AC2D-990FAFB84749}"/>
    <hyperlink ref="B7" r:id="rId5" display="http://www.stern.nyu.edu/~adamodar/New_Home_Page/datafile/variable.htm" xr:uid="{56A25BB0-EB6C-48C4-8358-6EF08A85DF2A}"/>
    <hyperlink ref="H1:H7" r:id="rId6" tooltip="https://youtu.be/kZzwtlIAx4U?si=l5t2TNIqrxV9slQ7" display="YouTube Video explaining estimation choices and process." xr:uid="{93DCC0BA-5DFD-491B-A7E9-1AF5EC679DD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Свод_ОФР</vt:lpstr>
      <vt:lpstr>Свод_БДДС</vt:lpstr>
      <vt:lpstr>ОК</vt:lpstr>
      <vt:lpstr>Баланс</vt:lpstr>
      <vt:lpstr>Инвестиции</vt:lpstr>
      <vt:lpstr>Оценка бизнеса</vt:lpstr>
      <vt:lpstr>Эффективность для инвесторов</vt:lpstr>
      <vt:lpstr>WACC</vt:lpstr>
      <vt:lpstr>Beta Damodaran</vt:lpstr>
      <vt:lpstr>Мясо</vt:lpstr>
      <vt:lpstr>Пицца</vt:lpstr>
      <vt:lpstr>Снеки</vt:lpstr>
      <vt:lpstr>Мясная гастрономия</vt:lpstr>
      <vt:lpstr>Сыр</vt:lpstr>
      <vt:lpstr>Кондитерские изделия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l29102018 _</dc:creator>
  <cp:lastModifiedBy>Прусов Иван Сергеевич</cp:lastModifiedBy>
  <dcterms:created xsi:type="dcterms:W3CDTF">2023-10-16T08:49:19Z</dcterms:created>
  <dcterms:modified xsi:type="dcterms:W3CDTF">2026-07-22T12:18:58Z</dcterms:modified>
</cp:coreProperties>
</file>